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940" yWindow="1716" windowWidth="17436" windowHeight="3348" activeTab="2"/>
  </bookViews>
  <sheets>
    <sheet name="Inputs" sheetId="9" r:id="rId1"/>
    <sheet name="Results-Simple" sheetId="10" r:id="rId2"/>
    <sheet name="Results-Details" sheetId="11" r:id="rId3"/>
    <sheet name="CBECC Model Data" sheetId="4" r:id="rId4"/>
    <sheet name="Sheet1" sheetId="12" r:id="rId5"/>
  </sheets>
  <calcPr calcId="145621"/>
</workbook>
</file>

<file path=xl/calcChain.xml><?xml version="1.0" encoding="utf-8"?>
<calcChain xmlns="http://schemas.openxmlformats.org/spreadsheetml/2006/main">
  <c r="N29" i="4" l="1"/>
  <c r="D22" i="4"/>
  <c r="E22" i="4"/>
  <c r="F22" i="4"/>
  <c r="G22" i="4"/>
  <c r="H22" i="4"/>
  <c r="I22" i="4"/>
  <c r="J22" i="4"/>
  <c r="K22" i="4"/>
  <c r="L22" i="4"/>
  <c r="M22" i="4"/>
  <c r="N22" i="4"/>
  <c r="O22" i="4"/>
  <c r="P22" i="4"/>
  <c r="Q22" i="4"/>
  <c r="R22" i="4"/>
  <c r="S22" i="4"/>
  <c r="T22" i="4"/>
  <c r="U22" i="4"/>
  <c r="V22" i="4"/>
  <c r="W22" i="4"/>
  <c r="X22" i="4"/>
  <c r="Y22" i="4"/>
  <c r="Z22" i="4"/>
  <c r="AA22" i="4"/>
  <c r="AB22" i="4"/>
  <c r="AC22" i="4"/>
  <c r="AD22" i="4"/>
  <c r="AE22" i="4"/>
  <c r="AF22" i="4"/>
  <c r="AG22" i="4"/>
  <c r="AH22" i="4"/>
  <c r="C22" i="4"/>
  <c r="C35" i="11"/>
  <c r="C34" i="11"/>
  <c r="C30" i="11"/>
  <c r="C28" i="11"/>
  <c r="C22" i="11"/>
  <c r="C21" i="11"/>
  <c r="C17" i="11"/>
  <c r="C14" i="11"/>
  <c r="L20" i="4"/>
  <c r="G30" i="4" s="1"/>
  <c r="E20" i="4"/>
  <c r="D30" i="4" s="1"/>
  <c r="F20" i="4"/>
  <c r="G20" i="4"/>
  <c r="H20" i="4"/>
  <c r="I20" i="4"/>
  <c r="J20" i="4"/>
  <c r="F30" i="4" s="1"/>
  <c r="K20" i="4"/>
  <c r="M20" i="4"/>
  <c r="N20" i="4"/>
  <c r="O20" i="4"/>
  <c r="P20" i="4"/>
  <c r="Q20" i="4"/>
  <c r="R20" i="4"/>
  <c r="S20" i="4"/>
  <c r="T20" i="4"/>
  <c r="U20" i="4"/>
  <c r="V20" i="4"/>
  <c r="W20" i="4"/>
  <c r="X20" i="4"/>
  <c r="Y20" i="4"/>
  <c r="Z20" i="4"/>
  <c r="AA20" i="4"/>
  <c r="AB20" i="4"/>
  <c r="AC20" i="4"/>
  <c r="AD20" i="4"/>
  <c r="AE20" i="4"/>
  <c r="AF20" i="4"/>
  <c r="AG20" i="4"/>
  <c r="AH20" i="4"/>
  <c r="D20" i="4"/>
  <c r="C20" i="4"/>
  <c r="E17" i="4"/>
  <c r="F17" i="4"/>
  <c r="G17" i="4"/>
  <c r="H17" i="4"/>
  <c r="I17" i="4"/>
  <c r="J17" i="4"/>
  <c r="K17" i="4"/>
  <c r="L17" i="4"/>
  <c r="M17" i="4"/>
  <c r="N17" i="4"/>
  <c r="O17" i="4"/>
  <c r="P17" i="4"/>
  <c r="Q17" i="4"/>
  <c r="R17" i="4"/>
  <c r="S17" i="4"/>
  <c r="T17" i="4"/>
  <c r="K29" i="4" s="1"/>
  <c r="U17" i="4"/>
  <c r="V17" i="4"/>
  <c r="W17" i="4"/>
  <c r="X17" i="4"/>
  <c r="Y17" i="4"/>
  <c r="Z17" i="4"/>
  <c r="AA17" i="4"/>
  <c r="AB17" i="4"/>
  <c r="AC17" i="4"/>
  <c r="AD17" i="4"/>
  <c r="AE17" i="4"/>
  <c r="AF17" i="4"/>
  <c r="AG17" i="4"/>
  <c r="AH17" i="4"/>
  <c r="D17" i="4"/>
  <c r="C17" i="4"/>
  <c r="C29" i="4" s="1"/>
  <c r="L29" i="4" l="1"/>
  <c r="D29" i="4"/>
  <c r="D31" i="4" s="1"/>
  <c r="L30" i="4"/>
  <c r="L31" i="4" s="1"/>
  <c r="F31" i="4"/>
  <c r="R29" i="4"/>
  <c r="J29" i="4"/>
  <c r="F29" i="4"/>
  <c r="H29" i="4"/>
  <c r="O29" i="4"/>
  <c r="E30" i="4"/>
  <c r="E31" i="4" s="1"/>
  <c r="Q29" i="4"/>
  <c r="M29" i="4"/>
  <c r="I29" i="4"/>
  <c r="E29" i="4"/>
  <c r="Q30" i="4"/>
  <c r="P29" i="4"/>
  <c r="G29" i="4"/>
  <c r="N30" i="4"/>
  <c r="N31" i="4" s="1"/>
  <c r="O30" i="4"/>
  <c r="O31" i="4" s="1"/>
  <c r="H30" i="4"/>
  <c r="P30" i="4"/>
  <c r="I30" i="4"/>
  <c r="I31" i="4" s="1"/>
  <c r="J30" i="4"/>
  <c r="J31" i="4" s="1"/>
  <c r="R30" i="4"/>
  <c r="M30" i="4"/>
  <c r="C30" i="4"/>
  <c r="C31" i="4" s="1"/>
  <c r="K30" i="4"/>
  <c r="K31" i="4" s="1"/>
  <c r="H24" i="10"/>
  <c r="H23" i="10"/>
  <c r="H22" i="10"/>
  <c r="H21" i="10"/>
  <c r="H20" i="10"/>
  <c r="H19" i="10"/>
  <c r="H18" i="10"/>
  <c r="H17" i="10"/>
  <c r="H16" i="10"/>
  <c r="H15" i="10"/>
  <c r="H14" i="10"/>
  <c r="H13" i="10"/>
  <c r="H12" i="10"/>
  <c r="H11" i="10"/>
  <c r="H10" i="10"/>
  <c r="H9" i="10"/>
  <c r="C31" i="11"/>
  <c r="C33" i="11" s="1"/>
  <c r="AF33" i="11"/>
  <c r="C29" i="11"/>
  <c r="D29" i="11" s="1"/>
  <c r="AE22" i="11"/>
  <c r="C18" i="11"/>
  <c r="C20" i="11" s="1"/>
  <c r="AF20" i="11"/>
  <c r="C16" i="11"/>
  <c r="D16" i="11" s="1"/>
  <c r="AH10" i="11"/>
  <c r="AG10" i="11"/>
  <c r="AF10" i="11"/>
  <c r="AE10" i="11"/>
  <c r="AD10" i="11"/>
  <c r="AC10" i="11"/>
  <c r="AB10" i="11"/>
  <c r="AA10" i="11"/>
  <c r="Z10" i="11"/>
  <c r="Y10" i="11"/>
  <c r="X10" i="11"/>
  <c r="W10" i="11"/>
  <c r="V10" i="11"/>
  <c r="U10" i="11"/>
  <c r="T10" i="11"/>
  <c r="S10" i="11"/>
  <c r="R10" i="11"/>
  <c r="Q10" i="11"/>
  <c r="P10" i="11"/>
  <c r="O10" i="11"/>
  <c r="N10" i="11"/>
  <c r="M10" i="11"/>
  <c r="L10" i="11"/>
  <c r="K10" i="11"/>
  <c r="J10" i="11"/>
  <c r="I10" i="11"/>
  <c r="H10" i="11"/>
  <c r="G10" i="11"/>
  <c r="F10" i="11"/>
  <c r="E10" i="11"/>
  <c r="M31" i="4" l="1"/>
  <c r="R31" i="4"/>
  <c r="Q31" i="4"/>
  <c r="G31" i="4"/>
  <c r="P31" i="4"/>
  <c r="H31" i="4"/>
  <c r="K20" i="11"/>
  <c r="AA20" i="11"/>
  <c r="AE35" i="11"/>
  <c r="AB20" i="11"/>
  <c r="S20" i="11"/>
  <c r="L20" i="11"/>
  <c r="T20" i="11"/>
  <c r="D39" i="11"/>
  <c r="I33" i="11"/>
  <c r="Q33" i="11"/>
  <c r="Y33" i="11"/>
  <c r="AG33" i="11"/>
  <c r="H35" i="11"/>
  <c r="P35" i="11"/>
  <c r="X35" i="11"/>
  <c r="AF35" i="11"/>
  <c r="I20" i="11"/>
  <c r="Q20" i="11"/>
  <c r="Y20" i="11"/>
  <c r="AG20" i="11"/>
  <c r="H22" i="11"/>
  <c r="P22" i="11"/>
  <c r="X22" i="11"/>
  <c r="AF22" i="11"/>
  <c r="J20" i="11"/>
  <c r="R20" i="11"/>
  <c r="Z20" i="11"/>
  <c r="AH20" i="11"/>
  <c r="I22" i="11"/>
  <c r="Q22" i="11"/>
  <c r="Y22" i="11"/>
  <c r="AG22" i="11"/>
  <c r="J33" i="11"/>
  <c r="R33" i="11"/>
  <c r="Z33" i="11"/>
  <c r="AH33" i="11"/>
  <c r="I35" i="11"/>
  <c r="Q35" i="11"/>
  <c r="Y35" i="11"/>
  <c r="AG35" i="11"/>
  <c r="J22" i="11"/>
  <c r="R22" i="11"/>
  <c r="Z22" i="11"/>
  <c r="AH22" i="11"/>
  <c r="K33" i="11"/>
  <c r="S33" i="11"/>
  <c r="AA33" i="11"/>
  <c r="J35" i="11"/>
  <c r="R35" i="11"/>
  <c r="Z35" i="11"/>
  <c r="AH35" i="11"/>
  <c r="K35" i="11"/>
  <c r="S35" i="11"/>
  <c r="AA35" i="11"/>
  <c r="K22" i="11"/>
  <c r="S22" i="11"/>
  <c r="AA22" i="11"/>
  <c r="L33" i="11"/>
  <c r="T33" i="11"/>
  <c r="AB33" i="11"/>
  <c r="E20" i="11"/>
  <c r="M20" i="11"/>
  <c r="U20" i="11"/>
  <c r="AC20" i="11"/>
  <c r="L22" i="11"/>
  <c r="T22" i="11"/>
  <c r="AB22" i="11"/>
  <c r="E33" i="11"/>
  <c r="M33" i="11"/>
  <c r="U33" i="11"/>
  <c r="AC33" i="11"/>
  <c r="L35" i="11"/>
  <c r="T35" i="11"/>
  <c r="AB35" i="11"/>
  <c r="F20" i="11"/>
  <c r="N20" i="11"/>
  <c r="V20" i="11"/>
  <c r="AD20" i="11"/>
  <c r="E22" i="11"/>
  <c r="M22" i="11"/>
  <c r="U22" i="11"/>
  <c r="AC22" i="11"/>
  <c r="F33" i="11"/>
  <c r="N33" i="11"/>
  <c r="V33" i="11"/>
  <c r="AD33" i="11"/>
  <c r="E35" i="11"/>
  <c r="M35" i="11"/>
  <c r="U35" i="11"/>
  <c r="AC35" i="11"/>
  <c r="G20" i="11"/>
  <c r="O20" i="11"/>
  <c r="W20" i="11"/>
  <c r="AE20" i="11"/>
  <c r="F22" i="11"/>
  <c r="N22" i="11"/>
  <c r="V22" i="11"/>
  <c r="AD22" i="11"/>
  <c r="G33" i="11"/>
  <c r="O33" i="11"/>
  <c r="W33" i="11"/>
  <c r="AE33" i="11"/>
  <c r="F35" i="11"/>
  <c r="N35" i="11"/>
  <c r="V35" i="11"/>
  <c r="AD35" i="11"/>
  <c r="H20" i="11"/>
  <c r="P20" i="11"/>
  <c r="X20" i="11"/>
  <c r="G22" i="11"/>
  <c r="O22" i="11"/>
  <c r="W22" i="11"/>
  <c r="H33" i="11"/>
  <c r="P33" i="11"/>
  <c r="X33" i="11"/>
  <c r="G35" i="11"/>
  <c r="O35" i="11"/>
  <c r="W35" i="11"/>
  <c r="H71" i="11" l="1"/>
  <c r="N9" i="10" s="1"/>
  <c r="D71" i="11"/>
  <c r="J9" i="10" s="1"/>
  <c r="D35" i="11"/>
  <c r="D22" i="11"/>
  <c r="D83" i="11"/>
  <c r="J21" i="10" s="1"/>
  <c r="H79" i="11"/>
  <c r="N17" i="10" s="1"/>
  <c r="D75" i="11"/>
  <c r="J13" i="10" s="1"/>
  <c r="H84" i="11"/>
  <c r="N22" i="10" s="1"/>
  <c r="D80" i="11"/>
  <c r="J18" i="10" s="1"/>
  <c r="H76" i="11"/>
  <c r="N14" i="10" s="1"/>
  <c r="D72" i="11"/>
  <c r="J10" i="10" s="1"/>
  <c r="D85" i="11"/>
  <c r="J23" i="10" s="1"/>
  <c r="H81" i="11"/>
  <c r="N19" i="10" s="1"/>
  <c r="D77" i="11"/>
  <c r="J15" i="10" s="1"/>
  <c r="H73" i="11"/>
  <c r="N11" i="10" s="1"/>
  <c r="H86" i="11"/>
  <c r="N24" i="10" s="1"/>
  <c r="D82" i="11"/>
  <c r="J20" i="10" s="1"/>
  <c r="H78" i="11"/>
  <c r="N16" i="10" s="1"/>
  <c r="D74" i="11"/>
  <c r="J12" i="10" s="1"/>
  <c r="H83" i="11"/>
  <c r="N21" i="10" s="1"/>
  <c r="D79" i="11"/>
  <c r="J17" i="10" s="1"/>
  <c r="H75" i="11"/>
  <c r="N13" i="10" s="1"/>
  <c r="D84" i="11"/>
  <c r="J22" i="10" s="1"/>
  <c r="H80" i="11"/>
  <c r="N18" i="10" s="1"/>
  <c r="D76" i="11"/>
  <c r="J14" i="10" s="1"/>
  <c r="H72" i="11"/>
  <c r="N10" i="10" s="1"/>
  <c r="H85" i="11"/>
  <c r="N23" i="10" s="1"/>
  <c r="D81" i="11"/>
  <c r="J19" i="10" s="1"/>
  <c r="H77" i="11"/>
  <c r="N15" i="10" s="1"/>
  <c r="D73" i="11"/>
  <c r="J11" i="10" s="1"/>
  <c r="D86" i="11"/>
  <c r="J24" i="10" s="1"/>
  <c r="H82" i="11"/>
  <c r="N20" i="10" s="1"/>
  <c r="D78" i="11"/>
  <c r="J16" i="10" s="1"/>
  <c r="H74" i="11"/>
  <c r="N12" i="10" s="1"/>
  <c r="D20" i="11"/>
  <c r="D33" i="11"/>
  <c r="D40" i="11" l="1"/>
  <c r="D23" i="11"/>
  <c r="D24" i="11" s="1"/>
  <c r="D36" i="11"/>
  <c r="D37" i="11" s="1"/>
  <c r="D41" i="11"/>
  <c r="D42" i="11" l="1"/>
  <c r="J71" i="11"/>
  <c r="P9" i="10" s="1"/>
  <c r="F71" i="11"/>
  <c r="L9" i="10" s="1"/>
  <c r="I71" i="11"/>
  <c r="E71" i="11"/>
  <c r="J72" i="11"/>
  <c r="P10" i="10" s="1"/>
  <c r="J80" i="11"/>
  <c r="P18" i="10" s="1"/>
  <c r="J77" i="11"/>
  <c r="P15" i="10" s="1"/>
  <c r="J78" i="11"/>
  <c r="P16" i="10" s="1"/>
  <c r="J73" i="11"/>
  <c r="P11" i="10" s="1"/>
  <c r="J81" i="11"/>
  <c r="P19" i="10" s="1"/>
  <c r="J74" i="11"/>
  <c r="P12" i="10" s="1"/>
  <c r="J82" i="11"/>
  <c r="P20" i="10" s="1"/>
  <c r="J86" i="11"/>
  <c r="P24" i="10" s="1"/>
  <c r="J75" i="11"/>
  <c r="P13" i="10" s="1"/>
  <c r="J83" i="11"/>
  <c r="P21" i="10" s="1"/>
  <c r="J76" i="11"/>
  <c r="P14" i="10" s="1"/>
  <c r="J84" i="11"/>
  <c r="P22" i="10" s="1"/>
  <c r="J85" i="11"/>
  <c r="P23" i="10" s="1"/>
  <c r="J79" i="11"/>
  <c r="P17" i="10" s="1"/>
  <c r="F85" i="11"/>
  <c r="L23" i="10" s="1"/>
  <c r="F77" i="11"/>
  <c r="L15" i="10" s="1"/>
  <c r="F82" i="11"/>
  <c r="L20" i="10" s="1"/>
  <c r="F74" i="11"/>
  <c r="L12" i="10" s="1"/>
  <c r="F79" i="11"/>
  <c r="L17" i="10" s="1"/>
  <c r="F84" i="11"/>
  <c r="L22" i="10" s="1"/>
  <c r="F76" i="11"/>
  <c r="L14" i="10" s="1"/>
  <c r="F81" i="11"/>
  <c r="L19" i="10" s="1"/>
  <c r="F73" i="11"/>
  <c r="L11" i="10" s="1"/>
  <c r="F86" i="11"/>
  <c r="L24" i="10" s="1"/>
  <c r="F78" i="11"/>
  <c r="L16" i="10" s="1"/>
  <c r="F83" i="11"/>
  <c r="L21" i="10" s="1"/>
  <c r="F75" i="11"/>
  <c r="L13" i="10" s="1"/>
  <c r="F80" i="11"/>
  <c r="L18" i="10" s="1"/>
  <c r="F72" i="11"/>
  <c r="L10" i="10" s="1"/>
  <c r="I84" i="11"/>
  <c r="E80" i="11"/>
  <c r="K18" i="10" s="1"/>
  <c r="I76" i="11"/>
  <c r="E72" i="11"/>
  <c r="K10" i="10" s="1"/>
  <c r="E85" i="11"/>
  <c r="K23" i="10" s="1"/>
  <c r="I81" i="11"/>
  <c r="E77" i="11"/>
  <c r="I73" i="11"/>
  <c r="O11" i="10" s="1"/>
  <c r="I86" i="11"/>
  <c r="E82" i="11"/>
  <c r="I78" i="11"/>
  <c r="E74" i="11"/>
  <c r="K12" i="10" s="1"/>
  <c r="I83" i="11"/>
  <c r="E79" i="11"/>
  <c r="K17" i="10" s="1"/>
  <c r="I75" i="11"/>
  <c r="O13" i="10" s="1"/>
  <c r="E84" i="11"/>
  <c r="K22" i="10" s="1"/>
  <c r="I80" i="11"/>
  <c r="O18" i="10" s="1"/>
  <c r="E76" i="11"/>
  <c r="I72" i="11"/>
  <c r="O10" i="10" s="1"/>
  <c r="I85" i="11"/>
  <c r="O23" i="10" s="1"/>
  <c r="E81" i="11"/>
  <c r="I77" i="11"/>
  <c r="O15" i="10" s="1"/>
  <c r="E73" i="11"/>
  <c r="E86" i="11"/>
  <c r="I82" i="11"/>
  <c r="O20" i="10" s="1"/>
  <c r="E78" i="11"/>
  <c r="I74" i="11"/>
  <c r="E83" i="11"/>
  <c r="K21" i="10" s="1"/>
  <c r="I79" i="11"/>
  <c r="E75" i="11"/>
  <c r="K71" i="11" l="1"/>
  <c r="Q9" i="10" s="1"/>
  <c r="D9" i="10" s="1"/>
  <c r="K74" i="11"/>
  <c r="Q12" i="10" s="1"/>
  <c r="D12" i="10" s="1"/>
  <c r="O12" i="10"/>
  <c r="K78" i="11"/>
  <c r="Q16" i="10" s="1"/>
  <c r="D16" i="10" s="1"/>
  <c r="O16" i="10"/>
  <c r="K76" i="11"/>
  <c r="Q14" i="10" s="1"/>
  <c r="D14" i="10" s="1"/>
  <c r="O14" i="10"/>
  <c r="K20" i="10"/>
  <c r="K14" i="10"/>
  <c r="K24" i="10"/>
  <c r="K86" i="11"/>
  <c r="Q24" i="10" s="1"/>
  <c r="D24" i="10" s="1"/>
  <c r="O24" i="10"/>
  <c r="K84" i="11"/>
  <c r="Q22" i="10" s="1"/>
  <c r="D22" i="10" s="1"/>
  <c r="O22" i="10"/>
  <c r="K16" i="10"/>
  <c r="O9" i="10"/>
  <c r="K11" i="10"/>
  <c r="K9" i="10"/>
  <c r="K13" i="10"/>
  <c r="K15" i="10"/>
  <c r="K19" i="10"/>
  <c r="K79" i="11"/>
  <c r="Q17" i="10" s="1"/>
  <c r="D17" i="10" s="1"/>
  <c r="O17" i="10"/>
  <c r="K81" i="11"/>
  <c r="Q19" i="10" s="1"/>
  <c r="D19" i="10" s="1"/>
  <c r="O19" i="10"/>
  <c r="K83" i="11"/>
  <c r="Q21" i="10" s="1"/>
  <c r="D21" i="10" s="1"/>
  <c r="O21" i="10"/>
  <c r="K85" i="11"/>
  <c r="Q23" i="10" s="1"/>
  <c r="D23" i="10" s="1"/>
  <c r="K82" i="11"/>
  <c r="K72" i="11"/>
  <c r="Q10" i="10" s="1"/>
  <c r="D10" i="10" s="1"/>
  <c r="K75" i="11"/>
  <c r="K73" i="11"/>
  <c r="Q11" i="10" s="1"/>
  <c r="D11" i="10" s="1"/>
  <c r="K80" i="11"/>
  <c r="Q18" i="10" s="1"/>
  <c r="D18" i="10" s="1"/>
  <c r="K77" i="11"/>
  <c r="Q15" i="10" s="1"/>
  <c r="D15" i="10" s="1"/>
  <c r="Q13" i="10" l="1"/>
  <c r="D13" i="10" s="1"/>
  <c r="Q20" i="10"/>
  <c r="D20" i="10" s="1"/>
  <c r="K50" i="11" l="1"/>
  <c r="AA23" i="4"/>
  <c r="W23" i="4"/>
  <c r="O23" i="4"/>
  <c r="AG23" i="4"/>
  <c r="AC23" i="4"/>
  <c r="Y23" i="4"/>
  <c r="U23" i="4"/>
  <c r="Q23" i="4"/>
  <c r="M23" i="4"/>
  <c r="I23" i="4"/>
  <c r="E23" i="4"/>
  <c r="AF23" i="4"/>
  <c r="AB23" i="4"/>
  <c r="X23" i="4"/>
  <c r="T23" i="4"/>
  <c r="P23" i="4"/>
  <c r="L23" i="4"/>
  <c r="H23" i="4"/>
  <c r="D23" i="4"/>
  <c r="AE23" i="4"/>
  <c r="S23" i="4"/>
  <c r="K23" i="4"/>
  <c r="G23" i="4"/>
  <c r="AH23" i="4"/>
  <c r="AD23" i="4"/>
  <c r="Z23" i="4"/>
  <c r="V23" i="4"/>
  <c r="R23" i="4"/>
  <c r="N23" i="4"/>
  <c r="J23" i="4"/>
  <c r="F23" i="4"/>
  <c r="M50" i="11" l="1"/>
  <c r="M51" i="11" s="1"/>
  <c r="R50" i="11"/>
  <c r="R51" i="11" s="1"/>
  <c r="H50" i="11"/>
  <c r="H51" i="11" s="1"/>
  <c r="E50" i="11"/>
  <c r="E51" i="11" s="1"/>
  <c r="N50" i="11"/>
  <c r="N51" i="11" s="1"/>
  <c r="I50" i="11"/>
  <c r="I51" i="11" s="1"/>
  <c r="J50" i="11"/>
  <c r="J51" i="11" s="1"/>
  <c r="L50" i="11"/>
  <c r="L51" i="11" s="1"/>
  <c r="F50" i="11"/>
  <c r="F51" i="11" s="1"/>
  <c r="G50" i="11"/>
  <c r="G51" i="11" s="1"/>
  <c r="P50" i="11"/>
  <c r="P51" i="11" s="1"/>
  <c r="O50" i="11"/>
  <c r="O51" i="11" s="1"/>
  <c r="S50" i="11"/>
  <c r="Q50" i="11"/>
  <c r="Q51" i="11" s="1"/>
  <c r="D54" i="11"/>
  <c r="L54" i="11" l="1"/>
  <c r="S54" i="11"/>
  <c r="S55" i="11" s="1"/>
  <c r="F54" i="11"/>
  <c r="P54" i="11"/>
  <c r="H54" i="11"/>
  <c r="G54" i="11"/>
  <c r="R54" i="11"/>
  <c r="Q54" i="11"/>
  <c r="K54" i="11"/>
  <c r="K55" i="11" s="1"/>
  <c r="M54" i="11"/>
  <c r="I54" i="11"/>
  <c r="O54" i="11"/>
  <c r="J54" i="11"/>
  <c r="E54" i="11"/>
  <c r="N54" i="11"/>
  <c r="K51" i="11"/>
  <c r="S51" i="11"/>
  <c r="D55" i="11"/>
  <c r="S58" i="11" l="1"/>
  <c r="S65" i="11" s="1"/>
  <c r="S59" i="11"/>
  <c r="K58" i="11"/>
  <c r="K65" i="11" s="1"/>
  <c r="L58" i="11"/>
  <c r="L65" i="11" s="1"/>
  <c r="L55" i="11"/>
  <c r="L59" i="11" s="1"/>
  <c r="C79" i="11" s="1"/>
  <c r="P55" i="11"/>
  <c r="P59" i="11" s="1"/>
  <c r="C83" i="11" s="1"/>
  <c r="P58" i="11"/>
  <c r="P65" i="11" s="1"/>
  <c r="M58" i="11"/>
  <c r="M65" i="11" s="1"/>
  <c r="M55" i="11"/>
  <c r="M59" i="11" s="1"/>
  <c r="C80" i="11" s="1"/>
  <c r="Q58" i="11"/>
  <c r="Q65" i="11" s="1"/>
  <c r="Q55" i="11"/>
  <c r="Q59" i="11" s="1"/>
  <c r="C84" i="11" s="1"/>
  <c r="T54" i="11"/>
  <c r="E58" i="11"/>
  <c r="E65" i="11" s="1"/>
  <c r="E55" i="11"/>
  <c r="E59" i="11" s="1"/>
  <c r="C72" i="11" s="1"/>
  <c r="G55" i="11"/>
  <c r="G59" i="11" s="1"/>
  <c r="C74" i="11" s="1"/>
  <c r="G58" i="11"/>
  <c r="G65" i="11" s="1"/>
  <c r="R55" i="11"/>
  <c r="R59" i="11" s="1"/>
  <c r="C85" i="11" s="1"/>
  <c r="R58" i="11"/>
  <c r="R65" i="11" s="1"/>
  <c r="N55" i="11"/>
  <c r="N59" i="11" s="1"/>
  <c r="C81" i="11" s="1"/>
  <c r="N58" i="11"/>
  <c r="N65" i="11" s="1"/>
  <c r="F55" i="11"/>
  <c r="F59" i="11" s="1"/>
  <c r="C73" i="11" s="1"/>
  <c r="F58" i="11"/>
  <c r="F65" i="11" s="1"/>
  <c r="O55" i="11"/>
  <c r="O59" i="11" s="1"/>
  <c r="C82" i="11" s="1"/>
  <c r="O58" i="11"/>
  <c r="O65" i="11" s="1"/>
  <c r="H58" i="11"/>
  <c r="H65" i="11" s="1"/>
  <c r="H55" i="11"/>
  <c r="H59" i="11" s="1"/>
  <c r="C75" i="11" s="1"/>
  <c r="J58" i="11"/>
  <c r="J65" i="11" s="1"/>
  <c r="J55" i="11"/>
  <c r="J59" i="11" s="1"/>
  <c r="C77" i="11" s="1"/>
  <c r="I58" i="11"/>
  <c r="I65" i="11" s="1"/>
  <c r="I55" i="11"/>
  <c r="I59" i="11" s="1"/>
  <c r="C76" i="11" s="1"/>
  <c r="K59" i="11"/>
  <c r="C78" i="11" s="1"/>
  <c r="C86" i="11" l="1"/>
  <c r="I24" i="10" s="1"/>
  <c r="I20" i="10"/>
  <c r="G82" i="11"/>
  <c r="I12" i="10"/>
  <c r="G74" i="11"/>
  <c r="I22" i="10"/>
  <c r="G84" i="11"/>
  <c r="I18" i="10"/>
  <c r="G80" i="11"/>
  <c r="I17" i="10"/>
  <c r="G79" i="11"/>
  <c r="I13" i="10"/>
  <c r="G75" i="11"/>
  <c r="I10" i="10"/>
  <c r="G72" i="11"/>
  <c r="I14" i="10"/>
  <c r="G76" i="11"/>
  <c r="I11" i="10"/>
  <c r="G73" i="11"/>
  <c r="I16" i="10"/>
  <c r="G78" i="11"/>
  <c r="I15" i="10"/>
  <c r="G77" i="11"/>
  <c r="I19" i="10"/>
  <c r="G81" i="11"/>
  <c r="I23" i="10"/>
  <c r="G85" i="11"/>
  <c r="I21" i="10"/>
  <c r="G83" i="11"/>
  <c r="G86" i="11" l="1"/>
  <c r="L86" i="11" s="1"/>
  <c r="S66" i="11" s="1"/>
  <c r="M16" i="10"/>
  <c r="C16" i="10" s="1"/>
  <c r="L78" i="11"/>
  <c r="M78" i="11"/>
  <c r="S16" i="10" s="1"/>
  <c r="F16" i="10" s="1"/>
  <c r="M17" i="10"/>
  <c r="C17" i="10" s="1"/>
  <c r="L79" i="11"/>
  <c r="M79" i="11"/>
  <c r="S17" i="10" s="1"/>
  <c r="F17" i="10" s="1"/>
  <c r="M12" i="10"/>
  <c r="C12" i="10" s="1"/>
  <c r="L74" i="11"/>
  <c r="M74" i="11"/>
  <c r="S12" i="10" s="1"/>
  <c r="F12" i="10" s="1"/>
  <c r="M20" i="10"/>
  <c r="C20" i="10" s="1"/>
  <c r="M82" i="11"/>
  <c r="S20" i="10" s="1"/>
  <c r="F20" i="10" s="1"/>
  <c r="L82" i="11"/>
  <c r="M13" i="10"/>
  <c r="C13" i="10" s="1"/>
  <c r="M75" i="11"/>
  <c r="S13" i="10" s="1"/>
  <c r="F13" i="10" s="1"/>
  <c r="L75" i="11"/>
  <c r="M15" i="10"/>
  <c r="C15" i="10" s="1"/>
  <c r="L77" i="11"/>
  <c r="M77" i="11"/>
  <c r="S15" i="10" s="1"/>
  <c r="F15" i="10" s="1"/>
  <c r="M11" i="10"/>
  <c r="C11" i="10" s="1"/>
  <c r="M73" i="11"/>
  <c r="S11" i="10" s="1"/>
  <c r="F11" i="10" s="1"/>
  <c r="L73" i="11"/>
  <c r="M14" i="10"/>
  <c r="C14" i="10" s="1"/>
  <c r="M76" i="11"/>
  <c r="S14" i="10" s="1"/>
  <c r="F14" i="10" s="1"/>
  <c r="L76" i="11"/>
  <c r="M18" i="10"/>
  <c r="C18" i="10" s="1"/>
  <c r="M80" i="11"/>
  <c r="S18" i="10" s="1"/>
  <c r="F18" i="10" s="1"/>
  <c r="L80" i="11"/>
  <c r="M22" i="10"/>
  <c r="C22" i="10" s="1"/>
  <c r="M84" i="11"/>
  <c r="S22" i="10" s="1"/>
  <c r="F22" i="10" s="1"/>
  <c r="L84" i="11"/>
  <c r="M23" i="10"/>
  <c r="C23" i="10" s="1"/>
  <c r="L85" i="11"/>
  <c r="M85" i="11"/>
  <c r="S23" i="10" s="1"/>
  <c r="F23" i="10" s="1"/>
  <c r="M19" i="10"/>
  <c r="C19" i="10" s="1"/>
  <c r="L81" i="11"/>
  <c r="M81" i="11"/>
  <c r="S19" i="10" s="1"/>
  <c r="F19" i="10" s="1"/>
  <c r="M21" i="10"/>
  <c r="C21" i="10" s="1"/>
  <c r="L83" i="11"/>
  <c r="M83" i="11"/>
  <c r="S21" i="10" s="1"/>
  <c r="F21" i="10" s="1"/>
  <c r="M10" i="10"/>
  <c r="C10" i="10" s="1"/>
  <c r="M72" i="11"/>
  <c r="S10" i="10" s="1"/>
  <c r="F10" i="10" s="1"/>
  <c r="L72" i="11"/>
  <c r="M86" i="11" l="1"/>
  <c r="S24" i="10" s="1"/>
  <c r="F24" i="10" s="1"/>
  <c r="M24" i="10"/>
  <c r="C24" i="10" s="1"/>
  <c r="R24" i="10"/>
  <c r="E24" i="10" s="1"/>
  <c r="R23" i="10"/>
  <c r="E23" i="10" s="1"/>
  <c r="R66" i="11"/>
  <c r="M66" i="11"/>
  <c r="R18" i="10"/>
  <c r="E18" i="10" s="1"/>
  <c r="P66" i="11"/>
  <c r="R21" i="10"/>
  <c r="E21" i="10" s="1"/>
  <c r="R22" i="10"/>
  <c r="E22" i="10" s="1"/>
  <c r="Q66" i="11"/>
  <c r="R20" i="10"/>
  <c r="E20" i="10" s="1"/>
  <c r="O66" i="11"/>
  <c r="L66" i="11"/>
  <c r="R17" i="10"/>
  <c r="E17" i="10" s="1"/>
  <c r="K66" i="11"/>
  <c r="R16" i="10"/>
  <c r="E16" i="10" s="1"/>
  <c r="R15" i="10"/>
  <c r="E15" i="10" s="1"/>
  <c r="J66" i="11"/>
  <c r="R12" i="10"/>
  <c r="E12" i="10" s="1"/>
  <c r="G66" i="11"/>
  <c r="R19" i="10"/>
  <c r="E19" i="10" s="1"/>
  <c r="N66" i="11"/>
  <c r="E66" i="11"/>
  <c r="R10" i="10"/>
  <c r="E10" i="10" s="1"/>
  <c r="R14" i="10"/>
  <c r="E14" i="10" s="1"/>
  <c r="I66" i="11"/>
  <c r="F66" i="11"/>
  <c r="R11" i="10"/>
  <c r="E11" i="10" s="1"/>
  <c r="H66" i="11"/>
  <c r="R13" i="10"/>
  <c r="E13" i="10" s="1"/>
  <c r="C23" i="4" l="1"/>
  <c r="D50" i="11" l="1"/>
  <c r="D51" i="11" s="1"/>
  <c r="D59" i="11" l="1"/>
  <c r="C71" i="11" s="1"/>
  <c r="T50" i="11"/>
  <c r="D58" i="11"/>
  <c r="D65" i="11" s="1"/>
  <c r="T65" i="11" s="1"/>
  <c r="G71" i="11" l="1"/>
  <c r="I9" i="10"/>
  <c r="M9" i="10" l="1"/>
  <c r="C9" i="10" s="1"/>
  <c r="L71" i="11"/>
  <c r="M71" i="11"/>
  <c r="S9" i="10" s="1"/>
  <c r="F9" i="10" s="1"/>
  <c r="R9" i="10" l="1"/>
  <c r="E9" i="10" s="1"/>
  <c r="D66" i="11"/>
  <c r="T66" i="11" s="1"/>
</calcChain>
</file>

<file path=xl/sharedStrings.xml><?xml version="1.0" encoding="utf-8"?>
<sst xmlns="http://schemas.openxmlformats.org/spreadsheetml/2006/main" count="266" uniqueCount="118">
  <si>
    <t>Installation Cost</t>
  </si>
  <si>
    <t>Equipment Cost</t>
  </si>
  <si>
    <t>Effective Useful Life (years)</t>
  </si>
  <si>
    <t>Flush kit cost (First time only)</t>
  </si>
  <si>
    <t>First Cost</t>
  </si>
  <si>
    <t>Average</t>
  </si>
  <si>
    <t>Replacement Equipment Cost</t>
  </si>
  <si>
    <t>Replacement Labor Cost</t>
  </si>
  <si>
    <t>Total Replacement Cost</t>
  </si>
  <si>
    <t>Maintenance (Flush) Cost per Time</t>
  </si>
  <si>
    <t>Yr N</t>
  </si>
  <si>
    <t>PWF</t>
  </si>
  <si>
    <t>Flush Kit (Bucket/Pump/Hoses)</t>
  </si>
  <si>
    <t>Drain Kit (Drain &amp; Isolation Valves)</t>
  </si>
  <si>
    <t>Million kBtu</t>
  </si>
  <si>
    <t>Million $</t>
  </si>
  <si>
    <t>Climate Zone</t>
  </si>
  <si>
    <t>Year</t>
  </si>
  <si>
    <t>TOTAL</t>
  </si>
  <si>
    <t>Benefit</t>
  </si>
  <si>
    <t>Maintenance (Flush) Frequency (yr)</t>
  </si>
  <si>
    <t>Useful Life Tankless</t>
  </si>
  <si>
    <t>Useful Life Storage</t>
  </si>
  <si>
    <t>Who Performs Maintenance</t>
  </si>
  <si>
    <t>Plumber</t>
  </si>
  <si>
    <t>Maintenance Frequency Storage 
(years between maintenance)</t>
  </si>
  <si>
    <t>Maintenance Frequency Tankless
(years between maintenance)</t>
  </si>
  <si>
    <t>Maintenance Cost Tankless 
(cost per time)</t>
  </si>
  <si>
    <t>Maintenance Cost Storage
(cost per time)</t>
  </si>
  <si>
    <t>Flush Kit Cost Tankless</t>
  </si>
  <si>
    <t>Flush Kit Cost Storage</t>
  </si>
  <si>
    <t>Annual Discount Rate</t>
  </si>
  <si>
    <t xml:space="preserve">Present Value </t>
  </si>
  <si>
    <t>Discount</t>
  </si>
  <si>
    <t>Measure Cost (All Climate Zones Over 30-year Period of Analysis)</t>
  </si>
  <si>
    <t>Instantaneous Water heater (Measure Case)</t>
  </si>
  <si>
    <t>Tank Type Water heater (Base Case)</t>
  </si>
  <si>
    <t>Energy Use and Energy Cost Impacts</t>
  </si>
  <si>
    <t>First Year Electricity Use</t>
  </si>
  <si>
    <t>First Year TDV Total Use (kBtu)</t>
  </si>
  <si>
    <t>Total Equipment + Maintenance Cost over 30 Years</t>
  </si>
  <si>
    <t>Energy Cost Over 30 years (2017$)</t>
  </si>
  <si>
    <t>First Year Energy Use</t>
  </si>
  <si>
    <t>Total Maintenance Cost</t>
  </si>
  <si>
    <t>Incremental Energy Use and Energy Cost Savings (Base Cast to Measure Case; negative numbers represent increase in energy use of measure case relative to base case)</t>
  </si>
  <si>
    <t>First Year TDV Total Use Savings  (kBtu)</t>
  </si>
  <si>
    <t>TDV  Energy Cost Factor: 30-year residential ($/kBTU)</t>
  </si>
  <si>
    <t>Energy Cost Saving Over 30 years (2017 PV$)</t>
  </si>
  <si>
    <t>Cost: Total Incremental Cost</t>
  </si>
  <si>
    <t>Cost Effectiveness Results</t>
  </si>
  <si>
    <t>Statewide Savings Analysis Results</t>
  </si>
  <si>
    <t>New Construction Impacted by Proposed Code Change in 2017 (new starts)</t>
  </si>
  <si>
    <t>First Year Statewide Gas TDV Energy Savings (kBtu)</t>
  </si>
  <si>
    <t xml:space="preserve">Benefit: TDV Energy Cost Savings </t>
  </si>
  <si>
    <t>(2017 PV $)</t>
  </si>
  <si>
    <r>
      <t>Change in Lifecycle Cost</t>
    </r>
    <r>
      <rPr>
        <b/>
        <vertAlign val="superscript"/>
        <sz val="10"/>
        <color theme="1"/>
        <rFont val="Times New Roman"/>
        <family val="1"/>
      </rPr>
      <t>2</t>
    </r>
  </si>
  <si>
    <r>
      <t>Total Benefit</t>
    </r>
    <r>
      <rPr>
        <sz val="10"/>
        <color theme="1"/>
        <rFont val="Times New Roman"/>
        <family val="1"/>
      </rPr>
      <t> </t>
    </r>
    <r>
      <rPr>
        <b/>
        <sz val="8"/>
        <color theme="1"/>
        <rFont val="Times New Roman"/>
        <family val="1"/>
      </rPr>
      <t> </t>
    </r>
  </si>
  <si>
    <t>Change in Lifecycle Cost2</t>
  </si>
  <si>
    <t>(2017 PV $)1</t>
  </si>
  <si>
    <t>Benefit to Cost Ratio</t>
  </si>
  <si>
    <t>Incremental Cost (Base Cast to Measure Case; negative numbers represent cost savings of measure case relative to base case)</t>
  </si>
  <si>
    <t>Replacement Cost</t>
  </si>
  <si>
    <t>Maintenance Cost</t>
  </si>
  <si>
    <t>First Cost Savings</t>
  </si>
  <si>
    <t xml:space="preserve">Energy Cost Savings </t>
  </si>
  <si>
    <r>
      <t>Equipment Replacement Cost Savings</t>
    </r>
    <r>
      <rPr>
        <sz val="10"/>
        <color theme="1"/>
        <rFont val="Times New Roman"/>
        <family val="1"/>
      </rPr>
      <t> </t>
    </r>
    <r>
      <rPr>
        <b/>
        <sz val="8"/>
        <color theme="1"/>
        <rFont val="Times New Roman"/>
        <family val="1"/>
      </rPr>
      <t> </t>
    </r>
  </si>
  <si>
    <r>
      <t>Maintenance Cost Savings</t>
    </r>
    <r>
      <rPr>
        <sz val="10"/>
        <color theme="1"/>
        <rFont val="Times New Roman"/>
        <family val="1"/>
      </rPr>
      <t> </t>
    </r>
    <r>
      <rPr>
        <b/>
        <sz val="8"/>
        <color theme="1"/>
        <rFont val="Times New Roman"/>
        <family val="1"/>
      </rPr>
      <t> </t>
    </r>
  </si>
  <si>
    <t>Total Incremental Cost</t>
  </si>
  <si>
    <t>Incremental Cost</t>
  </si>
  <si>
    <t>Model runs completed using CBECC-res version 3, 2016 TDV values, and using assumptions described in Residential IWH CASE Report (Sep 2014)</t>
  </si>
  <si>
    <t>Last updated September 19, 2014</t>
  </si>
  <si>
    <t>Prototype 1</t>
  </si>
  <si>
    <t>Square Feet</t>
  </si>
  <si>
    <t>Prototype 2</t>
  </si>
  <si>
    <t>Climate Zone 1</t>
  </si>
  <si>
    <t>Climate Zone 2</t>
  </si>
  <si>
    <t>Climate Zone 3</t>
  </si>
  <si>
    <t>Climate Zone 4</t>
  </si>
  <si>
    <t>Climate Zone 5</t>
  </si>
  <si>
    <t>Climate Zone 6</t>
  </si>
  <si>
    <t>Climate Zone 7</t>
  </si>
  <si>
    <t>Climate Zone 8</t>
  </si>
  <si>
    <t>Climate Zone 9</t>
  </si>
  <si>
    <t>Climate Zone 10</t>
  </si>
  <si>
    <t>Climate Zone 11</t>
  </si>
  <si>
    <t>Climate Zone 12</t>
  </si>
  <si>
    <t>Climate Zone 13</t>
  </si>
  <si>
    <t>Climate Zone 14</t>
  </si>
  <si>
    <t>Climate Zone 15</t>
  </si>
  <si>
    <t>Climate Zone 16</t>
  </si>
  <si>
    <t>Prototype Building 1</t>
  </si>
  <si>
    <t>Prototype Building 2</t>
  </si>
  <si>
    <t>Storage Water heater (Base Case)</t>
  </si>
  <si>
    <t>Annual Energy Use per Prototype Building (kBTU/Building-yr)</t>
  </si>
  <si>
    <t>Annual Energy Use per Square Foot (kBTU/SF-yr</t>
  </si>
  <si>
    <t>Assumptions For LCC Analysis</t>
  </si>
  <si>
    <t>Annual Energy Savings per Square Foot (kBTU/SF-yr</t>
  </si>
  <si>
    <t>Storage Water Heater (Base Case) Annual Energy Use</t>
  </si>
  <si>
    <t>Annual Energy Savings</t>
  </si>
  <si>
    <t>Annual Energy Savings per Prototype Building (kBTU/Building-yr)</t>
  </si>
  <si>
    <t>Number of Floors</t>
  </si>
  <si>
    <t>% of Statewide Construction</t>
  </si>
  <si>
    <t>Assumptions about Prototype Buildings</t>
  </si>
  <si>
    <t>Weighted average between Prototype 1 and Prototype 2</t>
  </si>
  <si>
    <t>Annual Energy Use Storage Water Heater (kBTU/Building-yr)</t>
  </si>
  <si>
    <t>Annual Energy Savings (kBTU/Building-yr)</t>
  </si>
  <si>
    <t>Annual Energy Impacts, Statewide Weighted Average per Building</t>
  </si>
  <si>
    <t>Annual Energy Impact Per Prototype Building</t>
  </si>
  <si>
    <t>Instantaneous Water Heater (Measure CASE) Annual Energy Use</t>
  </si>
  <si>
    <t>Annual Energy Use Instantaneous Water Heater (kBTU/Building-yr)</t>
  </si>
  <si>
    <r>
      <t xml:space="preserve">Residential Instantaneous Water Heating CASE Analysis
</t>
    </r>
    <r>
      <rPr>
        <b/>
        <sz val="16"/>
        <color theme="3"/>
        <rFont val="Cambria"/>
        <family val="1"/>
        <scheme val="major"/>
      </rPr>
      <t>Energy Modeling Results</t>
    </r>
  </si>
  <si>
    <r>
      <t xml:space="preserve">Residential Instantaneous Water Heating CASE Analysis
</t>
    </r>
    <r>
      <rPr>
        <b/>
        <sz val="16"/>
        <color theme="3"/>
        <rFont val="Cambria"/>
        <family val="1"/>
        <scheme val="major"/>
      </rPr>
      <t>Assumptions Input Tab</t>
    </r>
  </si>
  <si>
    <t>Assumptions used In CASE Analysis</t>
  </si>
  <si>
    <r>
      <t xml:space="preserve">Residential Instantaneous Water Heating CASE Analysis
</t>
    </r>
    <r>
      <rPr>
        <b/>
        <sz val="16"/>
        <color theme="3"/>
        <rFont val="Cambria"/>
        <family val="1"/>
        <scheme val="major"/>
      </rPr>
      <t>Results of Cost-effectiveness Analysis - Simple</t>
    </r>
  </si>
  <si>
    <r>
      <t xml:space="preserve">Residential Instantaneous Water Heating CASE Analysis
</t>
    </r>
    <r>
      <rPr>
        <b/>
        <sz val="16"/>
        <color theme="3"/>
        <rFont val="Cambria"/>
        <family val="1"/>
        <scheme val="major"/>
      </rPr>
      <t>Results of Cost-effectiveness Analysis - Detailed</t>
    </r>
  </si>
  <si>
    <t>Maintenance Effective Useful Life (years)</t>
  </si>
  <si>
    <t>Replacement + Maintenance Cost PV Totals</t>
  </si>
  <si>
    <t>Total change in lifecycle cost for all building constructed in 2017  (negative is cost-effective)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</si>
</sst>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4" formatCode="_(&quot;$&quot;* #,##0.00_);_(&quot;$&quot;* \(#,##0.00\);_(&quot;$&quot;* &quot;-&quot;??_);_(@_)"/>
    <numFmt numFmtId="43" formatCode="_(* #,##0.00_);_(* \(#,##0.00\);_(* &quot;-&quot;??_);_(@_)"/>
    <numFmt numFmtId="164" formatCode="&quot;$&quot;#,##0.00"/>
    <numFmt numFmtId="165" formatCode="_(* #,##0_);_(* \(#,##0\);_(* &quot;-&quot;??_);_(@_)"/>
    <numFmt numFmtId="166" formatCode="&quot;$&quot;#,##0"/>
    <numFmt numFmtId="167" formatCode="0.000"/>
    <numFmt numFmtId="168" formatCode="&quot;$&quot;#,##0.000"/>
  </numFmts>
  <fonts count="20" x14ac:knownFonts="1">
    <font>
      <sz val="11"/>
      <color theme="1"/>
      <name val="Calibri"/>
      <family val="2"/>
      <scheme val="minor"/>
    </font>
    <font>
      <b/>
      <sz val="11"/>
      <color theme="1"/>
      <name val="Calibri"/>
      <family val="2"/>
      <scheme val="minor"/>
    </font>
    <font>
      <sz val="11"/>
      <color theme="3"/>
      <name val="Calibri"/>
      <family val="2"/>
      <scheme val="minor"/>
    </font>
    <font>
      <sz val="11"/>
      <color theme="1"/>
      <name val="Calibri"/>
      <family val="2"/>
      <scheme val="minor"/>
    </font>
    <font>
      <sz val="10"/>
      <color theme="1"/>
      <name val="Calibri"/>
      <family val="2"/>
      <scheme val="minor"/>
    </font>
    <font>
      <sz val="11"/>
      <color rgb="FFFF0000"/>
      <name val="Calibri"/>
      <family val="2"/>
      <scheme val="minor"/>
    </font>
    <font>
      <b/>
      <sz val="14"/>
      <name val="Calibri"/>
      <family val="2"/>
      <scheme val="minor"/>
    </font>
    <font>
      <i/>
      <sz val="11"/>
      <name val="Calibri"/>
      <family val="2"/>
      <scheme val="minor"/>
    </font>
    <font>
      <sz val="11"/>
      <name val="Calibri"/>
      <family val="2"/>
      <scheme val="minor"/>
    </font>
    <font>
      <b/>
      <sz val="11"/>
      <name val="Calibri"/>
      <family val="2"/>
      <scheme val="minor"/>
    </font>
    <font>
      <b/>
      <sz val="16"/>
      <color theme="1"/>
      <name val="Cambria"/>
      <family val="1"/>
      <scheme val="major"/>
    </font>
    <font>
      <b/>
      <sz val="14"/>
      <color theme="1"/>
      <name val="Calibri"/>
      <family val="2"/>
      <scheme val="minor"/>
    </font>
    <font>
      <sz val="14"/>
      <name val="Calibri"/>
      <family val="2"/>
      <scheme val="minor"/>
    </font>
    <font>
      <sz val="10"/>
      <color theme="1"/>
      <name val="Times New Roman"/>
      <family val="1"/>
    </font>
    <font>
      <b/>
      <sz val="10"/>
      <color theme="1"/>
      <name val="Times New Roman"/>
      <family val="1"/>
    </font>
    <font>
      <b/>
      <vertAlign val="superscript"/>
      <sz val="10"/>
      <color theme="1"/>
      <name val="Times New Roman"/>
      <family val="1"/>
    </font>
    <font>
      <b/>
      <sz val="8"/>
      <color theme="1"/>
      <name val="Times New Roman"/>
      <family val="1"/>
    </font>
    <font>
      <sz val="12"/>
      <color theme="1"/>
      <name val="Cambria"/>
      <family val="1"/>
      <scheme val="major"/>
    </font>
    <font>
      <sz val="16"/>
      <color theme="3"/>
      <name val="Cambria"/>
      <family val="1"/>
      <scheme val="major"/>
    </font>
    <font>
      <b/>
      <sz val="16"/>
      <color theme="3"/>
      <name val="Cambria"/>
      <family val="1"/>
      <scheme val="major"/>
    </font>
  </fonts>
  <fills count="11">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bgColor indexed="64"/>
      </patternFill>
    </fill>
    <fill>
      <patternFill patternType="solid">
        <fgColor theme="6" tint="0.79998168889431442"/>
        <bgColor indexed="64"/>
      </patternFill>
    </fill>
    <fill>
      <patternFill patternType="solid">
        <fgColor theme="5"/>
        <bgColor indexed="64"/>
      </patternFill>
    </fill>
    <fill>
      <patternFill patternType="solid">
        <fgColor theme="0" tint="-0.14999847407452621"/>
        <bgColor indexed="64"/>
      </patternFill>
    </fill>
    <fill>
      <patternFill patternType="solid">
        <fgColor theme="6"/>
        <bgColor indexed="64"/>
      </patternFill>
    </fill>
    <fill>
      <patternFill patternType="solid">
        <fgColor theme="0"/>
        <bgColor indexed="64"/>
      </patternFill>
    </fill>
  </fills>
  <borders count="61">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367">
    <xf numFmtId="0" fontId="0" fillId="0" borderId="0" xfId="0"/>
    <xf numFmtId="0" fontId="2" fillId="0" borderId="0" xfId="0" applyFont="1"/>
    <xf numFmtId="0" fontId="0" fillId="0" borderId="0" xfId="0" applyAlignment="1">
      <alignment horizontal="center"/>
    </xf>
    <xf numFmtId="0" fontId="0" fillId="0" borderId="0" xfId="0" applyFont="1" applyBorder="1" applyAlignment="1">
      <alignment horizontal="center"/>
    </xf>
    <xf numFmtId="2" fontId="0" fillId="0" borderId="0" xfId="0" applyNumberFormat="1" applyFont="1" applyBorder="1" applyAlignment="1">
      <alignment horizontal="center"/>
    </xf>
    <xf numFmtId="0" fontId="0" fillId="0" borderId="0" xfId="0" applyFont="1"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4" fillId="0" borderId="0" xfId="0" applyFont="1" applyFill="1" applyBorder="1" applyAlignment="1">
      <alignment horizontal="right"/>
    </xf>
    <xf numFmtId="0" fontId="5" fillId="0" borderId="0" xfId="0" applyFont="1" applyFill="1" applyAlignment="1">
      <alignment vertical="top" wrapText="1"/>
    </xf>
    <xf numFmtId="166" fontId="0" fillId="0" borderId="0" xfId="0" applyNumberFormat="1"/>
    <xf numFmtId="0" fontId="0" fillId="0" borderId="0" xfId="0" applyFill="1" applyBorder="1"/>
    <xf numFmtId="0" fontId="4" fillId="0" borderId="0" xfId="0" applyFont="1" applyBorder="1"/>
    <xf numFmtId="0" fontId="0" fillId="0" borderId="2" xfId="0" applyBorder="1"/>
    <xf numFmtId="0" fontId="0" fillId="0" borderId="0" xfId="0"/>
    <xf numFmtId="0" fontId="0" fillId="5" borderId="0" xfId="0" applyFill="1"/>
    <xf numFmtId="0" fontId="7" fillId="2" borderId="3" xfId="0" applyFont="1" applyFill="1" applyBorder="1" applyAlignment="1">
      <alignment horizontal="left" indent="1"/>
    </xf>
    <xf numFmtId="164" fontId="8" fillId="2" borderId="3" xfId="0" applyNumberFormat="1" applyFont="1" applyFill="1" applyBorder="1"/>
    <xf numFmtId="0" fontId="8" fillId="2" borderId="3" xfId="0" applyFont="1" applyFill="1" applyBorder="1"/>
    <xf numFmtId="0" fontId="9" fillId="2" borderId="3" xfId="0" applyFont="1" applyFill="1" applyBorder="1"/>
    <xf numFmtId="0" fontId="8" fillId="2" borderId="3" xfId="0" applyFont="1" applyFill="1" applyBorder="1" applyAlignment="1">
      <alignment horizontal="left" indent="1"/>
    </xf>
    <xf numFmtId="44" fontId="8" fillId="2" borderId="3" xfId="2" applyFont="1" applyFill="1" applyBorder="1"/>
    <xf numFmtId="165" fontId="8" fillId="2" borderId="3" xfId="1" applyNumberFormat="1" applyFont="1" applyFill="1" applyBorder="1"/>
    <xf numFmtId="0" fontId="8" fillId="2" borderId="5" xfId="0" applyFont="1" applyFill="1" applyBorder="1" applyAlignment="1">
      <alignment horizontal="left" indent="1"/>
    </xf>
    <xf numFmtId="0" fontId="8" fillId="2" borderId="5" xfId="0" applyFont="1" applyFill="1" applyBorder="1"/>
    <xf numFmtId="0" fontId="9" fillId="2" borderId="4" xfId="0" applyFont="1" applyFill="1" applyBorder="1"/>
    <xf numFmtId="0" fontId="8" fillId="2" borderId="4" xfId="0" applyFont="1" applyFill="1" applyBorder="1"/>
    <xf numFmtId="0" fontId="8" fillId="2" borderId="0" xfId="0" applyFont="1" applyFill="1" applyBorder="1"/>
    <xf numFmtId="0" fontId="0" fillId="0" borderId="0" xfId="0" applyFont="1"/>
    <xf numFmtId="0" fontId="0" fillId="0" borderId="3" xfId="0" applyFont="1" applyBorder="1"/>
    <xf numFmtId="0" fontId="8" fillId="6" borderId="3" xfId="0" applyFont="1" applyFill="1" applyBorder="1"/>
    <xf numFmtId="0" fontId="8" fillId="6" borderId="4" xfId="0" applyFont="1" applyFill="1" applyBorder="1"/>
    <xf numFmtId="0" fontId="7" fillId="4" borderId="3" xfId="0" applyFont="1" applyFill="1" applyBorder="1" applyAlignment="1">
      <alignment horizontal="left" indent="1"/>
    </xf>
    <xf numFmtId="0" fontId="8" fillId="4" borderId="3" xfId="0" applyFont="1" applyFill="1" applyBorder="1"/>
    <xf numFmtId="0" fontId="9" fillId="4" borderId="4" xfId="0" applyFont="1" applyFill="1" applyBorder="1"/>
    <xf numFmtId="0" fontId="8" fillId="4" borderId="4" xfId="0" applyFont="1" applyFill="1" applyBorder="1"/>
    <xf numFmtId="0" fontId="8" fillId="4" borderId="5" xfId="0" applyFont="1" applyFill="1" applyBorder="1" applyAlignment="1">
      <alignment horizontal="left" indent="1"/>
    </xf>
    <xf numFmtId="0" fontId="8" fillId="4" borderId="5" xfId="0" applyFont="1" applyFill="1" applyBorder="1"/>
    <xf numFmtId="0" fontId="8" fillId="4" borderId="3" xfId="0" applyFont="1" applyFill="1" applyBorder="1" applyAlignment="1">
      <alignment horizontal="left" indent="1"/>
    </xf>
    <xf numFmtId="44" fontId="8" fillId="4" borderId="3" xfId="2" applyFont="1" applyFill="1" applyBorder="1"/>
    <xf numFmtId="0" fontId="9" fillId="0" borderId="0" xfId="0" applyFont="1" applyFill="1" applyBorder="1"/>
    <xf numFmtId="0" fontId="8" fillId="0" borderId="0" xfId="0" applyFont="1" applyFill="1" applyBorder="1"/>
    <xf numFmtId="164" fontId="9" fillId="0" borderId="0" xfId="0" applyNumberFormat="1" applyFont="1" applyFill="1" applyBorder="1"/>
    <xf numFmtId="0" fontId="0" fillId="0" borderId="0" xfId="0" applyFill="1"/>
    <xf numFmtId="0" fontId="10" fillId="8" borderId="30" xfId="0" applyFont="1" applyFill="1" applyBorder="1" applyAlignment="1">
      <alignment vertical="top"/>
    </xf>
    <xf numFmtId="0" fontId="0" fillId="8" borderId="31" xfId="0" applyFill="1" applyBorder="1"/>
    <xf numFmtId="0" fontId="0" fillId="8" borderId="32" xfId="0" applyFill="1" applyBorder="1"/>
    <xf numFmtId="0" fontId="0" fillId="8" borderId="34" xfId="0" applyFill="1" applyBorder="1"/>
    <xf numFmtId="164" fontId="7" fillId="2" borderId="17" xfId="0" applyNumberFormat="1" applyFont="1" applyFill="1" applyBorder="1"/>
    <xf numFmtId="44" fontId="7" fillId="3" borderId="17" xfId="2" applyFont="1" applyFill="1" applyBorder="1"/>
    <xf numFmtId="164" fontId="8" fillId="2" borderId="18" xfId="0" applyNumberFormat="1" applyFont="1" applyFill="1" applyBorder="1"/>
    <xf numFmtId="0" fontId="8" fillId="3" borderId="7" xfId="0" applyFont="1" applyFill="1" applyBorder="1"/>
    <xf numFmtId="164" fontId="8" fillId="2" borderId="17" xfId="0" applyNumberFormat="1" applyFont="1" applyFill="1" applyBorder="1"/>
    <xf numFmtId="164" fontId="8" fillId="3" borderId="7" xfId="0" applyNumberFormat="1" applyFont="1" applyFill="1" applyBorder="1"/>
    <xf numFmtId="164" fontId="7" fillId="4" borderId="17" xfId="0" applyNumberFormat="1" applyFont="1" applyFill="1" applyBorder="1"/>
    <xf numFmtId="164" fontId="8" fillId="4" borderId="18" xfId="0" applyNumberFormat="1" applyFont="1" applyFill="1" applyBorder="1"/>
    <xf numFmtId="164" fontId="8" fillId="4" borderId="17" xfId="0" applyNumberFormat="1" applyFont="1" applyFill="1" applyBorder="1"/>
    <xf numFmtId="0" fontId="8" fillId="2" borderId="19" xfId="0" applyFont="1" applyFill="1" applyBorder="1"/>
    <xf numFmtId="164" fontId="8" fillId="2" borderId="19" xfId="0" applyNumberFormat="1" applyFont="1" applyFill="1" applyBorder="1"/>
    <xf numFmtId="164" fontId="8" fillId="2" borderId="26" xfId="0" applyNumberFormat="1" applyFont="1" applyFill="1" applyBorder="1"/>
    <xf numFmtId="0" fontId="8" fillId="2" borderId="8" xfId="0" applyFont="1" applyFill="1" applyBorder="1"/>
    <xf numFmtId="44" fontId="8" fillId="2" borderId="19" xfId="2" applyFont="1" applyFill="1" applyBorder="1"/>
    <xf numFmtId="0" fontId="8" fillId="4" borderId="19" xfId="0" applyFont="1" applyFill="1" applyBorder="1"/>
    <xf numFmtId="164" fontId="8" fillId="4" borderId="26" xfId="0" applyNumberFormat="1" applyFont="1" applyFill="1" applyBorder="1"/>
    <xf numFmtId="0" fontId="8" fillId="4" borderId="8" xfId="0" applyFont="1" applyFill="1" applyBorder="1"/>
    <xf numFmtId="44" fontId="8" fillId="4" borderId="19" xfId="2" applyFont="1" applyFill="1" applyBorder="1"/>
    <xf numFmtId="164" fontId="8" fillId="2" borderId="41" xfId="0" applyNumberFormat="1" applyFont="1" applyFill="1" applyBorder="1"/>
    <xf numFmtId="164" fontId="9" fillId="2" borderId="40" xfId="0" applyNumberFormat="1" applyFont="1" applyFill="1" applyBorder="1"/>
    <xf numFmtId="164" fontId="8" fillId="2" borderId="38" xfId="0" applyNumberFormat="1" applyFont="1" applyFill="1" applyBorder="1"/>
    <xf numFmtId="164" fontId="8" fillId="4" borderId="41" xfId="0" applyNumberFormat="1" applyFont="1" applyFill="1" applyBorder="1"/>
    <xf numFmtId="164" fontId="9" fillId="4" borderId="40" xfId="0" applyNumberFormat="1" applyFont="1" applyFill="1" applyBorder="1"/>
    <xf numFmtId="164" fontId="8" fillId="4" borderId="38" xfId="0" applyNumberFormat="1" applyFont="1" applyFill="1" applyBorder="1"/>
    <xf numFmtId="0" fontId="0" fillId="8" borderId="24" xfId="0" applyFont="1" applyFill="1" applyBorder="1"/>
    <xf numFmtId="0" fontId="0" fillId="8" borderId="1" xfId="0" applyFont="1" applyFill="1" applyBorder="1" applyAlignment="1">
      <alignment horizontal="center"/>
    </xf>
    <xf numFmtId="0" fontId="1" fillId="8" borderId="38" xfId="0" applyFont="1" applyFill="1" applyBorder="1" applyAlignment="1">
      <alignment wrapText="1"/>
    </xf>
    <xf numFmtId="0" fontId="0" fillId="8" borderId="8" xfId="0" applyFont="1" applyFill="1" applyBorder="1" applyAlignment="1">
      <alignment horizontal="center"/>
    </xf>
    <xf numFmtId="0" fontId="0" fillId="8" borderId="28" xfId="0" applyFont="1" applyFill="1" applyBorder="1" applyAlignment="1">
      <alignment horizontal="right"/>
    </xf>
    <xf numFmtId="9" fontId="0" fillId="8" borderId="17" xfId="3" applyFont="1" applyFill="1" applyBorder="1"/>
    <xf numFmtId="0" fontId="0" fillId="8" borderId="39" xfId="0" applyFont="1" applyFill="1" applyBorder="1"/>
    <xf numFmtId="0" fontId="1" fillId="8" borderId="0" xfId="0" applyFont="1" applyFill="1" applyBorder="1" applyAlignment="1">
      <alignment horizontal="center"/>
    </xf>
    <xf numFmtId="0" fontId="1" fillId="8" borderId="0" xfId="0" applyFont="1" applyFill="1" applyBorder="1"/>
    <xf numFmtId="0" fontId="1" fillId="8" borderId="25" xfId="0" applyFont="1" applyFill="1" applyBorder="1"/>
    <xf numFmtId="0" fontId="0" fillId="8" borderId="29" xfId="0" applyFont="1" applyFill="1" applyBorder="1" applyAlignment="1">
      <alignment horizontal="right"/>
    </xf>
    <xf numFmtId="0" fontId="0" fillId="8" borderId="18" xfId="0" applyFill="1" applyBorder="1"/>
    <xf numFmtId="0" fontId="0" fillId="8" borderId="40" xfId="0" applyFill="1" applyBorder="1"/>
    <xf numFmtId="167" fontId="0" fillId="8" borderId="26" xfId="0" applyNumberFormat="1" applyFont="1" applyFill="1" applyBorder="1"/>
    <xf numFmtId="167" fontId="0" fillId="8" borderId="4" xfId="0" applyNumberFormat="1" applyFont="1" applyFill="1" applyBorder="1"/>
    <xf numFmtId="167" fontId="0" fillId="8" borderId="16" xfId="0" applyNumberFormat="1" applyFont="1" applyFill="1" applyBorder="1"/>
    <xf numFmtId="0" fontId="7" fillId="2" borderId="5" xfId="0" applyFont="1" applyFill="1" applyBorder="1" applyAlignment="1">
      <alignment horizontal="left" indent="1"/>
    </xf>
    <xf numFmtId="164" fontId="7" fillId="2" borderId="7" xfId="0" applyNumberFormat="1" applyFont="1" applyFill="1" applyBorder="1"/>
    <xf numFmtId="0" fontId="6" fillId="5" borderId="30" xfId="0" applyFont="1" applyFill="1" applyBorder="1"/>
    <xf numFmtId="0" fontId="2" fillId="5" borderId="31" xfId="0" applyFont="1" applyFill="1" applyBorder="1"/>
    <xf numFmtId="164" fontId="2" fillId="5" borderId="9" xfId="0" applyNumberFormat="1" applyFont="1" applyFill="1" applyBorder="1"/>
    <xf numFmtId="0" fontId="0" fillId="5" borderId="31" xfId="0" applyFill="1" applyBorder="1"/>
    <xf numFmtId="0" fontId="0" fillId="5" borderId="32" xfId="0" applyFill="1" applyBorder="1"/>
    <xf numFmtId="0" fontId="7" fillId="4" borderId="5" xfId="0" applyFont="1" applyFill="1" applyBorder="1" applyAlignment="1">
      <alignment horizontal="left" indent="1"/>
    </xf>
    <xf numFmtId="164" fontId="7" fillId="4" borderId="7" xfId="0" applyNumberFormat="1" applyFont="1" applyFill="1" applyBorder="1"/>
    <xf numFmtId="0" fontId="11" fillId="7" borderId="30" xfId="0" applyFont="1" applyFill="1" applyBorder="1"/>
    <xf numFmtId="0" fontId="0" fillId="7" borderId="31" xfId="0" applyFont="1" applyFill="1" applyBorder="1"/>
    <xf numFmtId="164" fontId="0" fillId="7" borderId="9" xfId="0" applyNumberFormat="1" applyFont="1" applyFill="1" applyBorder="1"/>
    <xf numFmtId="0" fontId="0" fillId="7" borderId="32" xfId="0" applyFont="1" applyFill="1" applyBorder="1"/>
    <xf numFmtId="0" fontId="2" fillId="2" borderId="0" xfId="0" applyFont="1" applyFill="1" applyBorder="1"/>
    <xf numFmtId="164" fontId="2" fillId="2" borderId="0" xfId="0" applyNumberFormat="1" applyFont="1" applyFill="1" applyBorder="1"/>
    <xf numFmtId="0" fontId="8" fillId="2" borderId="17" xfId="0" applyFont="1" applyFill="1" applyBorder="1"/>
    <xf numFmtId="164" fontId="9" fillId="2" borderId="41" xfId="0" applyNumberFormat="1" applyFont="1" applyFill="1" applyBorder="1"/>
    <xf numFmtId="0" fontId="9" fillId="2" borderId="18" xfId="0" applyFont="1" applyFill="1" applyBorder="1" applyAlignment="1">
      <alignment horizontal="right"/>
    </xf>
    <xf numFmtId="0" fontId="9" fillId="4" borderId="18" xfId="0" applyFont="1" applyFill="1" applyBorder="1" applyAlignment="1">
      <alignment horizontal="right"/>
    </xf>
    <xf numFmtId="0" fontId="9" fillId="4" borderId="22" xfId="0" applyFont="1" applyFill="1" applyBorder="1"/>
    <xf numFmtId="0" fontId="8" fillId="4" borderId="23" xfId="0" applyFont="1" applyFill="1" applyBorder="1"/>
    <xf numFmtId="164" fontId="9" fillId="4" borderId="42" xfId="0" applyNumberFormat="1" applyFont="1" applyFill="1" applyBorder="1"/>
    <xf numFmtId="0" fontId="8" fillId="4" borderId="35" xfId="0" applyFont="1" applyFill="1" applyBorder="1"/>
    <xf numFmtId="0" fontId="8" fillId="4" borderId="22" xfId="0" applyFont="1" applyFill="1" applyBorder="1"/>
    <xf numFmtId="0" fontId="8" fillId="4" borderId="43" xfId="0" applyFont="1" applyFill="1" applyBorder="1"/>
    <xf numFmtId="164" fontId="9" fillId="5" borderId="39" xfId="0" applyNumberFormat="1" applyFont="1" applyFill="1" applyBorder="1"/>
    <xf numFmtId="164" fontId="9" fillId="9" borderId="40" xfId="0" applyNumberFormat="1" applyFont="1" applyFill="1" applyBorder="1"/>
    <xf numFmtId="164" fontId="9" fillId="7" borderId="40" xfId="0" applyNumberFormat="1" applyFont="1" applyFill="1" applyBorder="1"/>
    <xf numFmtId="0" fontId="11" fillId="9" borderId="30" xfId="0" applyFont="1" applyFill="1" applyBorder="1"/>
    <xf numFmtId="0" fontId="8" fillId="9" borderId="0" xfId="0" applyFont="1" applyFill="1" applyBorder="1"/>
    <xf numFmtId="164" fontId="9" fillId="9" borderId="0" xfId="0" applyNumberFormat="1" applyFont="1" applyFill="1" applyBorder="1"/>
    <xf numFmtId="0" fontId="9" fillId="6" borderId="3" xfId="0" applyFont="1" applyFill="1" applyBorder="1"/>
    <xf numFmtId="164" fontId="8" fillId="6" borderId="17" xfId="0" applyNumberFormat="1" applyFont="1" applyFill="1" applyBorder="1"/>
    <xf numFmtId="164" fontId="8" fillId="6" borderId="36" xfId="0" applyNumberFormat="1" applyFont="1" applyFill="1" applyBorder="1"/>
    <xf numFmtId="0" fontId="8" fillId="6" borderId="36" xfId="0" applyFont="1" applyFill="1" applyBorder="1"/>
    <xf numFmtId="0" fontId="9" fillId="6" borderId="5" xfId="0" applyFont="1" applyFill="1" applyBorder="1"/>
    <xf numFmtId="164" fontId="8" fillId="6" borderId="7" xfId="0" applyNumberFormat="1" applyFont="1" applyFill="1" applyBorder="1"/>
    <xf numFmtId="44" fontId="8" fillId="6" borderId="0" xfId="2" applyFont="1" applyFill="1" applyBorder="1"/>
    <xf numFmtId="0" fontId="9" fillId="6" borderId="18" xfId="0" applyFont="1" applyFill="1" applyBorder="1" applyAlignment="1">
      <alignment horizontal="right"/>
    </xf>
    <xf numFmtId="0" fontId="8" fillId="6" borderId="43" xfId="0" applyFont="1" applyFill="1" applyBorder="1"/>
    <xf numFmtId="0" fontId="8" fillId="6" borderId="1" xfId="0" applyFont="1" applyFill="1" applyBorder="1"/>
    <xf numFmtId="164" fontId="9" fillId="6" borderId="45" xfId="0" applyNumberFormat="1" applyFont="1" applyFill="1" applyBorder="1"/>
    <xf numFmtId="164" fontId="8" fillId="6" borderId="38" xfId="0" applyNumberFormat="1" applyFont="1" applyFill="1" applyBorder="1"/>
    <xf numFmtId="164" fontId="8" fillId="6" borderId="41" xfId="0" applyNumberFormat="1" applyFont="1" applyFill="1" applyBorder="1"/>
    <xf numFmtId="0" fontId="0" fillId="8" borderId="0" xfId="0" applyFill="1" applyBorder="1"/>
    <xf numFmtId="0" fontId="8" fillId="8" borderId="5" xfId="0" applyFont="1" applyFill="1" applyBorder="1" applyAlignment="1">
      <alignment horizontal="center"/>
    </xf>
    <xf numFmtId="0" fontId="2" fillId="5" borderId="2" xfId="0" applyFont="1" applyFill="1" applyBorder="1"/>
    <xf numFmtId="0" fontId="0" fillId="8" borderId="22" xfId="0" applyFont="1" applyFill="1" applyBorder="1" applyAlignment="1">
      <alignment horizontal="center"/>
    </xf>
    <xf numFmtId="0" fontId="0" fillId="8" borderId="6" xfId="0" applyFont="1" applyFill="1" applyBorder="1" applyAlignment="1">
      <alignment horizontal="center"/>
    </xf>
    <xf numFmtId="0" fontId="2" fillId="4" borderId="0" xfId="0" applyFont="1" applyFill="1" applyBorder="1"/>
    <xf numFmtId="164" fontId="2" fillId="4" borderId="0" xfId="0" applyNumberFormat="1" applyFont="1" applyFill="1" applyBorder="1"/>
    <xf numFmtId="165" fontId="8" fillId="4" borderId="3" xfId="1" applyNumberFormat="1" applyFont="1" applyFill="1" applyBorder="1"/>
    <xf numFmtId="0" fontId="8" fillId="8" borderId="0" xfId="0" applyFont="1" applyFill="1" applyBorder="1" applyAlignment="1">
      <alignment horizontal="center"/>
    </xf>
    <xf numFmtId="0" fontId="2" fillId="6" borderId="0" xfId="0" applyFont="1" applyFill="1" applyBorder="1"/>
    <xf numFmtId="164" fontId="2" fillId="6" borderId="0" xfId="0" applyNumberFormat="1" applyFont="1" applyFill="1" applyBorder="1"/>
    <xf numFmtId="165" fontId="8" fillId="6" borderId="3" xfId="1" applyNumberFormat="1" applyFont="1" applyFill="1" applyBorder="1"/>
    <xf numFmtId="164" fontId="8" fillId="4" borderId="22" xfId="0" applyNumberFormat="1" applyFont="1" applyFill="1" applyBorder="1"/>
    <xf numFmtId="0" fontId="6" fillId="6" borderId="24" xfId="0" applyFont="1" applyFill="1" applyBorder="1"/>
    <xf numFmtId="0" fontId="0" fillId="6" borderId="25" xfId="0" applyFill="1" applyBorder="1"/>
    <xf numFmtId="0" fontId="8" fillId="6" borderId="13" xfId="0" applyFont="1" applyFill="1" applyBorder="1" applyAlignment="1">
      <alignment horizontal="left" indent="1"/>
    </xf>
    <xf numFmtId="165" fontId="8" fillId="6" borderId="14" xfId="1" applyNumberFormat="1" applyFont="1" applyFill="1" applyBorder="1"/>
    <xf numFmtId="0" fontId="6" fillId="6" borderId="47" xfId="0" applyFont="1" applyFill="1" applyBorder="1"/>
    <xf numFmtId="164" fontId="8" fillId="6" borderId="4" xfId="1" applyNumberFormat="1" applyFont="1" applyFill="1" applyBorder="1"/>
    <xf numFmtId="164" fontId="8" fillId="6" borderId="16" xfId="1" applyNumberFormat="1" applyFont="1" applyFill="1" applyBorder="1"/>
    <xf numFmtId="0" fontId="8" fillId="9" borderId="31" xfId="0" applyFont="1" applyFill="1" applyBorder="1"/>
    <xf numFmtId="164" fontId="9" fillId="9" borderId="31" xfId="0" applyNumberFormat="1" applyFont="1" applyFill="1" applyBorder="1"/>
    <xf numFmtId="0" fontId="8" fillId="9" borderId="32" xfId="0" applyFont="1" applyFill="1" applyBorder="1"/>
    <xf numFmtId="0" fontId="10" fillId="8" borderId="24" xfId="0" applyFont="1" applyFill="1" applyBorder="1" applyAlignment="1">
      <alignment vertical="top"/>
    </xf>
    <xf numFmtId="0" fontId="0" fillId="8" borderId="25" xfId="0" applyFill="1" applyBorder="1"/>
    <xf numFmtId="0" fontId="8" fillId="8" borderId="21" xfId="0" applyFont="1" applyFill="1" applyBorder="1"/>
    <xf numFmtId="0" fontId="8" fillId="8" borderId="24" xfId="0" applyFont="1" applyFill="1" applyBorder="1" applyAlignment="1">
      <alignment horizontal="right"/>
    </xf>
    <xf numFmtId="0" fontId="8" fillId="8" borderId="25" xfId="0" applyFont="1" applyFill="1" applyBorder="1"/>
    <xf numFmtId="0" fontId="6" fillId="2" borderId="24" xfId="0" applyFont="1" applyFill="1" applyBorder="1"/>
    <xf numFmtId="0" fontId="0" fillId="2" borderId="25" xfId="0" applyFill="1" applyBorder="1"/>
    <xf numFmtId="0" fontId="8" fillId="2" borderId="13" xfId="0" applyFont="1" applyFill="1" applyBorder="1" applyAlignment="1">
      <alignment horizontal="left" indent="1"/>
    </xf>
    <xf numFmtId="0" fontId="8" fillId="2" borderId="14" xfId="0" applyFont="1" applyFill="1" applyBorder="1"/>
    <xf numFmtId="165" fontId="8" fillId="2" borderId="14" xfId="1" applyNumberFormat="1" applyFont="1" applyFill="1" applyBorder="1"/>
    <xf numFmtId="0" fontId="6" fillId="4" borderId="24" xfId="0" applyFont="1" applyFill="1" applyBorder="1"/>
    <xf numFmtId="0" fontId="0" fillId="4" borderId="25" xfId="0" applyFill="1" applyBorder="1"/>
    <xf numFmtId="0" fontId="8" fillId="4" borderId="13" xfId="0" applyFont="1" applyFill="1" applyBorder="1" applyAlignment="1">
      <alignment horizontal="left" indent="1"/>
    </xf>
    <xf numFmtId="165" fontId="8" fillId="4" borderId="14" xfId="1" applyNumberFormat="1" applyFont="1" applyFill="1" applyBorder="1"/>
    <xf numFmtId="0" fontId="8" fillId="4" borderId="48" xfId="0" applyFont="1" applyFill="1" applyBorder="1"/>
    <xf numFmtId="0" fontId="8" fillId="8" borderId="44" xfId="0" applyFont="1" applyFill="1" applyBorder="1" applyAlignment="1">
      <alignment horizontal="right"/>
    </xf>
    <xf numFmtId="0" fontId="8" fillId="8" borderId="8" xfId="0" applyFont="1" applyFill="1" applyBorder="1"/>
    <xf numFmtId="0" fontId="8" fillId="8" borderId="43" xfId="0" applyFont="1" applyFill="1" applyBorder="1" applyAlignment="1">
      <alignment horizontal="center"/>
    </xf>
    <xf numFmtId="168" fontId="12" fillId="8" borderId="18" xfId="0" applyNumberFormat="1" applyFont="1" applyFill="1" applyBorder="1"/>
    <xf numFmtId="165" fontId="0" fillId="0" borderId="3" xfId="1" applyNumberFormat="1" applyFont="1" applyBorder="1"/>
    <xf numFmtId="0" fontId="13" fillId="0" borderId="0" xfId="0" applyFont="1"/>
    <xf numFmtId="0" fontId="13" fillId="0" borderId="20" xfId="0" applyFont="1" applyFill="1" applyBorder="1"/>
    <xf numFmtId="166" fontId="13" fillId="0" borderId="5" xfId="0" applyNumberFormat="1" applyFont="1" applyFill="1" applyBorder="1"/>
    <xf numFmtId="5" fontId="13" fillId="0" borderId="5" xfId="0" applyNumberFormat="1" applyFont="1" applyFill="1" applyBorder="1"/>
    <xf numFmtId="2" fontId="13" fillId="0" borderId="21" xfId="0" applyNumberFormat="1" applyFont="1" applyFill="1" applyBorder="1"/>
    <xf numFmtId="0" fontId="13" fillId="0" borderId="13" xfId="0" applyFont="1" applyFill="1" applyBorder="1"/>
    <xf numFmtId="166" fontId="13" fillId="0" borderId="3" xfId="0" applyNumberFormat="1" applyFont="1" applyFill="1" applyBorder="1"/>
    <xf numFmtId="5" fontId="13" fillId="0" borderId="3" xfId="0" applyNumberFormat="1" applyFont="1" applyFill="1" applyBorder="1"/>
    <xf numFmtId="2" fontId="13" fillId="0" borderId="14" xfId="0" applyNumberFormat="1" applyFont="1" applyFill="1" applyBorder="1"/>
    <xf numFmtId="0" fontId="13" fillId="0" borderId="15" xfId="0" applyFont="1" applyFill="1" applyBorder="1"/>
    <xf numFmtId="166" fontId="13" fillId="0" borderId="4" xfId="0" applyNumberFormat="1" applyFont="1" applyFill="1" applyBorder="1"/>
    <xf numFmtId="5" fontId="13" fillId="0" borderId="4" xfId="0" applyNumberFormat="1" applyFont="1" applyFill="1" applyBorder="1"/>
    <xf numFmtId="2" fontId="13" fillId="0" borderId="16" xfId="0" applyNumberFormat="1" applyFont="1" applyFill="1" applyBorder="1"/>
    <xf numFmtId="0" fontId="14" fillId="0" borderId="52" xfId="0" applyFont="1" applyFill="1" applyBorder="1" applyAlignment="1">
      <alignment wrapText="1"/>
    </xf>
    <xf numFmtId="0" fontId="14" fillId="0" borderId="53" xfId="0" applyFont="1" applyBorder="1" applyAlignment="1">
      <alignment horizontal="center" vertical="center" wrapText="1"/>
    </xf>
    <xf numFmtId="0" fontId="14" fillId="0" borderId="54" xfId="0" applyFont="1" applyFill="1" applyBorder="1" applyAlignment="1">
      <alignment wrapText="1"/>
    </xf>
    <xf numFmtId="0" fontId="14" fillId="0" borderId="55"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166" fontId="0" fillId="0" borderId="5" xfId="0" applyNumberFormat="1" applyFont="1" applyFill="1" applyBorder="1"/>
    <xf numFmtId="0" fontId="0" fillId="0" borderId="0" xfId="0" applyFont="1" applyBorder="1"/>
    <xf numFmtId="165" fontId="0" fillId="0" borderId="0" xfId="0" applyNumberFormat="1" applyFont="1" applyBorder="1"/>
    <xf numFmtId="0" fontId="10" fillId="0" borderId="27" xfId="0" applyFont="1" applyFill="1" applyBorder="1" applyAlignment="1">
      <alignment vertical="top"/>
    </xf>
    <xf numFmtId="0" fontId="14" fillId="0" borderId="57" xfId="0" applyFont="1" applyFill="1" applyBorder="1" applyAlignment="1">
      <alignment horizontal="center" vertical="center" wrapText="1"/>
    </xf>
    <xf numFmtId="0" fontId="0" fillId="0" borderId="44" xfId="0" applyFont="1" applyFill="1" applyBorder="1"/>
    <xf numFmtId="0" fontId="0" fillId="0" borderId="58" xfId="0" applyFont="1" applyFill="1" applyBorder="1"/>
    <xf numFmtId="0" fontId="0" fillId="0" borderId="29" xfId="0" applyFont="1" applyFill="1" applyBorder="1"/>
    <xf numFmtId="0" fontId="14" fillId="0" borderId="12" xfId="0" applyFont="1" applyFill="1" applyBorder="1" applyAlignment="1">
      <alignment horizontal="center" vertical="center" wrapText="1"/>
    </xf>
    <xf numFmtId="166" fontId="0" fillId="0" borderId="20" xfId="0" applyNumberFormat="1" applyFill="1" applyBorder="1"/>
    <xf numFmtId="166" fontId="0" fillId="0" borderId="21" xfId="0" applyNumberFormat="1" applyFont="1" applyFill="1" applyBorder="1"/>
    <xf numFmtId="166" fontId="0" fillId="0" borderId="13" xfId="0" applyNumberFormat="1" applyFill="1" applyBorder="1"/>
    <xf numFmtId="166" fontId="0" fillId="0" borderId="15" xfId="0" applyNumberFormat="1" applyFill="1" applyBorder="1"/>
    <xf numFmtId="166" fontId="0" fillId="0" borderId="55" xfId="0" applyNumberFormat="1" applyFont="1" applyFill="1" applyBorder="1"/>
    <xf numFmtId="166" fontId="0" fillId="0" borderId="56" xfId="0" applyNumberFormat="1" applyFont="1" applyFill="1" applyBorder="1"/>
    <xf numFmtId="166" fontId="0" fillId="0" borderId="20" xfId="0" applyNumberFormat="1" applyFont="1" applyFill="1" applyBorder="1"/>
    <xf numFmtId="166" fontId="0" fillId="0" borderId="54" xfId="0" applyNumberFormat="1" applyFont="1" applyFill="1" applyBorder="1"/>
    <xf numFmtId="5" fontId="0" fillId="0" borderId="44" xfId="0" applyNumberFormat="1" applyFont="1" applyFill="1" applyBorder="1"/>
    <xf numFmtId="5" fontId="0" fillId="0" borderId="58" xfId="0" applyNumberFormat="1" applyFont="1" applyFill="1" applyBorder="1"/>
    <xf numFmtId="5" fontId="0" fillId="0" borderId="29" xfId="0" applyNumberFormat="1" applyFont="1" applyFill="1" applyBorder="1"/>
    <xf numFmtId="2" fontId="0" fillId="0" borderId="38" xfId="0" applyNumberFormat="1" applyFont="1" applyFill="1" applyBorder="1"/>
    <xf numFmtId="2" fontId="0" fillId="0" borderId="41" xfId="0" applyNumberFormat="1" applyFont="1" applyFill="1" applyBorder="1"/>
    <xf numFmtId="2" fontId="0" fillId="0" borderId="40" xfId="0" applyNumberFormat="1" applyFont="1" applyFill="1" applyBorder="1"/>
    <xf numFmtId="0" fontId="0" fillId="0" borderId="50" xfId="0" applyBorder="1"/>
    <xf numFmtId="0" fontId="0" fillId="0" borderId="0" xfId="0" applyFont="1" applyFill="1" applyBorder="1"/>
    <xf numFmtId="166" fontId="0" fillId="0" borderId="0" xfId="0" applyNumberFormat="1" applyFont="1" applyBorder="1"/>
    <xf numFmtId="0" fontId="0" fillId="0" borderId="5" xfId="0" applyFont="1" applyBorder="1"/>
    <xf numFmtId="165" fontId="0" fillId="0" borderId="5" xfId="1" applyNumberFormat="1" applyFont="1" applyBorder="1"/>
    <xf numFmtId="0" fontId="8" fillId="8" borderId="47" xfId="0" applyFont="1" applyFill="1" applyBorder="1" applyAlignment="1">
      <alignment horizontal="right"/>
    </xf>
    <xf numFmtId="0" fontId="8" fillId="8" borderId="59" xfId="0" applyFont="1" applyFill="1" applyBorder="1"/>
    <xf numFmtId="0" fontId="8" fillId="8" borderId="55" xfId="0" applyFont="1" applyFill="1" applyBorder="1" applyAlignment="1">
      <alignment horizontal="center"/>
    </xf>
    <xf numFmtId="0" fontId="8" fillId="8" borderId="56" xfId="0" applyFont="1" applyFill="1" applyBorder="1"/>
    <xf numFmtId="0" fontId="13" fillId="0" borderId="0" xfId="0" applyFont="1" applyFill="1" applyBorder="1"/>
    <xf numFmtId="166" fontId="13" fillId="0" borderId="0" xfId="0" applyNumberFormat="1" applyFont="1" applyFill="1" applyBorder="1"/>
    <xf numFmtId="5" fontId="13" fillId="0" borderId="0" xfId="0" applyNumberFormat="1" applyFont="1" applyFill="1" applyBorder="1"/>
    <xf numFmtId="2" fontId="13" fillId="0" borderId="0" xfId="0" applyNumberFormat="1" applyFont="1" applyFill="1" applyBorder="1"/>
    <xf numFmtId="166" fontId="0" fillId="0" borderId="0" xfId="0" applyNumberFormat="1" applyFont="1" applyFill="1" applyBorder="1"/>
    <xf numFmtId="44" fontId="8" fillId="4" borderId="4" xfId="2" applyFont="1" applyFill="1" applyBorder="1"/>
    <xf numFmtId="0" fontId="1" fillId="0" borderId="1" xfId="0" applyFont="1" applyBorder="1" applyAlignment="1">
      <alignment horizontal="center"/>
    </xf>
    <xf numFmtId="0" fontId="0" fillId="0" borderId="0" xfId="0" applyBorder="1"/>
    <xf numFmtId="0" fontId="17" fillId="0" borderId="0" xfId="0" applyFont="1" applyBorder="1"/>
    <xf numFmtId="0" fontId="17" fillId="0" borderId="2" xfId="0" applyFont="1" applyBorder="1"/>
    <xf numFmtId="0" fontId="0" fillId="0" borderId="0" xfId="0" applyFont="1" applyBorder="1" applyAlignment="1">
      <alignment horizontal="left"/>
    </xf>
    <xf numFmtId="0" fontId="1" fillId="0" borderId="0" xfId="0" applyFont="1" applyFill="1" applyBorder="1" applyAlignment="1">
      <alignment horizontal="center"/>
    </xf>
    <xf numFmtId="0" fontId="1" fillId="0" borderId="0" xfId="0" applyFont="1" applyBorder="1" applyAlignment="1">
      <alignment horizontal="center"/>
    </xf>
    <xf numFmtId="0" fontId="0" fillId="0" borderId="0" xfId="0" applyFont="1" applyBorder="1" applyAlignment="1">
      <alignment horizontal="right"/>
    </xf>
    <xf numFmtId="0" fontId="1" fillId="0" borderId="0" xfId="0" applyFont="1" applyBorder="1" applyAlignment="1">
      <alignment horizontal="right"/>
    </xf>
    <xf numFmtId="0" fontId="0" fillId="5" borderId="0" xfId="0" applyFont="1" applyFill="1" applyBorder="1" applyAlignment="1">
      <alignment horizontal="left"/>
    </xf>
    <xf numFmtId="0" fontId="0" fillId="4" borderId="3" xfId="0" applyFont="1" applyFill="1" applyBorder="1" applyAlignment="1">
      <alignment horizontal="right"/>
    </xf>
    <xf numFmtId="0" fontId="0" fillId="2" borderId="3" xfId="0" applyFont="1" applyFill="1" applyBorder="1" applyAlignment="1">
      <alignment horizontal="right"/>
    </xf>
    <xf numFmtId="0" fontId="0" fillId="8" borderId="24" xfId="0" applyFont="1" applyFill="1" applyBorder="1" applyAlignment="1">
      <alignment horizontal="left"/>
    </xf>
    <xf numFmtId="0" fontId="1" fillId="8" borderId="47" xfId="0" applyFont="1" applyFill="1" applyBorder="1" applyAlignment="1">
      <alignment horizontal="right"/>
    </xf>
    <xf numFmtId="0" fontId="0" fillId="8" borderId="26" xfId="0" applyFont="1" applyFill="1" applyBorder="1" applyAlignment="1">
      <alignment horizontal="center"/>
    </xf>
    <xf numFmtId="0" fontId="0" fillId="8" borderId="4" xfId="0" applyFont="1" applyFill="1" applyBorder="1" applyAlignment="1">
      <alignment horizontal="center"/>
    </xf>
    <xf numFmtId="0" fontId="0" fillId="8" borderId="16" xfId="0" applyFont="1" applyFill="1" applyBorder="1" applyAlignment="1">
      <alignment horizontal="center"/>
    </xf>
    <xf numFmtId="0" fontId="0" fillId="2" borderId="3" xfId="0" applyFill="1" applyBorder="1" applyAlignment="1">
      <alignment horizontal="right"/>
    </xf>
    <xf numFmtId="165" fontId="0" fillId="2" borderId="3" xfId="1" applyNumberFormat="1" applyFont="1" applyFill="1" applyBorder="1" applyAlignment="1">
      <alignment horizontal="right"/>
    </xf>
    <xf numFmtId="0" fontId="0" fillId="7" borderId="0" xfId="0" applyFont="1" applyFill="1" applyBorder="1" applyAlignment="1">
      <alignment horizontal="right"/>
    </xf>
    <xf numFmtId="0" fontId="0" fillId="4" borderId="3" xfId="0" applyFill="1" applyBorder="1" applyAlignment="1">
      <alignment horizontal="right"/>
    </xf>
    <xf numFmtId="2" fontId="0" fillId="4" borderId="3" xfId="0" applyNumberFormat="1" applyFont="1" applyFill="1" applyBorder="1" applyAlignment="1">
      <alignment horizontal="right"/>
    </xf>
    <xf numFmtId="165" fontId="0" fillId="4" borderId="3" xfId="1" applyNumberFormat="1" applyFont="1" applyFill="1" applyBorder="1" applyAlignment="1">
      <alignment horizontal="right"/>
    </xf>
    <xf numFmtId="43" fontId="0" fillId="0" borderId="0" xfId="1" applyNumberFormat="1" applyFont="1"/>
    <xf numFmtId="43" fontId="0" fillId="6" borderId="5" xfId="1" applyNumberFormat="1" applyFont="1" applyFill="1" applyBorder="1"/>
    <xf numFmtId="0" fontId="0" fillId="9" borderId="31" xfId="0" applyFont="1" applyFill="1" applyBorder="1" applyAlignment="1">
      <alignment horizontal="center"/>
    </xf>
    <xf numFmtId="0" fontId="0" fillId="9" borderId="32" xfId="0" applyFont="1" applyFill="1" applyBorder="1" applyAlignment="1">
      <alignment horizontal="center"/>
    </xf>
    <xf numFmtId="0" fontId="11" fillId="5" borderId="24" xfId="0" applyFont="1" applyFill="1" applyBorder="1" applyAlignment="1">
      <alignment horizontal="left"/>
    </xf>
    <xf numFmtId="0" fontId="0" fillId="5" borderId="25" xfId="0" applyFont="1" applyFill="1" applyBorder="1" applyAlignment="1">
      <alignment horizontal="left"/>
    </xf>
    <xf numFmtId="0" fontId="0" fillId="2" borderId="13" xfId="0" applyFont="1" applyFill="1" applyBorder="1" applyAlignment="1">
      <alignment horizontal="right"/>
    </xf>
    <xf numFmtId="0" fontId="0" fillId="2" borderId="14" xfId="0" applyFill="1" applyBorder="1" applyAlignment="1">
      <alignment horizontal="right"/>
    </xf>
    <xf numFmtId="165" fontId="0" fillId="2" borderId="14" xfId="1" applyNumberFormat="1" applyFont="1" applyFill="1" applyBorder="1" applyAlignment="1">
      <alignment horizontal="right"/>
    </xf>
    <xf numFmtId="0" fontId="11" fillId="7" borderId="24" xfId="0" applyFont="1" applyFill="1" applyBorder="1" applyAlignment="1">
      <alignment horizontal="left"/>
    </xf>
    <xf numFmtId="0" fontId="0" fillId="7" borderId="25" xfId="0" applyFont="1" applyFill="1" applyBorder="1" applyAlignment="1">
      <alignment horizontal="right"/>
    </xf>
    <xf numFmtId="0" fontId="0" fillId="4" borderId="13" xfId="0" applyFont="1" applyFill="1" applyBorder="1" applyAlignment="1">
      <alignment horizontal="right"/>
    </xf>
    <xf numFmtId="0" fontId="0" fillId="4" borderId="14" xfId="0" applyFill="1" applyBorder="1" applyAlignment="1">
      <alignment horizontal="right"/>
    </xf>
    <xf numFmtId="165" fontId="0" fillId="4" borderId="14" xfId="1" applyNumberFormat="1" applyFont="1" applyFill="1" applyBorder="1" applyAlignment="1">
      <alignment horizontal="right"/>
    </xf>
    <xf numFmtId="0" fontId="0" fillId="6" borderId="20" xfId="0" applyFont="1" applyFill="1" applyBorder="1" applyAlignment="1">
      <alignment horizontal="right"/>
    </xf>
    <xf numFmtId="43" fontId="0" fillId="6" borderId="21" xfId="1" applyNumberFormat="1" applyFont="1" applyFill="1" applyBorder="1"/>
    <xf numFmtId="0" fontId="0" fillId="6" borderId="15" xfId="0" applyFont="1" applyFill="1" applyBorder="1" applyAlignment="1">
      <alignment horizontal="right"/>
    </xf>
    <xf numFmtId="165" fontId="0" fillId="6" borderId="4" xfId="1" applyNumberFormat="1" applyFont="1" applyFill="1" applyBorder="1"/>
    <xf numFmtId="165" fontId="0" fillId="6" borderId="16" xfId="1" applyNumberFormat="1" applyFont="1" applyFill="1" applyBorder="1"/>
    <xf numFmtId="0" fontId="10" fillId="8" borderId="27" xfId="0" applyFont="1" applyFill="1" applyBorder="1" applyAlignment="1">
      <alignment vertical="top"/>
    </xf>
    <xf numFmtId="0" fontId="0" fillId="0" borderId="3" xfId="0" applyBorder="1" applyAlignment="1"/>
    <xf numFmtId="0" fontId="0" fillId="0" borderId="13" xfId="0" applyBorder="1" applyAlignment="1">
      <alignment horizontal="right"/>
    </xf>
    <xf numFmtId="0" fontId="0" fillId="0" borderId="14" xfId="0" applyBorder="1" applyAlignment="1"/>
    <xf numFmtId="0" fontId="0" fillId="0" borderId="15" xfId="0" applyFont="1" applyBorder="1" applyAlignment="1">
      <alignment horizontal="right"/>
    </xf>
    <xf numFmtId="9" fontId="0" fillId="0" borderId="4" xfId="3" applyFont="1" applyBorder="1" applyAlignment="1">
      <alignment horizontal="center"/>
    </xf>
    <xf numFmtId="9" fontId="0" fillId="0" borderId="16" xfId="3" applyFont="1" applyBorder="1"/>
    <xf numFmtId="0" fontId="0" fillId="8" borderId="46" xfId="0" applyFill="1" applyBorder="1"/>
    <xf numFmtId="0" fontId="0" fillId="0" borderId="20" xfId="0" applyBorder="1"/>
    <xf numFmtId="0" fontId="0" fillId="0" borderId="5" xfId="0" applyFont="1" applyBorder="1" applyAlignment="1">
      <alignment horizontal="center" wrapText="1"/>
    </xf>
    <xf numFmtId="0" fontId="0" fillId="0" borderId="21" xfId="0" applyFont="1" applyBorder="1" applyAlignment="1">
      <alignment horizontal="center" wrapText="1"/>
    </xf>
    <xf numFmtId="0" fontId="17" fillId="8" borderId="47" xfId="0" applyFont="1" applyFill="1" applyBorder="1" applyAlignment="1">
      <alignment vertical="top"/>
    </xf>
    <xf numFmtId="0" fontId="0" fillId="8" borderId="2" xfId="0" applyFill="1" applyBorder="1"/>
    <xf numFmtId="0" fontId="0" fillId="8" borderId="49" xfId="0" applyFill="1" applyBorder="1"/>
    <xf numFmtId="0" fontId="0" fillId="0" borderId="20" xfId="0" applyFont="1" applyBorder="1"/>
    <xf numFmtId="0" fontId="0" fillId="0" borderId="21" xfId="0" applyFont="1" applyBorder="1"/>
    <xf numFmtId="0" fontId="0" fillId="0" borderId="13" xfId="0" applyFont="1" applyBorder="1"/>
    <xf numFmtId="165" fontId="0" fillId="0" borderId="14" xfId="0" applyNumberFormat="1" applyFont="1" applyBorder="1"/>
    <xf numFmtId="0" fontId="0" fillId="0" borderId="15" xfId="0" applyFont="1" applyFill="1" applyBorder="1"/>
    <xf numFmtId="0" fontId="0" fillId="0" borderId="4" xfId="0" applyFont="1" applyBorder="1"/>
    <xf numFmtId="166" fontId="0" fillId="0" borderId="4" xfId="0" applyNumberFormat="1" applyFont="1" applyBorder="1"/>
    <xf numFmtId="165" fontId="0" fillId="0" borderId="16" xfId="0" applyNumberFormat="1" applyFont="1" applyBorder="1"/>
    <xf numFmtId="0" fontId="0" fillId="8" borderId="5" xfId="0" applyFont="1" applyFill="1" applyBorder="1" applyAlignment="1">
      <alignment wrapText="1"/>
    </xf>
    <xf numFmtId="0" fontId="0" fillId="8" borderId="21" xfId="0" applyFont="1" applyFill="1" applyBorder="1" applyAlignment="1">
      <alignment wrapText="1"/>
    </xf>
    <xf numFmtId="165" fontId="0" fillId="4" borderId="3" xfId="0" applyNumberFormat="1" applyFill="1" applyBorder="1"/>
    <xf numFmtId="165" fontId="0" fillId="4" borderId="14" xfId="0" applyNumberFormat="1" applyFill="1" applyBorder="1"/>
    <xf numFmtId="165" fontId="0" fillId="2" borderId="3" xfId="0" applyNumberFormat="1" applyFill="1" applyBorder="1"/>
    <xf numFmtId="165" fontId="0" fillId="2" borderId="14" xfId="0" applyNumberFormat="1" applyFill="1" applyBorder="1"/>
    <xf numFmtId="165" fontId="0" fillId="6" borderId="4" xfId="0" applyNumberFormat="1" applyFill="1" applyBorder="1"/>
    <xf numFmtId="165" fontId="0" fillId="6" borderId="16" xfId="0" applyNumberFormat="1" applyFill="1" applyBorder="1"/>
    <xf numFmtId="0" fontId="4" fillId="4" borderId="13" xfId="0" applyFont="1" applyFill="1" applyBorder="1"/>
    <xf numFmtId="0" fontId="4" fillId="2" borderId="13" xfId="0" applyFont="1" applyFill="1" applyBorder="1"/>
    <xf numFmtId="0" fontId="4" fillId="6" borderId="15" xfId="0" applyFont="1" applyFill="1" applyBorder="1"/>
    <xf numFmtId="0" fontId="0" fillId="3" borderId="3" xfId="0" applyFill="1" applyBorder="1" applyProtection="1">
      <protection locked="0"/>
    </xf>
    <xf numFmtId="0" fontId="0" fillId="3" borderId="5" xfId="0" applyFill="1" applyBorder="1" applyProtection="1">
      <protection locked="0"/>
    </xf>
    <xf numFmtId="164" fontId="0" fillId="3" borderId="3" xfId="0" applyNumberFormat="1" applyFill="1" applyBorder="1" applyProtection="1">
      <protection locked="0"/>
    </xf>
    <xf numFmtId="164" fontId="0" fillId="3" borderId="4" xfId="0" applyNumberFormat="1" applyFill="1" applyBorder="1" applyProtection="1">
      <protection locked="0"/>
    </xf>
    <xf numFmtId="0" fontId="14" fillId="0" borderId="3" xfId="0" applyFont="1" applyFill="1" applyBorder="1" applyAlignment="1">
      <alignment horizontal="center" vertical="center" wrapText="1"/>
    </xf>
    <xf numFmtId="166" fontId="0" fillId="0" borderId="3" xfId="0" applyNumberFormat="1" applyFont="1" applyFill="1" applyBorder="1"/>
    <xf numFmtId="0" fontId="14" fillId="0" borderId="14" xfId="0" applyFont="1" applyFill="1" applyBorder="1" applyAlignment="1">
      <alignment horizontal="center" vertical="center" wrapText="1"/>
    </xf>
    <xf numFmtId="0" fontId="0" fillId="0" borderId="13" xfId="0" quotePrefix="1" applyFont="1" applyFill="1" applyBorder="1"/>
    <xf numFmtId="166" fontId="0" fillId="0" borderId="14" xfId="0" applyNumberFormat="1" applyFont="1" applyFill="1" applyBorder="1"/>
    <xf numFmtId="0" fontId="0" fillId="0" borderId="13" xfId="0" applyFont="1" applyFill="1" applyBorder="1"/>
    <xf numFmtId="166" fontId="0" fillId="0" borderId="4" xfId="0" applyNumberFormat="1" applyFont="1" applyFill="1" applyBorder="1"/>
    <xf numFmtId="166" fontId="0" fillId="0" borderId="16" xfId="0" applyNumberFormat="1" applyFont="1" applyFill="1" applyBorder="1"/>
    <xf numFmtId="0" fontId="14" fillId="0" borderId="13" xfId="0" applyFont="1" applyFill="1" applyBorder="1" applyAlignment="1">
      <alignment horizontal="center" vertical="center" wrapText="1"/>
    </xf>
    <xf numFmtId="166" fontId="0" fillId="0" borderId="13" xfId="0" applyNumberFormat="1" applyFont="1" applyFill="1" applyBorder="1"/>
    <xf numFmtId="166" fontId="0" fillId="0" borderId="15" xfId="0" applyNumberFormat="1" applyFont="1" applyFill="1" applyBorder="1"/>
    <xf numFmtId="0" fontId="0" fillId="0" borderId="0" xfId="0" applyFill="1" applyProtection="1"/>
    <xf numFmtId="0" fontId="0" fillId="0" borderId="0" xfId="0" applyProtection="1"/>
    <xf numFmtId="0" fontId="17" fillId="0" borderId="2" xfId="0" applyFont="1" applyBorder="1" applyProtection="1"/>
    <xf numFmtId="0" fontId="0" fillId="0" borderId="2" xfId="0" applyBorder="1" applyProtection="1"/>
    <xf numFmtId="0" fontId="17" fillId="0" borderId="0" xfId="0" applyFont="1" applyBorder="1" applyProtection="1"/>
    <xf numFmtId="0" fontId="0" fillId="0" borderId="0" xfId="0" applyBorder="1" applyProtection="1"/>
    <xf numFmtId="0" fontId="1" fillId="0" borderId="0" xfId="0" applyFont="1" applyProtection="1"/>
    <xf numFmtId="0" fontId="0" fillId="0" borderId="0" xfId="0" applyAlignment="1" applyProtection="1">
      <alignment horizontal="center" wrapText="1"/>
    </xf>
    <xf numFmtId="0" fontId="0" fillId="10" borderId="13" xfId="0" applyFont="1" applyFill="1" applyBorder="1" applyProtection="1"/>
    <xf numFmtId="0" fontId="0" fillId="0" borderId="3" xfId="0" applyFill="1" applyBorder="1" applyProtection="1"/>
    <xf numFmtId="0" fontId="0" fillId="0" borderId="13" xfId="0" applyFont="1" applyBorder="1" applyProtection="1"/>
    <xf numFmtId="0" fontId="0" fillId="0" borderId="3" xfId="0" applyBorder="1" applyAlignment="1" applyProtection="1">
      <alignment horizontal="right"/>
    </xf>
    <xf numFmtId="0" fontId="0" fillId="0" borderId="3" xfId="0" applyFill="1" applyBorder="1" applyAlignment="1" applyProtection="1">
      <alignment horizontal="right"/>
    </xf>
    <xf numFmtId="0" fontId="0" fillId="0" borderId="20" xfId="0" applyFont="1" applyBorder="1" applyAlignment="1" applyProtection="1">
      <alignment wrapText="1"/>
    </xf>
    <xf numFmtId="0" fontId="0" fillId="0" borderId="5" xfId="0" applyFill="1" applyBorder="1" applyProtection="1"/>
    <xf numFmtId="0" fontId="0" fillId="0" borderId="13" xfId="0" applyFont="1" applyBorder="1" applyAlignment="1" applyProtection="1">
      <alignment wrapText="1"/>
    </xf>
    <xf numFmtId="164" fontId="0" fillId="0" borderId="3" xfId="0" applyNumberFormat="1" applyFill="1" applyBorder="1" applyProtection="1"/>
    <xf numFmtId="0" fontId="8" fillId="10" borderId="13" xfId="0" applyFont="1" applyFill="1" applyBorder="1" applyAlignment="1" applyProtection="1">
      <alignment horizontal="left"/>
    </xf>
    <xf numFmtId="0" fontId="8" fillId="10" borderId="15" xfId="0" applyFont="1" applyFill="1" applyBorder="1" applyAlignment="1" applyProtection="1">
      <alignment horizontal="left"/>
    </xf>
    <xf numFmtId="164" fontId="0" fillId="0" borderId="4" xfId="0" applyNumberFormat="1" applyFill="1" applyBorder="1" applyProtection="1"/>
    <xf numFmtId="0" fontId="10" fillId="8" borderId="24" xfId="0" applyFont="1" applyFill="1" applyBorder="1" applyAlignment="1">
      <alignment vertical="top" wrapText="1"/>
    </xf>
    <xf numFmtId="0" fontId="1" fillId="8" borderId="0" xfId="0" applyFont="1" applyFill="1" applyBorder="1" applyAlignment="1">
      <alignment horizontal="center" wrapText="1"/>
    </xf>
    <xf numFmtId="0" fontId="1" fillId="8" borderId="39" xfId="0" applyFont="1" applyFill="1" applyBorder="1" applyAlignment="1">
      <alignment wrapText="1"/>
    </xf>
    <xf numFmtId="0" fontId="0" fillId="8" borderId="60" xfId="0" applyFont="1" applyFill="1" applyBorder="1" applyAlignment="1">
      <alignment horizontal="center" wrapText="1"/>
    </xf>
    <xf numFmtId="0" fontId="18" fillId="0" borderId="0" xfId="0" applyFont="1" applyBorder="1" applyAlignment="1" applyProtection="1">
      <alignment horizontal="left"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33" xfId="0" applyFont="1" applyBorder="1" applyAlignment="1">
      <alignment horizontal="center" vertical="center" wrapText="1"/>
    </xf>
    <xf numFmtId="0" fontId="14" fillId="0" borderId="51" xfId="0" applyFont="1" applyBorder="1" applyAlignment="1">
      <alignment horizontal="center" vertical="center" wrapText="1"/>
    </xf>
    <xf numFmtId="0" fontId="18" fillId="0" borderId="0" xfId="0" applyFont="1" applyBorder="1" applyAlignment="1">
      <alignment horizontal="left" wrapText="1"/>
    </xf>
    <xf numFmtId="0" fontId="14" fillId="0" borderId="1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0" fillId="8" borderId="5" xfId="0" applyFill="1" applyBorder="1" applyAlignment="1">
      <alignment horizontal="center"/>
    </xf>
    <xf numFmtId="0" fontId="0" fillId="8" borderId="21" xfId="0" applyFill="1" applyBorder="1" applyAlignment="1">
      <alignment horizontal="center"/>
    </xf>
    <xf numFmtId="0" fontId="0" fillId="8" borderId="11" xfId="0" applyFill="1" applyBorder="1" applyAlignment="1">
      <alignment horizontal="center"/>
    </xf>
    <xf numFmtId="0" fontId="0" fillId="8" borderId="8" xfId="0" applyFill="1" applyBorder="1" applyAlignment="1">
      <alignment horizontal="center"/>
    </xf>
  </cellXfs>
  <cellStyles count="4">
    <cellStyle name="Comma" xfId="1" builtinId="3"/>
    <cellStyle name="Currency" xfId="2" builtinId="4"/>
    <cellStyle name="Normal" xfId="0" builtinId="0"/>
    <cellStyle name="Percent" xfId="3" builtinId="5"/>
  </cellStyles>
  <dxfs count="5">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99"/>
      <color rgb="FFCCFF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customXml" Target="/customXml/item4.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5</xdr:col>
      <xdr:colOff>141514</xdr:colOff>
      <xdr:row>7</xdr:row>
      <xdr:rowOff>65314</xdr:rowOff>
    </xdr:from>
    <xdr:to>
      <xdr:col>10</xdr:col>
      <xdr:colOff>457200</xdr:colOff>
      <xdr:row>14</xdr:row>
      <xdr:rowOff>32657</xdr:rowOff>
    </xdr:to>
    <xdr:sp macro="" textlink="">
      <xdr:nvSpPr>
        <xdr:cNvPr id="2" name="Rectangle 1"/>
        <xdr:cNvSpPr/>
      </xdr:nvSpPr>
      <xdr:spPr>
        <a:xfrm>
          <a:off x="4876800" y="2177143"/>
          <a:ext cx="3363686" cy="2002971"/>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Assumptions that were used in the CASE analysis are shown in column D. Please see the CASE Report for a description of the assumptions, and data that supports assumptions used in the CASE analysis.</a:t>
          </a:r>
          <a:endParaRPr lang="en-US">
            <a:solidFill>
              <a:schemeClr val="tx1"/>
            </a:solidFill>
            <a:effectLst/>
          </a:endParaRPr>
        </a:p>
        <a:p>
          <a:pPr algn="l"/>
          <a:endParaRPr lang="en-US" sz="1100">
            <a:solidFill>
              <a:schemeClr val="tx1"/>
            </a:solidFill>
          </a:endParaRPr>
        </a:p>
        <a:p>
          <a:pPr algn="l"/>
          <a:r>
            <a:rPr lang="en-US" sz="1100">
              <a:solidFill>
                <a:schemeClr val="tx1"/>
              </a:solidFill>
            </a:rPr>
            <a:t>Users</a:t>
          </a:r>
          <a:r>
            <a:rPr lang="en-US" sz="1100" baseline="0">
              <a:solidFill>
                <a:schemeClr val="tx1"/>
              </a:solidFill>
            </a:rPr>
            <a:t> can modify yellow cells to evaluate the impact of useful life, maintenance frequency, and maintenance cost on the lifecycle cost analysis. Assumptions users input in the lifecycle cost analysis should be reasonable and supported by 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5"/>
  <sheetViews>
    <sheetView showGridLines="0" zoomScale="70" zoomScaleNormal="70" workbookViewId="0">
      <selection activeCell="C11" sqref="C11"/>
    </sheetView>
  </sheetViews>
  <sheetFormatPr defaultRowHeight="14.4" x14ac:dyDescent="0.3"/>
  <cols>
    <col min="1" max="1" width="4" style="323" customWidth="1"/>
    <col min="2" max="2" width="29.77734375" style="323" customWidth="1"/>
    <col min="3" max="3" width="12.88671875" style="323" customWidth="1"/>
    <col min="4" max="4" width="13.5546875" style="323" customWidth="1"/>
    <col min="5" max="16384" width="8.88671875" style="323"/>
  </cols>
  <sheetData>
    <row r="2" spans="1:10" ht="47.4" customHeight="1" x14ac:dyDescent="0.35">
      <c r="A2" s="322"/>
      <c r="B2" s="346" t="s">
        <v>111</v>
      </c>
      <c r="C2" s="346"/>
      <c r="D2" s="346"/>
      <c r="E2" s="346"/>
      <c r="F2" s="346"/>
      <c r="G2" s="346"/>
      <c r="H2" s="346"/>
      <c r="I2" s="346"/>
      <c r="J2" s="346"/>
    </row>
    <row r="3" spans="1:10" ht="16.2" thickBot="1" x14ac:dyDescent="0.35">
      <c r="A3" s="322"/>
      <c r="B3" s="324" t="s">
        <v>70</v>
      </c>
      <c r="C3" s="325"/>
      <c r="D3" s="325"/>
      <c r="E3" s="325"/>
      <c r="F3" s="325"/>
      <c r="G3" s="325"/>
      <c r="H3" s="325"/>
      <c r="I3" s="325"/>
      <c r="J3" s="325"/>
    </row>
    <row r="4" spans="1:10" ht="15.6" x14ac:dyDescent="0.3">
      <c r="A4" s="322"/>
      <c r="B4" s="326"/>
      <c r="C4" s="327"/>
      <c r="D4" s="327"/>
      <c r="E4" s="327"/>
      <c r="F4" s="327"/>
      <c r="G4" s="327"/>
      <c r="H4" s="327"/>
      <c r="I4" s="327"/>
      <c r="J4" s="327"/>
    </row>
    <row r="5" spans="1:10" ht="15.6" x14ac:dyDescent="0.3">
      <c r="A5" s="322"/>
      <c r="B5" s="326"/>
      <c r="C5" s="327"/>
      <c r="D5" s="327"/>
      <c r="E5" s="327"/>
      <c r="F5" s="327"/>
      <c r="G5" s="327"/>
      <c r="H5" s="327"/>
      <c r="I5" s="327"/>
      <c r="J5" s="327"/>
    </row>
    <row r="6" spans="1:10" ht="43.2" x14ac:dyDescent="0.3">
      <c r="B6" s="328" t="s">
        <v>95</v>
      </c>
      <c r="D6" s="329" t="s">
        <v>112</v>
      </c>
    </row>
    <row r="7" spans="1:10" x14ac:dyDescent="0.3">
      <c r="B7" s="330" t="s">
        <v>21</v>
      </c>
      <c r="C7" s="307">
        <v>20</v>
      </c>
      <c r="D7" s="331">
        <v>20</v>
      </c>
    </row>
    <row r="8" spans="1:10" x14ac:dyDescent="0.3">
      <c r="B8" s="332" t="s">
        <v>22</v>
      </c>
      <c r="C8" s="307">
        <v>13</v>
      </c>
      <c r="D8" s="331">
        <v>13</v>
      </c>
    </row>
    <row r="9" spans="1:10" x14ac:dyDescent="0.3">
      <c r="B9" s="332" t="s">
        <v>23</v>
      </c>
      <c r="C9" s="333" t="s">
        <v>24</v>
      </c>
      <c r="D9" s="334" t="s">
        <v>24</v>
      </c>
    </row>
    <row r="10" spans="1:10" ht="28.8" x14ac:dyDescent="0.3">
      <c r="B10" s="335" t="s">
        <v>26</v>
      </c>
      <c r="C10" s="308">
        <v>2</v>
      </c>
      <c r="D10" s="336">
        <v>2</v>
      </c>
    </row>
    <row r="11" spans="1:10" ht="28.8" x14ac:dyDescent="0.3">
      <c r="B11" s="337" t="s">
        <v>25</v>
      </c>
      <c r="C11" s="307">
        <v>1</v>
      </c>
      <c r="D11" s="331">
        <v>1</v>
      </c>
    </row>
    <row r="12" spans="1:10" ht="28.8" x14ac:dyDescent="0.3">
      <c r="B12" s="337" t="s">
        <v>27</v>
      </c>
      <c r="C12" s="309">
        <v>205</v>
      </c>
      <c r="D12" s="338">
        <v>205</v>
      </c>
    </row>
    <row r="13" spans="1:10" ht="28.8" x14ac:dyDescent="0.3">
      <c r="B13" s="337" t="s">
        <v>28</v>
      </c>
      <c r="C13" s="309">
        <v>144</v>
      </c>
      <c r="D13" s="338">
        <v>144</v>
      </c>
    </row>
    <row r="14" spans="1:10" x14ac:dyDescent="0.3">
      <c r="B14" s="339" t="s">
        <v>29</v>
      </c>
      <c r="C14" s="309">
        <v>0</v>
      </c>
      <c r="D14" s="338">
        <v>0</v>
      </c>
    </row>
    <row r="15" spans="1:10" ht="15" thickBot="1" x14ac:dyDescent="0.35">
      <c r="B15" s="340" t="s">
        <v>30</v>
      </c>
      <c r="C15" s="310">
        <v>0</v>
      </c>
      <c r="D15" s="341">
        <v>0</v>
      </c>
    </row>
  </sheetData>
  <sheetProtection password="AD91" sheet="1" objects="1" scenarios="1" selectLockedCells="1"/>
  <mergeCells count="1">
    <mergeCell ref="B2:J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
  <sheetViews>
    <sheetView showGridLines="0" zoomScale="70" zoomScaleNormal="70" workbookViewId="0">
      <selection activeCell="H4" sqref="H4"/>
    </sheetView>
  </sheetViews>
  <sheetFormatPr defaultRowHeight="13.2" x14ac:dyDescent="0.25"/>
  <cols>
    <col min="1" max="1" width="8.88671875" style="175"/>
    <col min="2" max="2" width="15.33203125" style="175" customWidth="1"/>
    <col min="3" max="3" width="15.109375" style="175" customWidth="1"/>
    <col min="4" max="4" width="13" style="175" customWidth="1"/>
    <col min="5" max="5" width="11.5546875" style="175" customWidth="1"/>
    <col min="6" max="6" width="15.33203125" style="175" customWidth="1"/>
    <col min="7" max="7" width="11.77734375" style="175" customWidth="1"/>
    <col min="8" max="8" width="14.21875" style="175" bestFit="1" customWidth="1"/>
    <col min="9" max="9" width="9.33203125" style="175" bestFit="1" customWidth="1"/>
    <col min="10" max="10" width="10.77734375" style="175" bestFit="1" customWidth="1"/>
    <col min="11" max="11" width="16.21875" style="175" customWidth="1"/>
    <col min="12" max="12" width="15.33203125" style="175" bestFit="1" customWidth="1"/>
    <col min="13" max="13" width="9.33203125" style="175" bestFit="1" customWidth="1"/>
    <col min="14" max="14" width="10.77734375" style="175" bestFit="1" customWidth="1"/>
    <col min="15" max="15" width="14.21875" style="175" customWidth="1"/>
    <col min="16" max="16" width="13.5546875" style="175" customWidth="1"/>
    <col min="17" max="17" width="14.77734375" style="175" customWidth="1"/>
    <col min="18" max="18" width="12" style="175" bestFit="1" customWidth="1"/>
    <col min="19" max="19" width="11.21875" style="175" bestFit="1" customWidth="1"/>
    <col min="20" max="16384" width="8.88671875" style="175"/>
  </cols>
  <sheetData>
    <row r="2" spans="1:19" s="14" customFormat="1" ht="47.4" customHeight="1" x14ac:dyDescent="0.35">
      <c r="A2" s="43"/>
      <c r="B2" s="351" t="s">
        <v>113</v>
      </c>
      <c r="C2" s="351"/>
      <c r="D2" s="351"/>
      <c r="E2" s="351"/>
      <c r="F2" s="351"/>
      <c r="G2" s="351"/>
      <c r="H2" s="351"/>
      <c r="I2" s="351"/>
      <c r="J2" s="351"/>
    </row>
    <row r="3" spans="1:19" s="14" customFormat="1" ht="16.2" thickBot="1" x14ac:dyDescent="0.35">
      <c r="A3" s="43"/>
      <c r="B3" s="235" t="s">
        <v>70</v>
      </c>
      <c r="C3" s="13"/>
      <c r="D3" s="13"/>
      <c r="E3" s="13"/>
      <c r="F3" s="13"/>
      <c r="G3" s="13"/>
      <c r="H3" s="13"/>
      <c r="I3" s="13"/>
      <c r="J3" s="13"/>
    </row>
    <row r="4" spans="1:19" s="14" customFormat="1" ht="15.6" x14ac:dyDescent="0.3">
      <c r="A4" s="43"/>
      <c r="B4" s="234"/>
      <c r="C4" s="233"/>
      <c r="D4" s="233"/>
      <c r="E4" s="233"/>
      <c r="F4" s="233"/>
      <c r="G4" s="233"/>
      <c r="H4" s="233"/>
      <c r="I4" s="233"/>
      <c r="J4" s="233"/>
    </row>
    <row r="5" spans="1:19" s="233" customFormat="1" ht="15.6" x14ac:dyDescent="0.3">
      <c r="A5" s="11"/>
      <c r="B5" s="234"/>
    </row>
    <row r="6" spans="1:19" s="14" customFormat="1" ht="16.2" thickBot="1" x14ac:dyDescent="0.35">
      <c r="A6" s="43"/>
      <c r="B6" s="235"/>
      <c r="C6" s="13"/>
      <c r="D6" s="13"/>
      <c r="E6" s="13"/>
      <c r="F6" s="13"/>
      <c r="G6" s="233"/>
      <c r="H6" s="233"/>
      <c r="I6" s="233"/>
      <c r="J6" s="233"/>
    </row>
    <row r="7" spans="1:19" ht="39.6" x14ac:dyDescent="0.25">
      <c r="B7" s="188" t="s">
        <v>16</v>
      </c>
      <c r="C7" s="189" t="s">
        <v>53</v>
      </c>
      <c r="D7" s="189" t="s">
        <v>48</v>
      </c>
      <c r="E7" s="189" t="s">
        <v>57</v>
      </c>
      <c r="F7" s="349" t="s">
        <v>59</v>
      </c>
      <c r="H7" s="352" t="s">
        <v>16</v>
      </c>
      <c r="I7" s="354" t="s">
        <v>19</v>
      </c>
      <c r="J7" s="354"/>
      <c r="K7" s="354"/>
      <c r="L7" s="354"/>
      <c r="M7" s="347"/>
      <c r="N7" s="352" t="s">
        <v>68</v>
      </c>
      <c r="O7" s="354"/>
      <c r="P7" s="354"/>
      <c r="Q7" s="354"/>
      <c r="R7" s="354" t="s">
        <v>55</v>
      </c>
      <c r="S7" s="347" t="s">
        <v>59</v>
      </c>
    </row>
    <row r="8" spans="1:19" ht="40.200000000000003" thickBot="1" x14ac:dyDescent="0.3">
      <c r="B8" s="190"/>
      <c r="C8" s="191" t="s">
        <v>58</v>
      </c>
      <c r="D8" s="191" t="s">
        <v>54</v>
      </c>
      <c r="E8" s="191" t="s">
        <v>54</v>
      </c>
      <c r="F8" s="350"/>
      <c r="H8" s="353"/>
      <c r="I8" s="311" t="s">
        <v>64</v>
      </c>
      <c r="J8" s="311" t="s">
        <v>63</v>
      </c>
      <c r="K8" s="311" t="s">
        <v>65</v>
      </c>
      <c r="L8" s="311" t="s">
        <v>66</v>
      </c>
      <c r="M8" s="313" t="s">
        <v>56</v>
      </c>
      <c r="N8" s="319" t="s">
        <v>4</v>
      </c>
      <c r="O8" s="311" t="s">
        <v>61</v>
      </c>
      <c r="P8" s="311" t="s">
        <v>62</v>
      </c>
      <c r="Q8" s="311" t="s">
        <v>67</v>
      </c>
      <c r="R8" s="355"/>
      <c r="S8" s="348"/>
    </row>
    <row r="9" spans="1:19" ht="14.4" x14ac:dyDescent="0.3">
      <c r="B9" s="176">
        <v>1</v>
      </c>
      <c r="C9" s="177">
        <f t="shared" ref="C9:C24" si="0">M9</f>
        <v>2333.7307055415458</v>
      </c>
      <c r="D9" s="177">
        <f t="shared" ref="D9:D24" si="1">Q9</f>
        <v>725</v>
      </c>
      <c r="E9" s="178">
        <f t="shared" ref="E9:E24" si="2">R9</f>
        <v>-1608.7307055415458</v>
      </c>
      <c r="F9" s="179">
        <f t="shared" ref="F9:F24" si="3">S9</f>
        <v>3.2189389041952357</v>
      </c>
      <c r="H9" s="314">
        <f>'Results-Details'!B71</f>
        <v>1</v>
      </c>
      <c r="I9" s="312">
        <f>'Results-Details'!C71</f>
        <v>1259.3545199999999</v>
      </c>
      <c r="J9" s="312">
        <f>'Results-Details'!D71</f>
        <v>0</v>
      </c>
      <c r="K9" s="312">
        <f>'Results-Details'!E71</f>
        <v>231.2675458195248</v>
      </c>
      <c r="L9" s="312">
        <f>'Results-Details'!F71</f>
        <v>843.10863972202083</v>
      </c>
      <c r="M9" s="315">
        <f>'Results-Details'!G71</f>
        <v>2333.7307055415458</v>
      </c>
      <c r="N9" s="320">
        <f>'Results-Details'!H71</f>
        <v>725</v>
      </c>
      <c r="O9" s="312">
        <f>'Results-Details'!I71</f>
        <v>0</v>
      </c>
      <c r="P9" s="312">
        <f>'Results-Details'!J71</f>
        <v>0</v>
      </c>
      <c r="Q9" s="312">
        <f>'Results-Details'!K71</f>
        <v>725</v>
      </c>
      <c r="R9" s="312">
        <f>'Results-Details'!L71</f>
        <v>-1608.7307055415458</v>
      </c>
      <c r="S9" s="183">
        <f>'Results-Details'!M71</f>
        <v>3.2189389041952357</v>
      </c>
    </row>
    <row r="10" spans="1:19" ht="14.4" x14ac:dyDescent="0.3">
      <c r="B10" s="180">
        <v>2</v>
      </c>
      <c r="C10" s="181">
        <f t="shared" si="0"/>
        <v>2371.6095455415461</v>
      </c>
      <c r="D10" s="181">
        <f t="shared" si="1"/>
        <v>725</v>
      </c>
      <c r="E10" s="182">
        <f t="shared" si="2"/>
        <v>-1646.6095455415461</v>
      </c>
      <c r="F10" s="183">
        <f t="shared" si="3"/>
        <v>3.2711855800573049</v>
      </c>
      <c r="H10" s="316">
        <f>'Results-Details'!B72</f>
        <v>2</v>
      </c>
      <c r="I10" s="312">
        <f>'Results-Details'!C72</f>
        <v>1297.2333600000002</v>
      </c>
      <c r="J10" s="312">
        <f>'Results-Details'!D72</f>
        <v>0</v>
      </c>
      <c r="K10" s="312">
        <f>'Results-Details'!E72</f>
        <v>231.2675458195248</v>
      </c>
      <c r="L10" s="312">
        <f>'Results-Details'!F72</f>
        <v>843.10863972202083</v>
      </c>
      <c r="M10" s="315">
        <f>'Results-Details'!G72</f>
        <v>2371.6095455415461</v>
      </c>
      <c r="N10" s="320">
        <f>'Results-Details'!H72</f>
        <v>725</v>
      </c>
      <c r="O10" s="312">
        <f>'Results-Details'!I72</f>
        <v>0</v>
      </c>
      <c r="P10" s="312">
        <f>'Results-Details'!J72</f>
        <v>0</v>
      </c>
      <c r="Q10" s="312">
        <f>'Results-Details'!K72</f>
        <v>725</v>
      </c>
      <c r="R10" s="312">
        <f>'Results-Details'!L72</f>
        <v>-1646.6095455415461</v>
      </c>
      <c r="S10" s="183">
        <f>'Results-Details'!M72</f>
        <v>3.2711855800573049</v>
      </c>
    </row>
    <row r="11" spans="1:19" ht="14.4" x14ac:dyDescent="0.3">
      <c r="B11" s="180">
        <v>3</v>
      </c>
      <c r="C11" s="181">
        <f t="shared" si="0"/>
        <v>2369.9728055415453</v>
      </c>
      <c r="D11" s="181">
        <f t="shared" si="1"/>
        <v>725</v>
      </c>
      <c r="E11" s="182">
        <f t="shared" si="2"/>
        <v>-1644.9728055415453</v>
      </c>
      <c r="F11" s="183">
        <f t="shared" si="3"/>
        <v>3.268928007643511</v>
      </c>
      <c r="H11" s="316">
        <f>'Results-Details'!B73</f>
        <v>3</v>
      </c>
      <c r="I11" s="312">
        <f>'Results-Details'!C73</f>
        <v>1295.5966199999998</v>
      </c>
      <c r="J11" s="312">
        <f>'Results-Details'!D73</f>
        <v>0</v>
      </c>
      <c r="K11" s="312">
        <f>'Results-Details'!E73</f>
        <v>231.2675458195248</v>
      </c>
      <c r="L11" s="312">
        <f>'Results-Details'!F73</f>
        <v>843.10863972202083</v>
      </c>
      <c r="M11" s="315">
        <f>'Results-Details'!G73</f>
        <v>2369.9728055415453</v>
      </c>
      <c r="N11" s="320">
        <f>'Results-Details'!H73</f>
        <v>725</v>
      </c>
      <c r="O11" s="312">
        <f>'Results-Details'!I73</f>
        <v>0</v>
      </c>
      <c r="P11" s="312">
        <f>'Results-Details'!J73</f>
        <v>0</v>
      </c>
      <c r="Q11" s="312">
        <f>'Results-Details'!K73</f>
        <v>725</v>
      </c>
      <c r="R11" s="312">
        <f>'Results-Details'!L73</f>
        <v>-1644.9728055415453</v>
      </c>
      <c r="S11" s="183">
        <f>'Results-Details'!M73</f>
        <v>3.268928007643511</v>
      </c>
    </row>
    <row r="12" spans="1:19" ht="14.4" x14ac:dyDescent="0.3">
      <c r="B12" s="180">
        <v>4</v>
      </c>
      <c r="C12" s="181">
        <f t="shared" si="0"/>
        <v>2386.8078455415452</v>
      </c>
      <c r="D12" s="181">
        <f t="shared" si="1"/>
        <v>725</v>
      </c>
      <c r="E12" s="182">
        <f t="shared" si="2"/>
        <v>-1661.8078455415452</v>
      </c>
      <c r="F12" s="183">
        <f t="shared" si="3"/>
        <v>3.2921487524710971</v>
      </c>
      <c r="H12" s="316">
        <f>'Results-Details'!B74</f>
        <v>4</v>
      </c>
      <c r="I12" s="312">
        <f>'Results-Details'!C74</f>
        <v>1312.4316599999997</v>
      </c>
      <c r="J12" s="312">
        <f>'Results-Details'!D74</f>
        <v>0</v>
      </c>
      <c r="K12" s="312">
        <f>'Results-Details'!E74</f>
        <v>231.2675458195248</v>
      </c>
      <c r="L12" s="312">
        <f>'Results-Details'!F74</f>
        <v>843.10863972202083</v>
      </c>
      <c r="M12" s="315">
        <f>'Results-Details'!G74</f>
        <v>2386.8078455415452</v>
      </c>
      <c r="N12" s="320">
        <f>'Results-Details'!H74</f>
        <v>725</v>
      </c>
      <c r="O12" s="312">
        <f>'Results-Details'!I74</f>
        <v>0</v>
      </c>
      <c r="P12" s="312">
        <f>'Results-Details'!J74</f>
        <v>0</v>
      </c>
      <c r="Q12" s="312">
        <f>'Results-Details'!K74</f>
        <v>725</v>
      </c>
      <c r="R12" s="312">
        <f>'Results-Details'!L74</f>
        <v>-1661.8078455415452</v>
      </c>
      <c r="S12" s="183">
        <f>'Results-Details'!M74</f>
        <v>3.2921487524710971</v>
      </c>
    </row>
    <row r="13" spans="1:19" ht="14.4" x14ac:dyDescent="0.3">
      <c r="B13" s="180">
        <v>5</v>
      </c>
      <c r="C13" s="181">
        <f t="shared" si="0"/>
        <v>2358.9832655415457</v>
      </c>
      <c r="D13" s="181">
        <f t="shared" si="1"/>
        <v>725</v>
      </c>
      <c r="E13" s="182">
        <f t="shared" si="2"/>
        <v>-1633.9832655415457</v>
      </c>
      <c r="F13" s="183">
        <f t="shared" si="3"/>
        <v>3.253770021436615</v>
      </c>
      <c r="H13" s="316">
        <f>'Results-Details'!B75</f>
        <v>5</v>
      </c>
      <c r="I13" s="312">
        <f>'Results-Details'!C75</f>
        <v>1284.6070799999998</v>
      </c>
      <c r="J13" s="312">
        <f>'Results-Details'!D75</f>
        <v>0</v>
      </c>
      <c r="K13" s="312">
        <f>'Results-Details'!E75</f>
        <v>231.2675458195248</v>
      </c>
      <c r="L13" s="312">
        <f>'Results-Details'!F75</f>
        <v>843.10863972202083</v>
      </c>
      <c r="M13" s="315">
        <f>'Results-Details'!G75</f>
        <v>2358.9832655415457</v>
      </c>
      <c r="N13" s="320">
        <f>'Results-Details'!H75</f>
        <v>725</v>
      </c>
      <c r="O13" s="312">
        <f>'Results-Details'!I75</f>
        <v>0</v>
      </c>
      <c r="P13" s="312">
        <f>'Results-Details'!J75</f>
        <v>0</v>
      </c>
      <c r="Q13" s="312">
        <f>'Results-Details'!K75</f>
        <v>725</v>
      </c>
      <c r="R13" s="312">
        <f>'Results-Details'!L75</f>
        <v>-1633.9832655415457</v>
      </c>
      <c r="S13" s="183">
        <f>'Results-Details'!M75</f>
        <v>3.253770021436615</v>
      </c>
    </row>
    <row r="14" spans="1:19" ht="14.4" x14ac:dyDescent="0.3">
      <c r="B14" s="180">
        <v>6</v>
      </c>
      <c r="C14" s="181">
        <f t="shared" si="0"/>
        <v>2398.498845541546</v>
      </c>
      <c r="D14" s="181">
        <f t="shared" si="1"/>
        <v>725</v>
      </c>
      <c r="E14" s="182">
        <f t="shared" si="2"/>
        <v>-1673.498845541546</v>
      </c>
      <c r="F14" s="183">
        <f t="shared" si="3"/>
        <v>3.3082742697124772</v>
      </c>
      <c r="H14" s="316">
        <f>'Results-Details'!B76</f>
        <v>6</v>
      </c>
      <c r="I14" s="312">
        <f>'Results-Details'!C76</f>
        <v>1324.12266</v>
      </c>
      <c r="J14" s="312">
        <f>'Results-Details'!D76</f>
        <v>0</v>
      </c>
      <c r="K14" s="312">
        <f>'Results-Details'!E76</f>
        <v>231.2675458195248</v>
      </c>
      <c r="L14" s="312">
        <f>'Results-Details'!F76</f>
        <v>843.10863972202083</v>
      </c>
      <c r="M14" s="315">
        <f>'Results-Details'!G76</f>
        <v>2398.498845541546</v>
      </c>
      <c r="N14" s="320">
        <f>'Results-Details'!H76</f>
        <v>725</v>
      </c>
      <c r="O14" s="312">
        <f>'Results-Details'!I76</f>
        <v>0</v>
      </c>
      <c r="P14" s="312">
        <f>'Results-Details'!J76</f>
        <v>0</v>
      </c>
      <c r="Q14" s="312">
        <f>'Results-Details'!K76</f>
        <v>725</v>
      </c>
      <c r="R14" s="312">
        <f>'Results-Details'!L76</f>
        <v>-1673.498845541546</v>
      </c>
      <c r="S14" s="183">
        <f>'Results-Details'!M76</f>
        <v>3.3082742697124772</v>
      </c>
    </row>
    <row r="15" spans="1:19" ht="14.4" x14ac:dyDescent="0.3">
      <c r="B15" s="180">
        <v>7</v>
      </c>
      <c r="C15" s="181">
        <f t="shared" si="0"/>
        <v>2378.3903255415453</v>
      </c>
      <c r="D15" s="181">
        <f t="shared" si="1"/>
        <v>725</v>
      </c>
      <c r="E15" s="182">
        <f t="shared" si="2"/>
        <v>-1653.3903255415453</v>
      </c>
      <c r="F15" s="183">
        <f t="shared" si="3"/>
        <v>3.2805383800573038</v>
      </c>
      <c r="H15" s="316">
        <f>'Results-Details'!B77</f>
        <v>7</v>
      </c>
      <c r="I15" s="312">
        <f>'Results-Details'!C77</f>
        <v>1304.0141399999993</v>
      </c>
      <c r="J15" s="312">
        <f>'Results-Details'!D77</f>
        <v>0</v>
      </c>
      <c r="K15" s="312">
        <f>'Results-Details'!E77</f>
        <v>231.2675458195248</v>
      </c>
      <c r="L15" s="312">
        <f>'Results-Details'!F77</f>
        <v>843.10863972202083</v>
      </c>
      <c r="M15" s="315">
        <f>'Results-Details'!G77</f>
        <v>2378.3903255415453</v>
      </c>
      <c r="N15" s="320">
        <f>'Results-Details'!H77</f>
        <v>725</v>
      </c>
      <c r="O15" s="312">
        <f>'Results-Details'!I77</f>
        <v>0</v>
      </c>
      <c r="P15" s="312">
        <f>'Results-Details'!J77</f>
        <v>0</v>
      </c>
      <c r="Q15" s="312">
        <f>'Results-Details'!K77</f>
        <v>725</v>
      </c>
      <c r="R15" s="312">
        <f>'Results-Details'!L77</f>
        <v>-1653.3903255415453</v>
      </c>
      <c r="S15" s="183">
        <f>'Results-Details'!M77</f>
        <v>3.2805383800573038</v>
      </c>
    </row>
    <row r="16" spans="1:19" ht="14.4" x14ac:dyDescent="0.3">
      <c r="B16" s="180">
        <v>8</v>
      </c>
      <c r="C16" s="181">
        <f t="shared" si="0"/>
        <v>2409.4883855415455</v>
      </c>
      <c r="D16" s="181">
        <f t="shared" si="1"/>
        <v>725</v>
      </c>
      <c r="E16" s="182">
        <f t="shared" si="2"/>
        <v>-1684.4883855415455</v>
      </c>
      <c r="F16" s="183">
        <f t="shared" si="3"/>
        <v>3.3234322559193732</v>
      </c>
      <c r="H16" s="316">
        <f>'Results-Details'!B78</f>
        <v>8</v>
      </c>
      <c r="I16" s="312">
        <f>'Results-Details'!C78</f>
        <v>1335.1121999999996</v>
      </c>
      <c r="J16" s="312">
        <f>'Results-Details'!D78</f>
        <v>0</v>
      </c>
      <c r="K16" s="312">
        <f>'Results-Details'!E78</f>
        <v>231.2675458195248</v>
      </c>
      <c r="L16" s="312">
        <f>'Results-Details'!F78</f>
        <v>843.10863972202083</v>
      </c>
      <c r="M16" s="315">
        <f>'Results-Details'!G78</f>
        <v>2409.4883855415455</v>
      </c>
      <c r="N16" s="320">
        <f>'Results-Details'!H78</f>
        <v>725</v>
      </c>
      <c r="O16" s="312">
        <f>'Results-Details'!I78</f>
        <v>0</v>
      </c>
      <c r="P16" s="312">
        <f>'Results-Details'!J78</f>
        <v>0</v>
      </c>
      <c r="Q16" s="312">
        <f>'Results-Details'!K78</f>
        <v>725</v>
      </c>
      <c r="R16" s="312">
        <f>'Results-Details'!L78</f>
        <v>-1684.4883855415455</v>
      </c>
      <c r="S16" s="183">
        <f>'Results-Details'!M78</f>
        <v>3.3234322559193732</v>
      </c>
    </row>
    <row r="17" spans="2:19" ht="14.4" x14ac:dyDescent="0.3">
      <c r="B17" s="180">
        <v>9</v>
      </c>
      <c r="C17" s="181">
        <f t="shared" si="0"/>
        <v>2413.697145541546</v>
      </c>
      <c r="D17" s="181">
        <f t="shared" si="1"/>
        <v>725</v>
      </c>
      <c r="E17" s="182">
        <f t="shared" si="2"/>
        <v>-1688.697145541546</v>
      </c>
      <c r="F17" s="183">
        <f t="shared" si="3"/>
        <v>3.3292374421262703</v>
      </c>
      <c r="H17" s="316">
        <f>'Results-Details'!B79</f>
        <v>9</v>
      </c>
      <c r="I17" s="312">
        <f>'Results-Details'!C79</f>
        <v>1339.32096</v>
      </c>
      <c r="J17" s="312">
        <f>'Results-Details'!D79</f>
        <v>0</v>
      </c>
      <c r="K17" s="312">
        <f>'Results-Details'!E79</f>
        <v>231.2675458195248</v>
      </c>
      <c r="L17" s="312">
        <f>'Results-Details'!F79</f>
        <v>843.10863972202083</v>
      </c>
      <c r="M17" s="315">
        <f>'Results-Details'!G79</f>
        <v>2413.697145541546</v>
      </c>
      <c r="N17" s="320">
        <f>'Results-Details'!H79</f>
        <v>725</v>
      </c>
      <c r="O17" s="312">
        <f>'Results-Details'!I79</f>
        <v>0</v>
      </c>
      <c r="P17" s="312">
        <f>'Results-Details'!J79</f>
        <v>0</v>
      </c>
      <c r="Q17" s="312">
        <f>'Results-Details'!K79</f>
        <v>725</v>
      </c>
      <c r="R17" s="312">
        <f>'Results-Details'!L79</f>
        <v>-1688.697145541546</v>
      </c>
      <c r="S17" s="183">
        <f>'Results-Details'!M79</f>
        <v>3.3292374421262703</v>
      </c>
    </row>
    <row r="18" spans="2:19" ht="14.4" x14ac:dyDescent="0.3">
      <c r="B18" s="180">
        <v>10</v>
      </c>
      <c r="C18" s="181">
        <f t="shared" si="0"/>
        <v>2415.3338855415459</v>
      </c>
      <c r="D18" s="181">
        <f t="shared" si="1"/>
        <v>725</v>
      </c>
      <c r="E18" s="182">
        <f t="shared" si="2"/>
        <v>-1690.3338855415459</v>
      </c>
      <c r="F18" s="183">
        <f t="shared" si="3"/>
        <v>3.3314950145400632</v>
      </c>
      <c r="H18" s="316">
        <f>'Results-Details'!B80</f>
        <v>10</v>
      </c>
      <c r="I18" s="312">
        <f>'Results-Details'!C80</f>
        <v>1340.9577000000004</v>
      </c>
      <c r="J18" s="312">
        <f>'Results-Details'!D80</f>
        <v>0</v>
      </c>
      <c r="K18" s="312">
        <f>'Results-Details'!E80</f>
        <v>231.2675458195248</v>
      </c>
      <c r="L18" s="312">
        <f>'Results-Details'!F80</f>
        <v>843.10863972202083</v>
      </c>
      <c r="M18" s="315">
        <f>'Results-Details'!G80</f>
        <v>2415.3338855415459</v>
      </c>
      <c r="N18" s="320">
        <f>'Results-Details'!H80</f>
        <v>725</v>
      </c>
      <c r="O18" s="312">
        <f>'Results-Details'!I80</f>
        <v>0</v>
      </c>
      <c r="P18" s="312">
        <f>'Results-Details'!J80</f>
        <v>0</v>
      </c>
      <c r="Q18" s="312">
        <f>'Results-Details'!K80</f>
        <v>725</v>
      </c>
      <c r="R18" s="312">
        <f>'Results-Details'!L80</f>
        <v>-1690.3338855415459</v>
      </c>
      <c r="S18" s="183">
        <f>'Results-Details'!M80</f>
        <v>3.3314950145400632</v>
      </c>
    </row>
    <row r="19" spans="2:19" ht="14.4" x14ac:dyDescent="0.3">
      <c r="B19" s="180">
        <v>11</v>
      </c>
      <c r="C19" s="181">
        <f t="shared" si="0"/>
        <v>2413.697145541546</v>
      </c>
      <c r="D19" s="181">
        <f t="shared" si="1"/>
        <v>725</v>
      </c>
      <c r="E19" s="182">
        <f t="shared" si="2"/>
        <v>-1688.697145541546</v>
      </c>
      <c r="F19" s="183">
        <f t="shared" si="3"/>
        <v>3.3292374421262703</v>
      </c>
      <c r="H19" s="316">
        <f>'Results-Details'!B81</f>
        <v>11</v>
      </c>
      <c r="I19" s="312">
        <f>'Results-Details'!C81</f>
        <v>1339.32096</v>
      </c>
      <c r="J19" s="312">
        <f>'Results-Details'!D81</f>
        <v>0</v>
      </c>
      <c r="K19" s="312">
        <f>'Results-Details'!E81</f>
        <v>231.2675458195248</v>
      </c>
      <c r="L19" s="312">
        <f>'Results-Details'!F81</f>
        <v>843.10863972202083</v>
      </c>
      <c r="M19" s="315">
        <f>'Results-Details'!G81</f>
        <v>2413.697145541546</v>
      </c>
      <c r="N19" s="320">
        <f>'Results-Details'!H81</f>
        <v>725</v>
      </c>
      <c r="O19" s="312">
        <f>'Results-Details'!I81</f>
        <v>0</v>
      </c>
      <c r="P19" s="312">
        <f>'Results-Details'!J81</f>
        <v>0</v>
      </c>
      <c r="Q19" s="312">
        <f>'Results-Details'!K81</f>
        <v>725</v>
      </c>
      <c r="R19" s="312">
        <f>'Results-Details'!L81</f>
        <v>-1688.697145541546</v>
      </c>
      <c r="S19" s="183">
        <f>'Results-Details'!M81</f>
        <v>3.3292374421262703</v>
      </c>
    </row>
    <row r="20" spans="2:19" ht="14.4" x14ac:dyDescent="0.3">
      <c r="B20" s="180">
        <v>12</v>
      </c>
      <c r="C20" s="181">
        <f t="shared" si="0"/>
        <v>2395.2253655415461</v>
      </c>
      <c r="D20" s="181">
        <f t="shared" si="1"/>
        <v>725</v>
      </c>
      <c r="E20" s="182">
        <f t="shared" si="2"/>
        <v>-1670.2253655415461</v>
      </c>
      <c r="F20" s="183">
        <f t="shared" si="3"/>
        <v>3.3037591248848912</v>
      </c>
      <c r="H20" s="316">
        <f>'Results-Details'!B82</f>
        <v>12</v>
      </c>
      <c r="I20" s="312">
        <f>'Results-Details'!C82</f>
        <v>1320.8491800000002</v>
      </c>
      <c r="J20" s="312">
        <f>'Results-Details'!D82</f>
        <v>0</v>
      </c>
      <c r="K20" s="312">
        <f>'Results-Details'!E82</f>
        <v>231.2675458195248</v>
      </c>
      <c r="L20" s="312">
        <f>'Results-Details'!F82</f>
        <v>843.10863972202083</v>
      </c>
      <c r="M20" s="315">
        <f>'Results-Details'!G82</f>
        <v>2395.2253655415461</v>
      </c>
      <c r="N20" s="320">
        <f>'Results-Details'!H82</f>
        <v>725</v>
      </c>
      <c r="O20" s="312">
        <f>'Results-Details'!I82</f>
        <v>0</v>
      </c>
      <c r="P20" s="312">
        <f>'Results-Details'!J82</f>
        <v>0</v>
      </c>
      <c r="Q20" s="312">
        <f>'Results-Details'!K82</f>
        <v>725</v>
      </c>
      <c r="R20" s="312">
        <f>'Results-Details'!L82</f>
        <v>-1670.2253655415461</v>
      </c>
      <c r="S20" s="183">
        <f>'Results-Details'!M82</f>
        <v>3.3037591248848912</v>
      </c>
    </row>
    <row r="21" spans="2:19" ht="14.4" x14ac:dyDescent="0.3">
      <c r="B21" s="180">
        <v>13</v>
      </c>
      <c r="C21" s="181">
        <f t="shared" si="0"/>
        <v>2415.3338855415459</v>
      </c>
      <c r="D21" s="181">
        <f t="shared" si="1"/>
        <v>725</v>
      </c>
      <c r="E21" s="182">
        <f t="shared" si="2"/>
        <v>-1690.3338855415459</v>
      </c>
      <c r="F21" s="183">
        <f t="shared" si="3"/>
        <v>3.3314950145400632</v>
      </c>
      <c r="H21" s="316">
        <f>'Results-Details'!B83</f>
        <v>13</v>
      </c>
      <c r="I21" s="312">
        <f>'Results-Details'!C83</f>
        <v>1340.9577000000004</v>
      </c>
      <c r="J21" s="312">
        <f>'Results-Details'!D83</f>
        <v>0</v>
      </c>
      <c r="K21" s="312">
        <f>'Results-Details'!E83</f>
        <v>231.2675458195248</v>
      </c>
      <c r="L21" s="312">
        <f>'Results-Details'!F83</f>
        <v>843.10863972202083</v>
      </c>
      <c r="M21" s="315">
        <f>'Results-Details'!G83</f>
        <v>2415.3338855415459</v>
      </c>
      <c r="N21" s="320">
        <f>'Results-Details'!H83</f>
        <v>725</v>
      </c>
      <c r="O21" s="312">
        <f>'Results-Details'!I83</f>
        <v>0</v>
      </c>
      <c r="P21" s="312">
        <f>'Results-Details'!J83</f>
        <v>0</v>
      </c>
      <c r="Q21" s="312">
        <f>'Results-Details'!K83</f>
        <v>725</v>
      </c>
      <c r="R21" s="312">
        <f>'Results-Details'!L83</f>
        <v>-1690.3338855415459</v>
      </c>
      <c r="S21" s="183">
        <f>'Results-Details'!M83</f>
        <v>3.3314950145400632</v>
      </c>
    </row>
    <row r="22" spans="2:19" ht="14.4" x14ac:dyDescent="0.3">
      <c r="B22" s="180">
        <v>14</v>
      </c>
      <c r="C22" s="181">
        <f t="shared" si="0"/>
        <v>2419.5426455415454</v>
      </c>
      <c r="D22" s="181">
        <f t="shared" si="1"/>
        <v>725</v>
      </c>
      <c r="E22" s="182">
        <f t="shared" si="2"/>
        <v>-1694.5426455415454</v>
      </c>
      <c r="F22" s="183">
        <f t="shared" si="3"/>
        <v>3.337300200746959</v>
      </c>
      <c r="H22" s="316">
        <f>'Results-Details'!B84</f>
        <v>14</v>
      </c>
      <c r="I22" s="312">
        <f>'Results-Details'!C84</f>
        <v>1345.1664599999999</v>
      </c>
      <c r="J22" s="312">
        <f>'Results-Details'!D84</f>
        <v>0</v>
      </c>
      <c r="K22" s="312">
        <f>'Results-Details'!E84</f>
        <v>231.2675458195248</v>
      </c>
      <c r="L22" s="312">
        <f>'Results-Details'!F84</f>
        <v>843.10863972202083</v>
      </c>
      <c r="M22" s="315">
        <f>'Results-Details'!G84</f>
        <v>2419.5426455415454</v>
      </c>
      <c r="N22" s="320">
        <f>'Results-Details'!H84</f>
        <v>725</v>
      </c>
      <c r="O22" s="312">
        <f>'Results-Details'!I84</f>
        <v>0</v>
      </c>
      <c r="P22" s="312">
        <f>'Results-Details'!J84</f>
        <v>0</v>
      </c>
      <c r="Q22" s="312">
        <f>'Results-Details'!K84</f>
        <v>725</v>
      </c>
      <c r="R22" s="312">
        <f>'Results-Details'!L84</f>
        <v>-1694.5426455415454</v>
      </c>
      <c r="S22" s="183">
        <f>'Results-Details'!M84</f>
        <v>3.337300200746959</v>
      </c>
    </row>
    <row r="23" spans="2:19" ht="14.4" x14ac:dyDescent="0.3">
      <c r="B23" s="180">
        <v>15</v>
      </c>
      <c r="C23" s="181">
        <f t="shared" si="0"/>
        <v>2466.7742855415454</v>
      </c>
      <c r="D23" s="181">
        <f t="shared" si="1"/>
        <v>725</v>
      </c>
      <c r="E23" s="182">
        <f t="shared" si="2"/>
        <v>-1741.7742855415454</v>
      </c>
      <c r="F23" s="183">
        <f t="shared" si="3"/>
        <v>3.4024472904021317</v>
      </c>
      <c r="H23" s="316">
        <f>'Results-Details'!B85</f>
        <v>15</v>
      </c>
      <c r="I23" s="312">
        <f>'Results-Details'!C85</f>
        <v>1392.3980999999994</v>
      </c>
      <c r="J23" s="312">
        <f>'Results-Details'!D85</f>
        <v>0</v>
      </c>
      <c r="K23" s="312">
        <f>'Results-Details'!E85</f>
        <v>231.2675458195248</v>
      </c>
      <c r="L23" s="312">
        <f>'Results-Details'!F85</f>
        <v>843.10863972202083</v>
      </c>
      <c r="M23" s="315">
        <f>'Results-Details'!G85</f>
        <v>2466.7742855415454</v>
      </c>
      <c r="N23" s="320">
        <f>'Results-Details'!H85</f>
        <v>725</v>
      </c>
      <c r="O23" s="312">
        <f>'Results-Details'!I85</f>
        <v>0</v>
      </c>
      <c r="P23" s="312">
        <f>'Results-Details'!J85</f>
        <v>0</v>
      </c>
      <c r="Q23" s="312">
        <f>'Results-Details'!K85</f>
        <v>725</v>
      </c>
      <c r="R23" s="312">
        <f>'Results-Details'!L85</f>
        <v>-1741.7742855415454</v>
      </c>
      <c r="S23" s="183">
        <f>'Results-Details'!M85</f>
        <v>3.4024472904021317</v>
      </c>
    </row>
    <row r="24" spans="2:19" ht="15" thickBot="1" x14ac:dyDescent="0.35">
      <c r="B24" s="184">
        <v>16</v>
      </c>
      <c r="C24" s="185">
        <f t="shared" si="0"/>
        <v>2353.8392255415474</v>
      </c>
      <c r="D24" s="185">
        <f t="shared" si="1"/>
        <v>725</v>
      </c>
      <c r="E24" s="186">
        <f t="shared" si="2"/>
        <v>-1628.8392255415474</v>
      </c>
      <c r="F24" s="187">
        <f t="shared" si="3"/>
        <v>3.2466747938504104</v>
      </c>
      <c r="H24" s="292">
        <f>'Results-Details'!B86</f>
        <v>16</v>
      </c>
      <c r="I24" s="317">
        <f>'Results-Details'!C86</f>
        <v>1279.4630400000015</v>
      </c>
      <c r="J24" s="317">
        <f>'Results-Details'!D86</f>
        <v>0</v>
      </c>
      <c r="K24" s="317">
        <f>'Results-Details'!E86</f>
        <v>231.2675458195248</v>
      </c>
      <c r="L24" s="317">
        <f>'Results-Details'!F86</f>
        <v>843.10863972202083</v>
      </c>
      <c r="M24" s="318">
        <f>'Results-Details'!G86</f>
        <v>2353.8392255415474</v>
      </c>
      <c r="N24" s="321">
        <f>'Results-Details'!H86</f>
        <v>725</v>
      </c>
      <c r="O24" s="317">
        <f>'Results-Details'!I86</f>
        <v>0</v>
      </c>
      <c r="P24" s="317">
        <f>'Results-Details'!J86</f>
        <v>0</v>
      </c>
      <c r="Q24" s="317">
        <f>'Results-Details'!K86</f>
        <v>725</v>
      </c>
      <c r="R24" s="317">
        <f>'Results-Details'!L86</f>
        <v>-1628.8392255415474</v>
      </c>
      <c r="S24" s="187">
        <f>'Results-Details'!M86</f>
        <v>3.2466747938504104</v>
      </c>
    </row>
    <row r="25" spans="2:19" ht="14.4" x14ac:dyDescent="0.3">
      <c r="B25" s="226"/>
      <c r="C25" s="227"/>
      <c r="D25" s="227"/>
      <c r="E25" s="228"/>
      <c r="F25" s="229"/>
      <c r="H25" s="218"/>
      <c r="I25" s="230"/>
      <c r="J25" s="230"/>
      <c r="K25" s="230"/>
      <c r="L25" s="230"/>
      <c r="M25" s="230"/>
      <c r="N25" s="230"/>
      <c r="O25" s="230"/>
      <c r="P25" s="230"/>
      <c r="Q25" s="230"/>
      <c r="R25" s="230"/>
      <c r="S25" s="229"/>
    </row>
  </sheetData>
  <sheetProtection password="AD91" sheet="1" objects="1" scenarios="1" selectLockedCells="1" selectUnlockedCells="1"/>
  <mergeCells count="7">
    <mergeCell ref="S7:S8"/>
    <mergeCell ref="F7:F8"/>
    <mergeCell ref="B2:J2"/>
    <mergeCell ref="H7:H8"/>
    <mergeCell ref="I7:M7"/>
    <mergeCell ref="N7:Q7"/>
    <mergeCell ref="R7:R8"/>
  </mergeCells>
  <conditionalFormatting sqref="F9:F24">
    <cfRule type="cellIs" dxfId="4" priority="24" operator="greaterThan">
      <formula>1</formula>
    </cfRule>
    <cfRule type="cellIs" dxfId="3" priority="25" operator="lessThan">
      <formula>1</formula>
    </cfRule>
  </conditionalFormatting>
  <conditionalFormatting sqref="S9:S24">
    <cfRule type="cellIs" dxfId="2" priority="15" operator="greaterThan">
      <formula>1</formula>
    </cfRule>
    <cfRule type="cellIs" dxfId="1" priority="16" operator="lessThan">
      <formula>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89"/>
  <sheetViews>
    <sheetView showGridLines="0" tabSelected="1" topLeftCell="A51" zoomScale="70" zoomScaleNormal="70" workbookViewId="0">
      <selection activeCell="B50" sqref="B50"/>
    </sheetView>
  </sheetViews>
  <sheetFormatPr defaultRowHeight="14.4" x14ac:dyDescent="0.3"/>
  <cols>
    <col min="1" max="1" width="5.21875" style="14" customWidth="1"/>
    <col min="2" max="2" width="65.33203125" style="14" customWidth="1"/>
    <col min="3" max="3" width="15.77734375" style="14" customWidth="1"/>
    <col min="4" max="4" width="19.21875" style="14" bestFit="1" customWidth="1"/>
    <col min="5" max="5" width="18.5546875" style="14" customWidth="1"/>
    <col min="6" max="7" width="15.21875" style="14" bestFit="1" customWidth="1"/>
    <col min="8" max="8" width="14.77734375" style="14" bestFit="1" customWidth="1"/>
    <col min="9" max="10" width="14.77734375" style="14" customWidth="1"/>
    <col min="11" max="11" width="15.21875" style="14" customWidth="1"/>
    <col min="12" max="12" width="14.88671875" style="14" customWidth="1"/>
    <col min="13" max="13" width="15.6640625" style="14" customWidth="1"/>
    <col min="14" max="14" width="14.77734375" style="14" customWidth="1"/>
    <col min="15" max="15" width="16.21875" style="14" customWidth="1"/>
    <col min="16" max="16" width="15.21875" style="14" customWidth="1"/>
    <col min="17" max="17" width="15.21875" style="14" bestFit="1" customWidth="1"/>
    <col min="18" max="19" width="14.88671875" style="14" bestFit="1" customWidth="1"/>
    <col min="20" max="20" width="13.33203125" style="14" bestFit="1" customWidth="1"/>
    <col min="21" max="21" width="13.33203125" style="14" customWidth="1"/>
    <col min="22" max="22" width="14.109375" style="14" customWidth="1"/>
    <col min="23" max="23" width="8.88671875" style="14"/>
    <col min="24" max="24" width="13.33203125" style="14" bestFit="1" customWidth="1"/>
    <col min="25" max="29" width="8.88671875" style="14"/>
    <col min="30" max="30" width="9.88671875" style="14" bestFit="1" customWidth="1"/>
    <col min="31" max="16384" width="8.88671875" style="14"/>
  </cols>
  <sheetData>
    <row r="2" spans="1:35" ht="47.4" customHeight="1" x14ac:dyDescent="0.35">
      <c r="A2" s="43"/>
      <c r="B2" s="351" t="s">
        <v>114</v>
      </c>
      <c r="C2" s="351"/>
      <c r="D2" s="351"/>
      <c r="E2" s="351"/>
      <c r="F2" s="351"/>
      <c r="G2" s="351"/>
      <c r="H2" s="351"/>
      <c r="I2" s="351"/>
      <c r="J2" s="351"/>
    </row>
    <row r="3" spans="1:35" ht="16.2" thickBot="1" x14ac:dyDescent="0.35">
      <c r="A3" s="43"/>
      <c r="B3" s="235" t="s">
        <v>70</v>
      </c>
      <c r="C3" s="13"/>
      <c r="D3" s="13"/>
      <c r="E3" s="13"/>
      <c r="F3" s="13"/>
      <c r="G3" s="13"/>
      <c r="H3" s="13"/>
      <c r="I3" s="13"/>
      <c r="J3" s="13"/>
    </row>
    <row r="4" spans="1:35" x14ac:dyDescent="0.3">
      <c r="B4" s="9"/>
    </row>
    <row r="5" spans="1:35" ht="15" thickBot="1" x14ac:dyDescent="0.35">
      <c r="B5" s="9"/>
    </row>
    <row r="6" spans="1:35" ht="21" thickBot="1" x14ac:dyDescent="0.35">
      <c r="B6" s="44" t="s">
        <v>34</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6"/>
    </row>
    <row r="7" spans="1:35" ht="20.399999999999999" x14ac:dyDescent="0.3">
      <c r="B7" s="342"/>
      <c r="C7" s="343"/>
      <c r="D7" s="344"/>
      <c r="E7" s="345" t="s">
        <v>17</v>
      </c>
      <c r="F7" s="345" t="s">
        <v>17</v>
      </c>
      <c r="G7" s="345" t="s">
        <v>17</v>
      </c>
      <c r="H7" s="345" t="s">
        <v>17</v>
      </c>
      <c r="I7" s="345" t="s">
        <v>17</v>
      </c>
      <c r="J7" s="345" t="s">
        <v>17</v>
      </c>
      <c r="K7" s="345" t="s">
        <v>17</v>
      </c>
      <c r="L7" s="345" t="s">
        <v>17</v>
      </c>
      <c r="M7" s="345" t="s">
        <v>17</v>
      </c>
      <c r="N7" s="345" t="s">
        <v>17</v>
      </c>
      <c r="O7" s="345" t="s">
        <v>17</v>
      </c>
      <c r="P7" s="345" t="s">
        <v>17</v>
      </c>
      <c r="Q7" s="345" t="s">
        <v>17</v>
      </c>
      <c r="R7" s="345" t="s">
        <v>17</v>
      </c>
      <c r="S7" s="345" t="s">
        <v>17</v>
      </c>
      <c r="T7" s="345" t="s">
        <v>17</v>
      </c>
      <c r="U7" s="345" t="s">
        <v>17</v>
      </c>
      <c r="V7" s="345" t="s">
        <v>17</v>
      </c>
      <c r="W7" s="345" t="s">
        <v>17</v>
      </c>
      <c r="X7" s="345" t="s">
        <v>17</v>
      </c>
      <c r="Y7" s="345" t="s">
        <v>17</v>
      </c>
      <c r="Z7" s="345" t="s">
        <v>17</v>
      </c>
      <c r="AA7" s="345" t="s">
        <v>17</v>
      </c>
      <c r="AB7" s="345" t="s">
        <v>17</v>
      </c>
      <c r="AC7" s="345" t="s">
        <v>17</v>
      </c>
      <c r="AD7" s="345" t="s">
        <v>17</v>
      </c>
      <c r="AE7" s="345" t="s">
        <v>17</v>
      </c>
      <c r="AF7" s="345" t="s">
        <v>17</v>
      </c>
      <c r="AG7" s="345" t="s">
        <v>17</v>
      </c>
      <c r="AH7" s="345" t="s">
        <v>17</v>
      </c>
    </row>
    <row r="8" spans="1:35" s="28" customFormat="1" x14ac:dyDescent="0.3">
      <c r="B8" s="72"/>
      <c r="C8" s="73"/>
      <c r="D8" s="74" t="s">
        <v>32</v>
      </c>
      <c r="E8" s="75">
        <v>1</v>
      </c>
      <c r="F8" s="75">
        <v>2</v>
      </c>
      <c r="G8" s="75">
        <v>3</v>
      </c>
      <c r="H8" s="75">
        <v>4</v>
      </c>
      <c r="I8" s="75">
        <v>5</v>
      </c>
      <c r="J8" s="75">
        <v>6</v>
      </c>
      <c r="K8" s="75">
        <v>7</v>
      </c>
      <c r="L8" s="75">
        <v>8</v>
      </c>
      <c r="M8" s="75">
        <v>9</v>
      </c>
      <c r="N8" s="75">
        <v>10</v>
      </c>
      <c r="O8" s="75">
        <v>11</v>
      </c>
      <c r="P8" s="75">
        <v>12</v>
      </c>
      <c r="Q8" s="75">
        <v>13</v>
      </c>
      <c r="R8" s="75">
        <v>14</v>
      </c>
      <c r="S8" s="75">
        <v>15</v>
      </c>
      <c r="T8" s="75">
        <v>16</v>
      </c>
      <c r="U8" s="75">
        <v>17</v>
      </c>
      <c r="V8" s="75">
        <v>18</v>
      </c>
      <c r="W8" s="75">
        <v>19</v>
      </c>
      <c r="X8" s="75">
        <v>20</v>
      </c>
      <c r="Y8" s="75">
        <v>21</v>
      </c>
      <c r="Z8" s="75">
        <v>22</v>
      </c>
      <c r="AA8" s="75">
        <v>23</v>
      </c>
      <c r="AB8" s="75">
        <v>24</v>
      </c>
      <c r="AC8" s="75">
        <v>25</v>
      </c>
      <c r="AD8" s="75">
        <v>26</v>
      </c>
      <c r="AE8" s="75">
        <v>27</v>
      </c>
      <c r="AF8" s="75">
        <v>28</v>
      </c>
      <c r="AG8" s="75">
        <v>29</v>
      </c>
      <c r="AH8" s="75">
        <v>30</v>
      </c>
      <c r="AI8" s="28" t="s">
        <v>10</v>
      </c>
    </row>
    <row r="9" spans="1:35" s="28" customFormat="1" x14ac:dyDescent="0.3">
      <c r="B9" s="76" t="s">
        <v>31</v>
      </c>
      <c r="C9" s="77">
        <v>0.03</v>
      </c>
      <c r="D9" s="78"/>
      <c r="E9" s="79"/>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1"/>
    </row>
    <row r="10" spans="1:35" ht="15" thickBot="1" x14ac:dyDescent="0.35">
      <c r="B10" s="82" t="s">
        <v>33</v>
      </c>
      <c r="C10" s="83"/>
      <c r="D10" s="84"/>
      <c r="E10" s="85">
        <f t="shared" ref="E10:AH10" si="0">1/(1+$C$9)^E8</f>
        <v>0.970873786407767</v>
      </c>
      <c r="F10" s="86">
        <f t="shared" si="0"/>
        <v>0.94259590913375435</v>
      </c>
      <c r="G10" s="86">
        <f t="shared" si="0"/>
        <v>0.91514165935315961</v>
      </c>
      <c r="H10" s="86">
        <f t="shared" si="0"/>
        <v>0.888487047915689</v>
      </c>
      <c r="I10" s="86">
        <f t="shared" si="0"/>
        <v>0.86260878438416411</v>
      </c>
      <c r="J10" s="86">
        <f t="shared" si="0"/>
        <v>0.83748425668365445</v>
      </c>
      <c r="K10" s="86">
        <f t="shared" si="0"/>
        <v>0.81309151134335378</v>
      </c>
      <c r="L10" s="86">
        <f t="shared" si="0"/>
        <v>0.78940923431393573</v>
      </c>
      <c r="M10" s="86">
        <f t="shared" si="0"/>
        <v>0.76641673234362695</v>
      </c>
      <c r="N10" s="86">
        <f t="shared" si="0"/>
        <v>0.74409391489672516</v>
      </c>
      <c r="O10" s="86">
        <f t="shared" si="0"/>
        <v>0.72242127659876232</v>
      </c>
      <c r="P10" s="86">
        <f t="shared" si="0"/>
        <v>0.70137988019297326</v>
      </c>
      <c r="Q10" s="86">
        <f t="shared" si="0"/>
        <v>0.68095133999317792</v>
      </c>
      <c r="R10" s="86">
        <f t="shared" si="0"/>
        <v>0.66111780581861923</v>
      </c>
      <c r="S10" s="86">
        <f t="shared" si="0"/>
        <v>0.64186194739671765</v>
      </c>
      <c r="T10" s="86">
        <f t="shared" si="0"/>
        <v>0.62316693922011435</v>
      </c>
      <c r="U10" s="86">
        <f t="shared" si="0"/>
        <v>0.60501644584477121</v>
      </c>
      <c r="V10" s="86">
        <f t="shared" si="0"/>
        <v>0.5873946076162827</v>
      </c>
      <c r="W10" s="86">
        <f t="shared" si="0"/>
        <v>0.57028602681192497</v>
      </c>
      <c r="X10" s="86">
        <f t="shared" si="0"/>
        <v>0.55367575418633497</v>
      </c>
      <c r="Y10" s="86">
        <f t="shared" si="0"/>
        <v>0.5375492759090631</v>
      </c>
      <c r="Z10" s="86">
        <f t="shared" si="0"/>
        <v>0.52189250088258554</v>
      </c>
      <c r="AA10" s="86">
        <f t="shared" si="0"/>
        <v>0.50669174842969467</v>
      </c>
      <c r="AB10" s="86">
        <f t="shared" si="0"/>
        <v>0.49193373633950943</v>
      </c>
      <c r="AC10" s="86">
        <f t="shared" si="0"/>
        <v>0.47760556926165965</v>
      </c>
      <c r="AD10" s="86">
        <f t="shared" si="0"/>
        <v>0.46369472743850448</v>
      </c>
      <c r="AE10" s="86">
        <f t="shared" si="0"/>
        <v>0.45018905576553836</v>
      </c>
      <c r="AF10" s="86">
        <f t="shared" si="0"/>
        <v>0.4370767531704256</v>
      </c>
      <c r="AG10" s="86">
        <f t="shared" si="0"/>
        <v>0.42434636230138412</v>
      </c>
      <c r="AH10" s="87">
        <f t="shared" si="0"/>
        <v>0.41198675951590691</v>
      </c>
      <c r="AI10" s="14" t="s">
        <v>11</v>
      </c>
    </row>
    <row r="11" spans="1:35" ht="18.600000000000001" thickBot="1" x14ac:dyDescent="0.4">
      <c r="B11" s="90" t="s">
        <v>35</v>
      </c>
      <c r="C11" s="91"/>
      <c r="D11" s="92"/>
      <c r="E11" s="91"/>
      <c r="F11" s="91"/>
      <c r="G11" s="91"/>
      <c r="H11" s="91"/>
      <c r="I11" s="91"/>
      <c r="J11" s="91"/>
      <c r="K11" s="91"/>
      <c r="L11" s="91"/>
      <c r="M11" s="91"/>
      <c r="N11" s="91"/>
      <c r="O11" s="91"/>
      <c r="P11" s="91"/>
      <c r="Q11" s="91"/>
      <c r="R11" s="91"/>
      <c r="S11" s="91"/>
      <c r="T11" s="93"/>
      <c r="U11" s="93"/>
      <c r="V11" s="93"/>
      <c r="W11" s="93"/>
      <c r="X11" s="93"/>
      <c r="Y11" s="93"/>
      <c r="Z11" s="93"/>
      <c r="AA11" s="93"/>
      <c r="AB11" s="93"/>
      <c r="AC11" s="93"/>
      <c r="AD11" s="93"/>
      <c r="AE11" s="93"/>
      <c r="AF11" s="93"/>
      <c r="AG11" s="93"/>
      <c r="AH11" s="94"/>
      <c r="AI11" s="15"/>
    </row>
    <row r="12" spans="1:35" x14ac:dyDescent="0.3">
      <c r="B12" s="88" t="s">
        <v>1</v>
      </c>
      <c r="C12" s="89">
        <v>1173</v>
      </c>
      <c r="D12" s="68"/>
      <c r="E12" s="60"/>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row>
    <row r="13" spans="1:35" x14ac:dyDescent="0.3">
      <c r="B13" s="16" t="s">
        <v>0</v>
      </c>
      <c r="C13" s="48">
        <v>428</v>
      </c>
      <c r="D13" s="66"/>
      <c r="E13" s="57"/>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row>
    <row r="14" spans="1:35" x14ac:dyDescent="0.3">
      <c r="B14" s="16" t="s">
        <v>12</v>
      </c>
      <c r="C14" s="49">
        <f>Inputs!C14</f>
        <v>0</v>
      </c>
      <c r="D14" s="66"/>
      <c r="E14" s="57"/>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row>
    <row r="15" spans="1:35" x14ac:dyDescent="0.3">
      <c r="B15" s="16" t="s">
        <v>13</v>
      </c>
      <c r="C15" s="48">
        <v>70</v>
      </c>
      <c r="D15" s="66"/>
      <c r="E15" s="5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row>
    <row r="16" spans="1:35" ht="15" thickBot="1" x14ac:dyDescent="0.35">
      <c r="B16" s="25" t="s">
        <v>4</v>
      </c>
      <c r="C16" s="50">
        <f>SUM(C12,C13,C14,C15)</f>
        <v>1671</v>
      </c>
      <c r="D16" s="67">
        <f>C16</f>
        <v>1671</v>
      </c>
      <c r="E16" s="59"/>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row>
    <row r="17" spans="2:34" x14ac:dyDescent="0.3">
      <c r="B17" s="23" t="s">
        <v>115</v>
      </c>
      <c r="C17" s="51">
        <f>Inputs!C7</f>
        <v>20</v>
      </c>
      <c r="D17" s="68"/>
      <c r="E17" s="60"/>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row>
    <row r="18" spans="2:34" x14ac:dyDescent="0.3">
      <c r="B18" s="20" t="s">
        <v>6</v>
      </c>
      <c r="C18" s="52">
        <f>C12</f>
        <v>1173</v>
      </c>
      <c r="D18" s="66"/>
      <c r="E18" s="57"/>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row>
    <row r="19" spans="2:34" x14ac:dyDescent="0.3">
      <c r="B19" s="20" t="s">
        <v>7</v>
      </c>
      <c r="C19" s="52">
        <v>487</v>
      </c>
      <c r="D19" s="66"/>
      <c r="E19" s="57"/>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row>
    <row r="20" spans="2:34" ht="15" thickBot="1" x14ac:dyDescent="0.35">
      <c r="B20" s="25" t="s">
        <v>8</v>
      </c>
      <c r="C20" s="50">
        <f>SUM(C18:C19)</f>
        <v>1660</v>
      </c>
      <c r="D20" s="67">
        <f>SUM(E20:AH20)</f>
        <v>919.10175194931605</v>
      </c>
      <c r="E20" s="59">
        <f t="shared" ref="E20:AH20" si="1">IF(MOD(E$8,$C17)=0,E$10*$C20,0)</f>
        <v>0</v>
      </c>
      <c r="F20" s="26">
        <f t="shared" si="1"/>
        <v>0</v>
      </c>
      <c r="G20" s="26">
        <f t="shared" si="1"/>
        <v>0</v>
      </c>
      <c r="H20" s="26">
        <f t="shared" si="1"/>
        <v>0</v>
      </c>
      <c r="I20" s="26">
        <f t="shared" si="1"/>
        <v>0</v>
      </c>
      <c r="J20" s="26">
        <f t="shared" si="1"/>
        <v>0</v>
      </c>
      <c r="K20" s="26">
        <f t="shared" si="1"/>
        <v>0</v>
      </c>
      <c r="L20" s="26">
        <f t="shared" si="1"/>
        <v>0</v>
      </c>
      <c r="M20" s="26">
        <f t="shared" si="1"/>
        <v>0</v>
      </c>
      <c r="N20" s="26">
        <f t="shared" si="1"/>
        <v>0</v>
      </c>
      <c r="O20" s="26">
        <f t="shared" si="1"/>
        <v>0</v>
      </c>
      <c r="P20" s="26">
        <f t="shared" si="1"/>
        <v>0</v>
      </c>
      <c r="Q20" s="26">
        <f t="shared" si="1"/>
        <v>0</v>
      </c>
      <c r="R20" s="26">
        <f t="shared" si="1"/>
        <v>0</v>
      </c>
      <c r="S20" s="26">
        <f t="shared" si="1"/>
        <v>0</v>
      </c>
      <c r="T20" s="26">
        <f t="shared" si="1"/>
        <v>0</v>
      </c>
      <c r="U20" s="26">
        <f t="shared" si="1"/>
        <v>0</v>
      </c>
      <c r="V20" s="26">
        <f t="shared" si="1"/>
        <v>0</v>
      </c>
      <c r="W20" s="26">
        <f t="shared" si="1"/>
        <v>0</v>
      </c>
      <c r="X20" s="26">
        <f t="shared" si="1"/>
        <v>919.10175194931605</v>
      </c>
      <c r="Y20" s="26">
        <f t="shared" si="1"/>
        <v>0</v>
      </c>
      <c r="Z20" s="26">
        <f t="shared" si="1"/>
        <v>0</v>
      </c>
      <c r="AA20" s="26">
        <f t="shared" si="1"/>
        <v>0</v>
      </c>
      <c r="AB20" s="26">
        <f t="shared" si="1"/>
        <v>0</v>
      </c>
      <c r="AC20" s="26">
        <f t="shared" si="1"/>
        <v>0</v>
      </c>
      <c r="AD20" s="26">
        <f t="shared" si="1"/>
        <v>0</v>
      </c>
      <c r="AE20" s="26">
        <f t="shared" si="1"/>
        <v>0</v>
      </c>
      <c r="AF20" s="26">
        <f t="shared" si="1"/>
        <v>0</v>
      </c>
      <c r="AG20" s="26">
        <f t="shared" si="1"/>
        <v>0</v>
      </c>
      <c r="AH20" s="26">
        <f t="shared" si="1"/>
        <v>0</v>
      </c>
    </row>
    <row r="21" spans="2:34" x14ac:dyDescent="0.3">
      <c r="B21" s="20" t="s">
        <v>20</v>
      </c>
      <c r="C21" s="51">
        <f>Inputs!C10</f>
        <v>2</v>
      </c>
      <c r="D21" s="66"/>
      <c r="E21" s="57"/>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row>
    <row r="22" spans="2:34" s="1" customFormat="1" x14ac:dyDescent="0.3">
      <c r="B22" s="20" t="s">
        <v>9</v>
      </c>
      <c r="C22" s="53">
        <f>Inputs!C12</f>
        <v>205</v>
      </c>
      <c r="D22" s="66">
        <f>SUM(E22:AH22)</f>
        <v>1979.3549146016283</v>
      </c>
      <c r="E22" s="61">
        <f t="shared" ref="E22:S22" si="2">IF(MOD(E$8,$C21)=0,E$10*$C22,0)</f>
        <v>0</v>
      </c>
      <c r="F22" s="21">
        <f t="shared" si="2"/>
        <v>193.23216137241965</v>
      </c>
      <c r="G22" s="21">
        <f t="shared" si="2"/>
        <v>0</v>
      </c>
      <c r="H22" s="21">
        <f t="shared" si="2"/>
        <v>182.13984482271624</v>
      </c>
      <c r="I22" s="21">
        <f t="shared" si="2"/>
        <v>0</v>
      </c>
      <c r="J22" s="21">
        <f t="shared" si="2"/>
        <v>171.68427262014916</v>
      </c>
      <c r="K22" s="21">
        <f t="shared" si="2"/>
        <v>0</v>
      </c>
      <c r="L22" s="21">
        <f t="shared" si="2"/>
        <v>161.82889303435681</v>
      </c>
      <c r="M22" s="21">
        <f t="shared" si="2"/>
        <v>0</v>
      </c>
      <c r="N22" s="21">
        <f t="shared" si="2"/>
        <v>152.53925255382865</v>
      </c>
      <c r="O22" s="21">
        <f t="shared" si="2"/>
        <v>0</v>
      </c>
      <c r="P22" s="21">
        <f t="shared" si="2"/>
        <v>143.78287543955952</v>
      </c>
      <c r="Q22" s="21">
        <f t="shared" si="2"/>
        <v>0</v>
      </c>
      <c r="R22" s="21">
        <f t="shared" si="2"/>
        <v>135.52915019281693</v>
      </c>
      <c r="S22" s="21">
        <f t="shared" si="2"/>
        <v>0</v>
      </c>
      <c r="T22" s="21">
        <f>IF(MOD(T$8,$C21)=0,T$10*$C22,0)</f>
        <v>127.74922254012344</v>
      </c>
      <c r="U22" s="21">
        <f t="shared" ref="U22:AH22" si="3">IF(MOD(U$8,$C21)=0,U$10*$C22,0)</f>
        <v>0</v>
      </c>
      <c r="V22" s="21">
        <f t="shared" si="3"/>
        <v>120.41589456133795</v>
      </c>
      <c r="W22" s="21">
        <f t="shared" si="3"/>
        <v>0</v>
      </c>
      <c r="X22" s="21">
        <f t="shared" si="3"/>
        <v>113.50352960819866</v>
      </c>
      <c r="Y22" s="21">
        <f t="shared" si="3"/>
        <v>0</v>
      </c>
      <c r="Z22" s="21">
        <f t="shared" si="3"/>
        <v>106.98796268093004</v>
      </c>
      <c r="AA22" s="21">
        <f t="shared" si="3"/>
        <v>0</v>
      </c>
      <c r="AB22" s="21">
        <f t="shared" si="3"/>
        <v>100.84641594959943</v>
      </c>
      <c r="AC22" s="21">
        <f t="shared" si="3"/>
        <v>0</v>
      </c>
      <c r="AD22" s="21">
        <f t="shared" si="3"/>
        <v>95.057419124893414</v>
      </c>
      <c r="AE22" s="21">
        <f t="shared" si="3"/>
        <v>0</v>
      </c>
      <c r="AF22" s="21">
        <f t="shared" si="3"/>
        <v>89.600734399937252</v>
      </c>
      <c r="AG22" s="21">
        <f t="shared" si="3"/>
        <v>0</v>
      </c>
      <c r="AH22" s="21">
        <f t="shared" si="3"/>
        <v>84.45728570076092</v>
      </c>
    </row>
    <row r="23" spans="2:34" x14ac:dyDescent="0.3">
      <c r="B23" s="19" t="s">
        <v>116</v>
      </c>
      <c r="C23" s="103"/>
      <c r="D23" s="104">
        <f>D20+D22</f>
        <v>2898.4566665509442</v>
      </c>
      <c r="E23" s="57"/>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row>
    <row r="24" spans="2:34" ht="15" thickBot="1" x14ac:dyDescent="0.35">
      <c r="B24" s="105" t="s">
        <v>40</v>
      </c>
      <c r="C24" s="27"/>
      <c r="D24" s="113">
        <f>D23+D16</f>
        <v>4569.4566665509446</v>
      </c>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row>
    <row r="25" spans="2:34" ht="18.600000000000001" thickBot="1" x14ac:dyDescent="0.4">
      <c r="B25" s="97" t="s">
        <v>92</v>
      </c>
      <c r="C25" s="98"/>
      <c r="D25" s="99"/>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100"/>
    </row>
    <row r="26" spans="2:34" x14ac:dyDescent="0.3">
      <c r="B26" s="95" t="s">
        <v>1</v>
      </c>
      <c r="C26" s="96">
        <v>518</v>
      </c>
      <c r="D26" s="71"/>
      <c r="E26" s="64"/>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row>
    <row r="27" spans="2:34" x14ac:dyDescent="0.3">
      <c r="B27" s="32" t="s">
        <v>0</v>
      </c>
      <c r="C27" s="54">
        <v>428</v>
      </c>
      <c r="D27" s="69"/>
      <c r="E27" s="62"/>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row>
    <row r="28" spans="2:34" x14ac:dyDescent="0.3">
      <c r="B28" s="32" t="s">
        <v>3</v>
      </c>
      <c r="C28" s="49">
        <f>Inputs!C15</f>
        <v>0</v>
      </c>
      <c r="D28" s="69"/>
      <c r="E28" s="62"/>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row>
    <row r="29" spans="2:34" ht="15" thickBot="1" x14ac:dyDescent="0.35">
      <c r="B29" s="34" t="s">
        <v>4</v>
      </c>
      <c r="C29" s="55">
        <f>SUM(C26,C27,C28)</f>
        <v>946</v>
      </c>
      <c r="D29" s="70">
        <f>C29</f>
        <v>946</v>
      </c>
      <c r="E29" s="63"/>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row>
    <row r="30" spans="2:34" x14ac:dyDescent="0.3">
      <c r="B30" s="36" t="s">
        <v>2</v>
      </c>
      <c r="C30" s="51">
        <f>Inputs!C8</f>
        <v>13</v>
      </c>
      <c r="D30" s="71"/>
      <c r="E30" s="64"/>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row>
    <row r="31" spans="2:34" x14ac:dyDescent="0.3">
      <c r="B31" s="38" t="s">
        <v>6</v>
      </c>
      <c r="C31" s="56">
        <f>C26</f>
        <v>518</v>
      </c>
      <c r="D31" s="69"/>
      <c r="E31" s="62"/>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row>
    <row r="32" spans="2:34" x14ac:dyDescent="0.3">
      <c r="B32" s="38" t="s">
        <v>7</v>
      </c>
      <c r="C32" s="56">
        <v>487</v>
      </c>
      <c r="D32" s="69"/>
      <c r="E32" s="62"/>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row>
    <row r="33" spans="2:35" ht="15" thickBot="1" x14ac:dyDescent="0.35">
      <c r="B33" s="34" t="s">
        <v>8</v>
      </c>
      <c r="C33" s="55">
        <f>C32+C31</f>
        <v>1005</v>
      </c>
      <c r="D33" s="70">
        <f>SUM(E33:AH33)</f>
        <v>1150.3692977688409</v>
      </c>
      <c r="E33" s="63">
        <f t="shared" ref="E33:AH33" si="4">IF(MOD(E$8,$C30)=0,E$10*$C33,0)</f>
        <v>0</v>
      </c>
      <c r="F33" s="35">
        <f t="shared" si="4"/>
        <v>0</v>
      </c>
      <c r="G33" s="35">
        <f t="shared" si="4"/>
        <v>0</v>
      </c>
      <c r="H33" s="35">
        <f t="shared" si="4"/>
        <v>0</v>
      </c>
      <c r="I33" s="35">
        <f t="shared" si="4"/>
        <v>0</v>
      </c>
      <c r="J33" s="35">
        <f t="shared" si="4"/>
        <v>0</v>
      </c>
      <c r="K33" s="35">
        <f t="shared" si="4"/>
        <v>0</v>
      </c>
      <c r="L33" s="35">
        <f t="shared" si="4"/>
        <v>0</v>
      </c>
      <c r="M33" s="35">
        <f t="shared" si="4"/>
        <v>0</v>
      </c>
      <c r="N33" s="35">
        <f t="shared" si="4"/>
        <v>0</v>
      </c>
      <c r="O33" s="35">
        <f t="shared" si="4"/>
        <v>0</v>
      </c>
      <c r="P33" s="35">
        <f t="shared" si="4"/>
        <v>0</v>
      </c>
      <c r="Q33" s="231">
        <f t="shared" si="4"/>
        <v>684.35609669314385</v>
      </c>
      <c r="R33" s="35">
        <f t="shared" si="4"/>
        <v>0</v>
      </c>
      <c r="S33" s="35">
        <f t="shared" si="4"/>
        <v>0</v>
      </c>
      <c r="T33" s="35">
        <f t="shared" si="4"/>
        <v>0</v>
      </c>
      <c r="U33" s="35">
        <f t="shared" si="4"/>
        <v>0</v>
      </c>
      <c r="V33" s="35">
        <f t="shared" si="4"/>
        <v>0</v>
      </c>
      <c r="W33" s="35">
        <f t="shared" si="4"/>
        <v>0</v>
      </c>
      <c r="X33" s="35">
        <f t="shared" si="4"/>
        <v>0</v>
      </c>
      <c r="Y33" s="35">
        <f t="shared" si="4"/>
        <v>0</v>
      </c>
      <c r="Z33" s="35">
        <f t="shared" si="4"/>
        <v>0</v>
      </c>
      <c r="AA33" s="35">
        <f t="shared" si="4"/>
        <v>0</v>
      </c>
      <c r="AB33" s="35">
        <f t="shared" si="4"/>
        <v>0</v>
      </c>
      <c r="AC33" s="35">
        <f t="shared" si="4"/>
        <v>0</v>
      </c>
      <c r="AD33" s="231">
        <f t="shared" si="4"/>
        <v>466.013201075697</v>
      </c>
      <c r="AE33" s="35">
        <f t="shared" si="4"/>
        <v>0</v>
      </c>
      <c r="AF33" s="35">
        <f t="shared" si="4"/>
        <v>0</v>
      </c>
      <c r="AG33" s="35">
        <f t="shared" si="4"/>
        <v>0</v>
      </c>
      <c r="AH33" s="35">
        <f t="shared" si="4"/>
        <v>0</v>
      </c>
    </row>
    <row r="34" spans="2:35" x14ac:dyDescent="0.3">
      <c r="B34" s="38" t="s">
        <v>20</v>
      </c>
      <c r="C34" s="51">
        <f>Inputs!C11</f>
        <v>1</v>
      </c>
      <c r="D34" s="69"/>
      <c r="E34" s="62"/>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row>
    <row r="35" spans="2:35" s="1" customFormat="1" x14ac:dyDescent="0.3">
      <c r="B35" s="38" t="s">
        <v>9</v>
      </c>
      <c r="C35" s="53">
        <f>Inputs!C13</f>
        <v>144</v>
      </c>
      <c r="D35" s="69">
        <f>SUM(E35:AH35)</f>
        <v>2822.4635543236491</v>
      </c>
      <c r="E35" s="65">
        <f t="shared" ref="E35:AH35" si="5">IF(MOD(E$8,$C34)=0,E$10*$C35,0)</f>
        <v>139.80582524271844</v>
      </c>
      <c r="F35" s="39">
        <f t="shared" si="5"/>
        <v>135.73381091526062</v>
      </c>
      <c r="G35" s="39">
        <f t="shared" si="5"/>
        <v>131.78039894685497</v>
      </c>
      <c r="H35" s="39">
        <f t="shared" si="5"/>
        <v>127.94213489985921</v>
      </c>
      <c r="I35" s="39">
        <f t="shared" si="5"/>
        <v>124.21566495131964</v>
      </c>
      <c r="J35" s="39">
        <f t="shared" si="5"/>
        <v>120.59773296244624</v>
      </c>
      <c r="K35" s="39">
        <f t="shared" si="5"/>
        <v>117.08517763344294</v>
      </c>
      <c r="L35" s="39">
        <f t="shared" si="5"/>
        <v>113.67492974120674</v>
      </c>
      <c r="M35" s="39">
        <f t="shared" si="5"/>
        <v>110.36400945748228</v>
      </c>
      <c r="N35" s="39">
        <f t="shared" si="5"/>
        <v>107.14952374512842</v>
      </c>
      <c r="O35" s="39">
        <f t="shared" si="5"/>
        <v>104.02866383022177</v>
      </c>
      <c r="P35" s="39">
        <f t="shared" si="5"/>
        <v>100.99870274778814</v>
      </c>
      <c r="Q35" s="39">
        <f t="shared" si="5"/>
        <v>98.05699295901762</v>
      </c>
      <c r="R35" s="39">
        <f t="shared" si="5"/>
        <v>95.200964037881164</v>
      </c>
      <c r="S35" s="39">
        <f t="shared" si="5"/>
        <v>92.428120425127346</v>
      </c>
      <c r="T35" s="39">
        <f t="shared" si="5"/>
        <v>89.736039247696468</v>
      </c>
      <c r="U35" s="39">
        <f t="shared" si="5"/>
        <v>87.122368201647049</v>
      </c>
      <c r="V35" s="39">
        <f t="shared" si="5"/>
        <v>84.584823496744704</v>
      </c>
      <c r="W35" s="39">
        <f t="shared" si="5"/>
        <v>82.121187860917189</v>
      </c>
      <c r="X35" s="39">
        <f t="shared" si="5"/>
        <v>79.729308602832234</v>
      </c>
      <c r="Y35" s="39">
        <f t="shared" si="5"/>
        <v>77.407095730905084</v>
      </c>
      <c r="Z35" s="39">
        <f t="shared" si="5"/>
        <v>75.152520127092316</v>
      </c>
      <c r="AA35" s="39">
        <f t="shared" si="5"/>
        <v>72.963611773876039</v>
      </c>
      <c r="AB35" s="39">
        <f t="shared" si="5"/>
        <v>70.838458032889363</v>
      </c>
      <c r="AC35" s="39">
        <f t="shared" si="5"/>
        <v>68.775201973678989</v>
      </c>
      <c r="AD35" s="39">
        <f t="shared" si="5"/>
        <v>66.772040751144644</v>
      </c>
      <c r="AE35" s="39">
        <f t="shared" si="5"/>
        <v>64.827224030237517</v>
      </c>
      <c r="AF35" s="39">
        <f t="shared" si="5"/>
        <v>62.93905245654129</v>
      </c>
      <c r="AG35" s="39">
        <f t="shared" si="5"/>
        <v>61.105876171399316</v>
      </c>
      <c r="AH35" s="39">
        <f t="shared" si="5"/>
        <v>59.326093370290593</v>
      </c>
    </row>
    <row r="36" spans="2:35" x14ac:dyDescent="0.3">
      <c r="B36" s="107" t="s">
        <v>116</v>
      </c>
      <c r="C36" s="108"/>
      <c r="D36" s="109">
        <f>D33+D35</f>
        <v>3972.8328520924897</v>
      </c>
      <c r="E36" s="110"/>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row>
    <row r="37" spans="2:35" ht="15" thickBot="1" x14ac:dyDescent="0.35">
      <c r="B37" s="106" t="s">
        <v>40</v>
      </c>
      <c r="C37" s="112"/>
      <c r="D37" s="115">
        <f>D36+D29</f>
        <v>4918.8328520924897</v>
      </c>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row>
    <row r="38" spans="2:35" ht="18.600000000000001" thickBot="1" x14ac:dyDescent="0.4">
      <c r="B38" s="116" t="s">
        <v>60</v>
      </c>
      <c r="C38" s="117"/>
      <c r="D38" s="118"/>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row>
    <row r="39" spans="2:35" x14ac:dyDescent="0.3">
      <c r="B39" s="119" t="s">
        <v>4</v>
      </c>
      <c r="C39" s="120"/>
      <c r="D39" s="129">
        <f>D16-D29</f>
        <v>725</v>
      </c>
      <c r="E39" s="121"/>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row>
    <row r="40" spans="2:35" x14ac:dyDescent="0.3">
      <c r="B40" s="123" t="s">
        <v>8</v>
      </c>
      <c r="C40" s="124"/>
      <c r="D40" s="130">
        <f>D20-D33</f>
        <v>-231.2675458195248</v>
      </c>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row>
    <row r="41" spans="2:35" s="1" customFormat="1" x14ac:dyDescent="0.3">
      <c r="B41" s="119" t="s">
        <v>43</v>
      </c>
      <c r="C41" s="124"/>
      <c r="D41" s="131">
        <f>D22-D35</f>
        <v>-843.10863972202083</v>
      </c>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row>
    <row r="42" spans="2:35" ht="15" thickBot="1" x14ac:dyDescent="0.35">
      <c r="B42" s="126" t="s">
        <v>40</v>
      </c>
      <c r="C42" s="127"/>
      <c r="D42" s="114">
        <f>D24-D37</f>
        <v>-349.37618554154506</v>
      </c>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row>
    <row r="43" spans="2:35" s="43" customFormat="1" ht="45.6" customHeight="1" thickBot="1" x14ac:dyDescent="0.35">
      <c r="B43" s="40"/>
      <c r="C43" s="41"/>
      <c r="D43" s="42"/>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row>
    <row r="44" spans="2:35" s="43" customFormat="1" ht="21" thickBot="1" x14ac:dyDescent="0.35">
      <c r="B44" s="44" t="s">
        <v>37</v>
      </c>
      <c r="C44" s="45"/>
      <c r="D44" s="45"/>
      <c r="E44" s="45"/>
      <c r="F44" s="45"/>
      <c r="G44" s="45"/>
      <c r="H44" s="45"/>
      <c r="I44" s="45"/>
      <c r="J44" s="45"/>
      <c r="K44" s="45"/>
      <c r="L44" s="45"/>
      <c r="M44" s="45"/>
      <c r="N44" s="45"/>
      <c r="O44" s="45"/>
      <c r="P44" s="45"/>
      <c r="Q44" s="45"/>
      <c r="R44" s="45"/>
      <c r="S44" s="45"/>
      <c r="T44" s="46"/>
      <c r="U44" s="14"/>
      <c r="V44" s="14"/>
      <c r="W44" s="14"/>
      <c r="X44" s="14"/>
      <c r="Y44" s="14"/>
      <c r="Z44" s="14"/>
      <c r="AA44" s="14"/>
      <c r="AB44" s="14"/>
      <c r="AC44" s="14"/>
      <c r="AD44" s="14"/>
      <c r="AE44" s="14"/>
      <c r="AF44" s="14"/>
      <c r="AG44" s="14"/>
      <c r="AH44" s="14"/>
      <c r="AI44" s="14"/>
    </row>
    <row r="45" spans="2:35" s="43" customFormat="1" ht="20.399999999999999" x14ac:dyDescent="0.3">
      <c r="B45" s="155"/>
      <c r="C45" s="132"/>
      <c r="D45" s="136" t="s">
        <v>16</v>
      </c>
      <c r="E45" s="136" t="s">
        <v>16</v>
      </c>
      <c r="F45" s="136" t="s">
        <v>16</v>
      </c>
      <c r="G45" s="136" t="s">
        <v>16</v>
      </c>
      <c r="H45" s="135" t="s">
        <v>16</v>
      </c>
      <c r="I45" s="135" t="s">
        <v>16</v>
      </c>
      <c r="J45" s="135" t="s">
        <v>16</v>
      </c>
      <c r="K45" s="135" t="s">
        <v>16</v>
      </c>
      <c r="L45" s="135" t="s">
        <v>16</v>
      </c>
      <c r="M45" s="135" t="s">
        <v>16</v>
      </c>
      <c r="N45" s="135" t="s">
        <v>16</v>
      </c>
      <c r="O45" s="135" t="s">
        <v>16</v>
      </c>
      <c r="P45" s="135" t="s">
        <v>16</v>
      </c>
      <c r="Q45" s="135" t="s">
        <v>16</v>
      </c>
      <c r="R45" s="135" t="s">
        <v>16</v>
      </c>
      <c r="S45" s="135" t="s">
        <v>16</v>
      </c>
      <c r="T45" s="156"/>
      <c r="U45" s="14"/>
      <c r="V45" s="14"/>
      <c r="W45" s="14"/>
      <c r="X45" s="14"/>
      <c r="Y45" s="14"/>
      <c r="Z45" s="14"/>
      <c r="AA45" s="14"/>
      <c r="AB45" s="14"/>
      <c r="AC45" s="14"/>
      <c r="AD45" s="14"/>
      <c r="AE45" s="14"/>
      <c r="AF45" s="14"/>
      <c r="AG45" s="14"/>
      <c r="AH45" s="14"/>
      <c r="AI45" s="14"/>
    </row>
    <row r="46" spans="2:35" x14ac:dyDescent="0.3">
      <c r="B46" s="170"/>
      <c r="C46" s="171"/>
      <c r="D46" s="133">
        <v>1</v>
      </c>
      <c r="E46" s="133">
        <v>2</v>
      </c>
      <c r="F46" s="133">
        <v>3</v>
      </c>
      <c r="G46" s="133">
        <v>4</v>
      </c>
      <c r="H46" s="133">
        <v>5</v>
      </c>
      <c r="I46" s="133">
        <v>6</v>
      </c>
      <c r="J46" s="133">
        <v>7</v>
      </c>
      <c r="K46" s="133">
        <v>8</v>
      </c>
      <c r="L46" s="133">
        <v>9</v>
      </c>
      <c r="M46" s="133">
        <v>10</v>
      </c>
      <c r="N46" s="133">
        <v>11</v>
      </c>
      <c r="O46" s="133">
        <v>12</v>
      </c>
      <c r="P46" s="133">
        <v>13</v>
      </c>
      <c r="Q46" s="133">
        <v>14</v>
      </c>
      <c r="R46" s="133">
        <v>15</v>
      </c>
      <c r="S46" s="133">
        <v>16</v>
      </c>
      <c r="T46" s="157" t="s">
        <v>5</v>
      </c>
    </row>
    <row r="47" spans="2:35" ht="18.600000000000001" thickBot="1" x14ac:dyDescent="0.4">
      <c r="B47" s="158" t="s">
        <v>46</v>
      </c>
      <c r="C47" s="173">
        <v>0.17319999999999999</v>
      </c>
      <c r="D47" s="172"/>
      <c r="E47" s="140"/>
      <c r="F47" s="140"/>
      <c r="G47" s="140"/>
      <c r="H47" s="140"/>
      <c r="I47" s="140"/>
      <c r="J47" s="140"/>
      <c r="K47" s="140"/>
      <c r="L47" s="140"/>
      <c r="M47" s="140"/>
      <c r="N47" s="140"/>
      <c r="O47" s="140"/>
      <c r="P47" s="140"/>
      <c r="Q47" s="140"/>
      <c r="R47" s="140"/>
      <c r="S47" s="140"/>
      <c r="T47" s="159"/>
    </row>
    <row r="48" spans="2:35" ht="18.600000000000001" thickBot="1" x14ac:dyDescent="0.4">
      <c r="B48" s="90" t="s">
        <v>35</v>
      </c>
      <c r="C48" s="91"/>
      <c r="D48" s="134"/>
      <c r="E48" s="91"/>
      <c r="F48" s="91"/>
      <c r="G48" s="91"/>
      <c r="H48" s="91"/>
      <c r="I48" s="91"/>
      <c r="J48" s="91"/>
      <c r="K48" s="91"/>
      <c r="L48" s="91"/>
      <c r="M48" s="91"/>
      <c r="N48" s="91"/>
      <c r="O48" s="91"/>
      <c r="P48" s="91"/>
      <c r="Q48" s="91"/>
      <c r="R48" s="91"/>
      <c r="S48" s="91"/>
      <c r="T48" s="94"/>
    </row>
    <row r="49" spans="2:35" ht="18" x14ac:dyDescent="0.35">
      <c r="B49" s="160" t="s">
        <v>42</v>
      </c>
      <c r="C49" s="101"/>
      <c r="D49" s="102"/>
      <c r="E49" s="101"/>
      <c r="F49" s="101"/>
      <c r="G49" s="101"/>
      <c r="H49" s="101"/>
      <c r="I49" s="101"/>
      <c r="J49" s="101"/>
      <c r="K49" s="101"/>
      <c r="L49" s="101"/>
      <c r="M49" s="101"/>
      <c r="N49" s="101"/>
      <c r="O49" s="101"/>
      <c r="P49" s="101"/>
      <c r="Q49" s="101"/>
      <c r="R49" s="101"/>
      <c r="S49" s="101"/>
      <c r="T49" s="161"/>
    </row>
    <row r="50" spans="2:35" x14ac:dyDescent="0.3">
      <c r="B50" s="162" t="s">
        <v>39</v>
      </c>
      <c r="C50" s="18"/>
      <c r="D50" s="22">
        <f>'CBECC Model Data'!C29</f>
        <v>24448.5</v>
      </c>
      <c r="E50" s="22">
        <f>'CBECC Model Data'!D29</f>
        <v>22546.350000000002</v>
      </c>
      <c r="F50" s="22">
        <f>'CBECC Model Data'!E29</f>
        <v>22570.65</v>
      </c>
      <c r="G50" s="22">
        <f>'CBECC Model Data'!F29</f>
        <v>21803.850000000002</v>
      </c>
      <c r="H50" s="22">
        <f>'CBECC Model Data'!G29</f>
        <v>22978.350000000002</v>
      </c>
      <c r="I50" s="22">
        <f>'CBECC Model Data'!H29</f>
        <v>21149.100000000002</v>
      </c>
      <c r="J50" s="22">
        <f>'CBECC Model Data'!I29</f>
        <v>20503.800000000003</v>
      </c>
      <c r="K50" s="22">
        <f>'CBECC Model Data'!J29</f>
        <v>20479.5</v>
      </c>
      <c r="L50" s="22">
        <f>'CBECC Model Data'!K29</f>
        <v>20479.5</v>
      </c>
      <c r="M50" s="22">
        <f>'CBECC Model Data'!L29</f>
        <v>20397.150000000001</v>
      </c>
      <c r="N50" s="22">
        <f>'CBECC Model Data'!M29</f>
        <v>20683.349999999999</v>
      </c>
      <c r="O50" s="22">
        <f>'CBECC Model Data'!N29</f>
        <v>21411</v>
      </c>
      <c r="P50" s="22">
        <f>'CBECC Model Data'!O29</f>
        <v>20397.150000000001</v>
      </c>
      <c r="Q50" s="22">
        <f>'CBECC Model Data'!P29</f>
        <v>21018.15</v>
      </c>
      <c r="R50" s="22">
        <f>'CBECC Model Data'!Q29</f>
        <v>16714.350000000002</v>
      </c>
      <c r="S50" s="22">
        <f>'CBECC Model Data'!R29</f>
        <v>24628.05</v>
      </c>
      <c r="T50" s="164">
        <f>AVERAGE(D50:S50)</f>
        <v>21388.050000000003</v>
      </c>
    </row>
    <row r="51" spans="2:35" ht="18.600000000000001" thickBot="1" x14ac:dyDescent="0.4">
      <c r="B51" s="160" t="s">
        <v>41</v>
      </c>
      <c r="C51" s="18"/>
      <c r="D51" s="17">
        <f>D50*$C$47</f>
        <v>4234.4802</v>
      </c>
      <c r="E51" s="17">
        <f t="shared" ref="E51:S51" si="6">E50*$C$47</f>
        <v>3905.0278200000002</v>
      </c>
      <c r="F51" s="17">
        <f t="shared" si="6"/>
        <v>3909.2365800000002</v>
      </c>
      <c r="G51" s="17">
        <f t="shared" si="6"/>
        <v>3776.4268200000001</v>
      </c>
      <c r="H51" s="17">
        <f t="shared" si="6"/>
        <v>3979.8502200000003</v>
      </c>
      <c r="I51" s="17">
        <f t="shared" si="6"/>
        <v>3663.02412</v>
      </c>
      <c r="J51" s="17">
        <f t="shared" si="6"/>
        <v>3551.2581600000003</v>
      </c>
      <c r="K51" s="17">
        <f t="shared" si="6"/>
        <v>3547.0493999999999</v>
      </c>
      <c r="L51" s="17">
        <f t="shared" si="6"/>
        <v>3547.0493999999999</v>
      </c>
      <c r="M51" s="17">
        <f t="shared" si="6"/>
        <v>3532.78638</v>
      </c>
      <c r="N51" s="17">
        <f t="shared" si="6"/>
        <v>3582.3562199999997</v>
      </c>
      <c r="O51" s="17">
        <f t="shared" si="6"/>
        <v>3708.3851999999997</v>
      </c>
      <c r="P51" s="17">
        <f t="shared" si="6"/>
        <v>3532.78638</v>
      </c>
      <c r="Q51" s="17">
        <f t="shared" si="6"/>
        <v>3640.3435800000002</v>
      </c>
      <c r="R51" s="17">
        <f t="shared" si="6"/>
        <v>2894.9254200000005</v>
      </c>
      <c r="S51" s="17">
        <f t="shared" si="6"/>
        <v>4265.5782599999993</v>
      </c>
      <c r="T51" s="163"/>
    </row>
    <row r="52" spans="2:35" ht="18.600000000000001" thickBot="1" x14ac:dyDescent="0.4">
      <c r="B52" s="97" t="s">
        <v>36</v>
      </c>
      <c r="C52" s="98"/>
      <c r="D52" s="99"/>
      <c r="E52" s="98"/>
      <c r="F52" s="98"/>
      <c r="G52" s="98"/>
      <c r="H52" s="98"/>
      <c r="I52" s="98"/>
      <c r="J52" s="98"/>
      <c r="K52" s="98"/>
      <c r="L52" s="98"/>
      <c r="M52" s="98"/>
      <c r="N52" s="98"/>
      <c r="O52" s="98"/>
      <c r="P52" s="98"/>
      <c r="Q52" s="98"/>
      <c r="R52" s="98"/>
      <c r="S52" s="98"/>
      <c r="T52" s="100"/>
    </row>
    <row r="53" spans="2:35" ht="18" x14ac:dyDescent="0.35">
      <c r="B53" s="165" t="s">
        <v>38</v>
      </c>
      <c r="C53" s="137"/>
      <c r="D53" s="138"/>
      <c r="E53" s="137"/>
      <c r="F53" s="137"/>
      <c r="G53" s="137"/>
      <c r="H53" s="137"/>
      <c r="I53" s="137"/>
      <c r="J53" s="137"/>
      <c r="K53" s="137"/>
      <c r="L53" s="137"/>
      <c r="M53" s="137"/>
      <c r="N53" s="137"/>
      <c r="O53" s="137"/>
      <c r="P53" s="137"/>
      <c r="Q53" s="137"/>
      <c r="R53" s="137"/>
      <c r="S53" s="137"/>
      <c r="T53" s="166"/>
    </row>
    <row r="54" spans="2:35" x14ac:dyDescent="0.3">
      <c r="B54" s="167" t="s">
        <v>39</v>
      </c>
      <c r="C54" s="33"/>
      <c r="D54" s="139">
        <f>'CBECC Model Data'!C30</f>
        <v>31719.599999999999</v>
      </c>
      <c r="E54" s="139">
        <f>'CBECC Model Data'!D30</f>
        <v>30036.15</v>
      </c>
      <c r="F54" s="139">
        <f>'CBECC Model Data'!E30</f>
        <v>30051.000000000004</v>
      </c>
      <c r="G54" s="139">
        <f>'CBECC Model Data'!F30</f>
        <v>29381.4</v>
      </c>
      <c r="H54" s="139">
        <f>'CBECC Model Data'!G30</f>
        <v>30395.25</v>
      </c>
      <c r="I54" s="139">
        <f>'CBECC Model Data'!H30</f>
        <v>28794.15</v>
      </c>
      <c r="J54" s="139">
        <f>'CBECC Model Data'!I30</f>
        <v>28032.75</v>
      </c>
      <c r="K54" s="139">
        <f>'CBECC Model Data'!J30</f>
        <v>28188</v>
      </c>
      <c r="L54" s="139">
        <f>'CBECC Model Data'!K30</f>
        <v>28212.300000000003</v>
      </c>
      <c r="M54" s="139">
        <f>'CBECC Model Data'!L30</f>
        <v>28139.4</v>
      </c>
      <c r="N54" s="139">
        <f>'CBECC Model Data'!M30</f>
        <v>28416.15</v>
      </c>
      <c r="O54" s="139">
        <f>'CBECC Model Data'!N30</f>
        <v>29037.15</v>
      </c>
      <c r="P54" s="139">
        <f>'CBECC Model Data'!O30</f>
        <v>28139.4</v>
      </c>
      <c r="Q54" s="139">
        <f>'CBECC Model Data'!P30</f>
        <v>28784.700000000004</v>
      </c>
      <c r="R54" s="139">
        <f>'CBECC Model Data'!Q30</f>
        <v>24753.600000000002</v>
      </c>
      <c r="S54" s="139">
        <f>'CBECC Model Data'!R30</f>
        <v>32015.250000000004</v>
      </c>
      <c r="T54" s="168">
        <f>AVERAGE(D54:S54)</f>
        <v>29006.015625000004</v>
      </c>
    </row>
    <row r="55" spans="2:35" ht="18.600000000000001" thickBot="1" x14ac:dyDescent="0.4">
      <c r="B55" s="165" t="s">
        <v>41</v>
      </c>
      <c r="C55" s="111"/>
      <c r="D55" s="144">
        <f>D54*$C$47</f>
        <v>5493.8347199999998</v>
      </c>
      <c r="E55" s="144">
        <f t="shared" ref="E55:S55" si="7">E54*$C$47</f>
        <v>5202.2611800000004</v>
      </c>
      <c r="F55" s="144">
        <f t="shared" si="7"/>
        <v>5204.8332</v>
      </c>
      <c r="G55" s="144">
        <f t="shared" si="7"/>
        <v>5088.8584799999999</v>
      </c>
      <c r="H55" s="144">
        <f t="shared" si="7"/>
        <v>5264.4573</v>
      </c>
      <c r="I55" s="144">
        <f t="shared" si="7"/>
        <v>4987.14678</v>
      </c>
      <c r="J55" s="144">
        <f t="shared" si="7"/>
        <v>4855.2722999999996</v>
      </c>
      <c r="K55" s="144">
        <f t="shared" si="7"/>
        <v>4882.1615999999995</v>
      </c>
      <c r="L55" s="144">
        <f t="shared" si="7"/>
        <v>4886.3703599999999</v>
      </c>
      <c r="M55" s="144">
        <f t="shared" si="7"/>
        <v>4873.7440800000004</v>
      </c>
      <c r="N55" s="144">
        <f t="shared" si="7"/>
        <v>4921.6771799999997</v>
      </c>
      <c r="O55" s="144">
        <f t="shared" si="7"/>
        <v>5029.2343799999999</v>
      </c>
      <c r="P55" s="144">
        <f t="shared" si="7"/>
        <v>4873.7440800000004</v>
      </c>
      <c r="Q55" s="144">
        <f t="shared" si="7"/>
        <v>4985.5100400000001</v>
      </c>
      <c r="R55" s="144">
        <f t="shared" si="7"/>
        <v>4287.3235199999999</v>
      </c>
      <c r="S55" s="144">
        <f t="shared" si="7"/>
        <v>5545.0413000000008</v>
      </c>
      <c r="T55" s="169"/>
    </row>
    <row r="56" spans="2:35" ht="18.600000000000001" thickBot="1" x14ac:dyDescent="0.4">
      <c r="B56" s="116" t="s">
        <v>44</v>
      </c>
      <c r="C56" s="152"/>
      <c r="D56" s="153"/>
      <c r="E56" s="152"/>
      <c r="F56" s="152"/>
      <c r="G56" s="152"/>
      <c r="H56" s="152"/>
      <c r="I56" s="152"/>
      <c r="J56" s="152"/>
      <c r="K56" s="152"/>
      <c r="L56" s="152"/>
      <c r="M56" s="152"/>
      <c r="N56" s="152"/>
      <c r="O56" s="152"/>
      <c r="P56" s="152"/>
      <c r="Q56" s="152"/>
      <c r="R56" s="152"/>
      <c r="S56" s="152"/>
      <c r="T56" s="154"/>
    </row>
    <row r="57" spans="2:35" ht="18" x14ac:dyDescent="0.35">
      <c r="B57" s="145" t="s">
        <v>38</v>
      </c>
      <c r="C57" s="141"/>
      <c r="D57" s="142"/>
      <c r="E57" s="141"/>
      <c r="F57" s="141"/>
      <c r="G57" s="141"/>
      <c r="H57" s="141"/>
      <c r="I57" s="141"/>
      <c r="J57" s="141"/>
      <c r="K57" s="141"/>
      <c r="L57" s="141"/>
      <c r="M57" s="141"/>
      <c r="N57" s="141"/>
      <c r="O57" s="141"/>
      <c r="P57" s="141"/>
      <c r="Q57" s="141"/>
      <c r="R57" s="141"/>
      <c r="S57" s="141"/>
      <c r="T57" s="146"/>
    </row>
    <row r="58" spans="2:35" x14ac:dyDescent="0.3">
      <c r="B58" s="147" t="s">
        <v>45</v>
      </c>
      <c r="C58" s="30"/>
      <c r="D58" s="143">
        <f t="shared" ref="D58:S58" si="8">D54-D50</f>
        <v>7271.0999999999985</v>
      </c>
      <c r="E58" s="143">
        <f t="shared" si="8"/>
        <v>7489.7999999999993</v>
      </c>
      <c r="F58" s="143">
        <f t="shared" si="8"/>
        <v>7480.3500000000022</v>
      </c>
      <c r="G58" s="143">
        <f t="shared" si="8"/>
        <v>7577.5499999999993</v>
      </c>
      <c r="H58" s="143">
        <f t="shared" si="8"/>
        <v>7416.8999999999978</v>
      </c>
      <c r="I58" s="143">
        <f t="shared" si="8"/>
        <v>7645.0499999999993</v>
      </c>
      <c r="J58" s="143">
        <f t="shared" si="8"/>
        <v>7528.9499999999971</v>
      </c>
      <c r="K58" s="143">
        <f t="shared" si="8"/>
        <v>7708.5</v>
      </c>
      <c r="L58" s="143">
        <f t="shared" si="8"/>
        <v>7732.8000000000029</v>
      </c>
      <c r="M58" s="143">
        <f t="shared" si="8"/>
        <v>7742.25</v>
      </c>
      <c r="N58" s="143">
        <f t="shared" si="8"/>
        <v>7732.8000000000029</v>
      </c>
      <c r="O58" s="143">
        <f t="shared" si="8"/>
        <v>7626.1500000000015</v>
      </c>
      <c r="P58" s="143">
        <f t="shared" si="8"/>
        <v>7742.25</v>
      </c>
      <c r="Q58" s="143">
        <f t="shared" si="8"/>
        <v>7766.5500000000029</v>
      </c>
      <c r="R58" s="143">
        <f t="shared" si="8"/>
        <v>8039.25</v>
      </c>
      <c r="S58" s="143">
        <f t="shared" si="8"/>
        <v>7387.2000000000044</v>
      </c>
      <c r="T58" s="148"/>
    </row>
    <row r="59" spans="2:35" ht="18.600000000000001" thickBot="1" x14ac:dyDescent="0.4">
      <c r="B59" s="149" t="s">
        <v>47</v>
      </c>
      <c r="C59" s="31"/>
      <c r="D59" s="150">
        <f t="shared" ref="D59:S59" si="9">D55-D51</f>
        <v>1259.3545199999999</v>
      </c>
      <c r="E59" s="150">
        <f t="shared" si="9"/>
        <v>1297.2333600000002</v>
      </c>
      <c r="F59" s="150">
        <f t="shared" si="9"/>
        <v>1295.5966199999998</v>
      </c>
      <c r="G59" s="150">
        <f t="shared" si="9"/>
        <v>1312.4316599999997</v>
      </c>
      <c r="H59" s="150">
        <f t="shared" si="9"/>
        <v>1284.6070799999998</v>
      </c>
      <c r="I59" s="150">
        <f t="shared" si="9"/>
        <v>1324.12266</v>
      </c>
      <c r="J59" s="150">
        <f t="shared" si="9"/>
        <v>1304.0141399999993</v>
      </c>
      <c r="K59" s="150">
        <f t="shared" si="9"/>
        <v>1335.1121999999996</v>
      </c>
      <c r="L59" s="150">
        <f t="shared" si="9"/>
        <v>1339.32096</v>
      </c>
      <c r="M59" s="150">
        <f t="shared" si="9"/>
        <v>1340.9577000000004</v>
      </c>
      <c r="N59" s="150">
        <f t="shared" si="9"/>
        <v>1339.32096</v>
      </c>
      <c r="O59" s="150">
        <f t="shared" si="9"/>
        <v>1320.8491800000002</v>
      </c>
      <c r="P59" s="150">
        <f t="shared" si="9"/>
        <v>1340.9577000000004</v>
      </c>
      <c r="Q59" s="150">
        <f t="shared" si="9"/>
        <v>1345.1664599999999</v>
      </c>
      <c r="R59" s="150">
        <f t="shared" si="9"/>
        <v>1392.3980999999994</v>
      </c>
      <c r="S59" s="150">
        <f t="shared" si="9"/>
        <v>1279.4630400000015</v>
      </c>
      <c r="T59" s="151"/>
    </row>
    <row r="60" spans="2:35" ht="15" thickBot="1" x14ac:dyDescent="0.35"/>
    <row r="61" spans="2:35" s="43" customFormat="1" ht="21" thickBot="1" x14ac:dyDescent="0.35">
      <c r="B61" s="44" t="s">
        <v>50</v>
      </c>
      <c r="C61" s="45"/>
      <c r="D61" s="45"/>
      <c r="E61" s="45"/>
      <c r="F61" s="45"/>
      <c r="G61" s="45"/>
      <c r="H61" s="45"/>
      <c r="I61" s="45"/>
      <c r="J61" s="45"/>
      <c r="K61" s="45"/>
      <c r="L61" s="45"/>
      <c r="M61" s="45"/>
      <c r="N61" s="45"/>
      <c r="O61" s="45"/>
      <c r="P61" s="45"/>
      <c r="Q61" s="45"/>
      <c r="R61" s="45"/>
      <c r="S61" s="45"/>
      <c r="T61" s="46"/>
      <c r="U61" s="14"/>
      <c r="V61" s="14"/>
      <c r="W61" s="14"/>
      <c r="X61" s="14"/>
      <c r="Y61" s="14"/>
      <c r="Z61" s="14"/>
      <c r="AA61" s="14"/>
      <c r="AB61" s="14"/>
      <c r="AC61" s="14"/>
      <c r="AD61" s="14"/>
      <c r="AE61" s="14"/>
      <c r="AF61" s="14"/>
      <c r="AG61" s="14"/>
      <c r="AH61" s="14"/>
      <c r="AI61" s="14"/>
    </row>
    <row r="62" spans="2:35" s="43" customFormat="1" ht="20.399999999999999" x14ac:dyDescent="0.3">
      <c r="B62" s="155"/>
      <c r="C62" s="132"/>
      <c r="D62" s="136" t="s">
        <v>16</v>
      </c>
      <c r="E62" s="136" t="s">
        <v>16</v>
      </c>
      <c r="F62" s="136" t="s">
        <v>16</v>
      </c>
      <c r="G62" s="136" t="s">
        <v>16</v>
      </c>
      <c r="H62" s="136" t="s">
        <v>16</v>
      </c>
      <c r="I62" s="136" t="s">
        <v>16</v>
      </c>
      <c r="J62" s="136" t="s">
        <v>16</v>
      </c>
      <c r="K62" s="136" t="s">
        <v>16</v>
      </c>
      <c r="L62" s="136" t="s">
        <v>16</v>
      </c>
      <c r="M62" s="136" t="s">
        <v>16</v>
      </c>
      <c r="N62" s="136" t="s">
        <v>16</v>
      </c>
      <c r="O62" s="136" t="s">
        <v>16</v>
      </c>
      <c r="P62" s="136" t="s">
        <v>16</v>
      </c>
      <c r="Q62" s="136" t="s">
        <v>16</v>
      </c>
      <c r="R62" s="136" t="s">
        <v>16</v>
      </c>
      <c r="S62" s="136" t="s">
        <v>16</v>
      </c>
      <c r="T62" s="156"/>
      <c r="U62" s="14"/>
      <c r="V62" s="14"/>
      <c r="W62" s="14"/>
      <c r="X62" s="14"/>
      <c r="Y62" s="14"/>
      <c r="Z62" s="14"/>
      <c r="AA62" s="14"/>
      <c r="AB62" s="14"/>
      <c r="AC62" s="14"/>
      <c r="AD62" s="14"/>
      <c r="AE62" s="14"/>
      <c r="AF62" s="14"/>
      <c r="AG62" s="14"/>
      <c r="AH62" s="14"/>
      <c r="AI62" s="14"/>
    </row>
    <row r="63" spans="2:35" ht="15" thickBot="1" x14ac:dyDescent="0.35">
      <c r="B63" s="222"/>
      <c r="C63" s="223"/>
      <c r="D63" s="224">
        <v>1</v>
      </c>
      <c r="E63" s="224">
        <v>2</v>
      </c>
      <c r="F63" s="224">
        <v>3</v>
      </c>
      <c r="G63" s="224">
        <v>4</v>
      </c>
      <c r="H63" s="224">
        <v>5</v>
      </c>
      <c r="I63" s="224">
        <v>6</v>
      </c>
      <c r="J63" s="224">
        <v>7</v>
      </c>
      <c r="K63" s="224">
        <v>8</v>
      </c>
      <c r="L63" s="224">
        <v>9</v>
      </c>
      <c r="M63" s="224">
        <v>10</v>
      </c>
      <c r="N63" s="224">
        <v>11</v>
      </c>
      <c r="O63" s="224">
        <v>12</v>
      </c>
      <c r="P63" s="224">
        <v>13</v>
      </c>
      <c r="Q63" s="224">
        <v>14</v>
      </c>
      <c r="R63" s="224">
        <v>15</v>
      </c>
      <c r="S63" s="224">
        <v>16</v>
      </c>
      <c r="T63" s="225" t="s">
        <v>18</v>
      </c>
    </row>
    <row r="64" spans="2:35" s="28" customFormat="1" x14ac:dyDescent="0.3">
      <c r="B64" s="288" t="s">
        <v>51</v>
      </c>
      <c r="C64" s="220"/>
      <c r="D64" s="221">
        <v>695</v>
      </c>
      <c r="E64" s="221">
        <v>2602</v>
      </c>
      <c r="F64" s="221">
        <v>5217</v>
      </c>
      <c r="G64" s="221">
        <v>5992</v>
      </c>
      <c r="H64" s="221">
        <v>1164</v>
      </c>
      <c r="I64" s="221">
        <v>4142</v>
      </c>
      <c r="J64" s="221">
        <v>6527</v>
      </c>
      <c r="K64" s="221">
        <v>7110</v>
      </c>
      <c r="L64" s="221">
        <v>8259</v>
      </c>
      <c r="M64" s="221">
        <v>16620</v>
      </c>
      <c r="N64" s="221">
        <v>5970</v>
      </c>
      <c r="O64" s="221">
        <v>19465</v>
      </c>
      <c r="P64" s="221">
        <v>13912</v>
      </c>
      <c r="Q64" s="221">
        <v>3338</v>
      </c>
      <c r="R64" s="221">
        <v>3885</v>
      </c>
      <c r="S64" s="221">
        <v>3135</v>
      </c>
      <c r="T64" s="289"/>
    </row>
    <row r="65" spans="2:35" s="28" customFormat="1" x14ac:dyDescent="0.3">
      <c r="B65" s="290" t="s">
        <v>52</v>
      </c>
      <c r="C65" s="29"/>
      <c r="D65" s="174">
        <f t="shared" ref="D65:S65" si="10">D58*D64</f>
        <v>5053414.4999999991</v>
      </c>
      <c r="E65" s="174">
        <f t="shared" si="10"/>
        <v>19488459.599999998</v>
      </c>
      <c r="F65" s="174">
        <f t="shared" si="10"/>
        <v>39024985.95000001</v>
      </c>
      <c r="G65" s="174">
        <f t="shared" si="10"/>
        <v>45404679.599999994</v>
      </c>
      <c r="H65" s="174">
        <f t="shared" si="10"/>
        <v>8633271.5999999978</v>
      </c>
      <c r="I65" s="174">
        <f t="shared" si="10"/>
        <v>31665797.099999998</v>
      </c>
      <c r="J65" s="174">
        <f t="shared" si="10"/>
        <v>49141456.649999984</v>
      </c>
      <c r="K65" s="174">
        <f t="shared" si="10"/>
        <v>54807435</v>
      </c>
      <c r="L65" s="174">
        <f t="shared" si="10"/>
        <v>63865195.200000025</v>
      </c>
      <c r="M65" s="174">
        <f t="shared" si="10"/>
        <v>128676195</v>
      </c>
      <c r="N65" s="174">
        <f t="shared" si="10"/>
        <v>46164816.000000015</v>
      </c>
      <c r="O65" s="174">
        <f t="shared" si="10"/>
        <v>148443009.75000003</v>
      </c>
      <c r="P65" s="174">
        <f t="shared" si="10"/>
        <v>107710182</v>
      </c>
      <c r="Q65" s="174">
        <f t="shared" si="10"/>
        <v>25924743.90000001</v>
      </c>
      <c r="R65" s="174">
        <f t="shared" si="10"/>
        <v>31232486.25</v>
      </c>
      <c r="S65" s="174">
        <f t="shared" si="10"/>
        <v>23158872.000000015</v>
      </c>
      <c r="T65" s="291">
        <f>SUM(D65:S65)/1000000</f>
        <v>828.39500010000006</v>
      </c>
      <c r="U65" s="28" t="s">
        <v>14</v>
      </c>
    </row>
    <row r="66" spans="2:35" s="28" customFormat="1" ht="15" thickBot="1" x14ac:dyDescent="0.35">
      <c r="B66" s="292" t="s">
        <v>117</v>
      </c>
      <c r="C66" s="293"/>
      <c r="D66" s="294">
        <f>$L71*D64</f>
        <v>-1118067.8403513744</v>
      </c>
      <c r="E66" s="294">
        <f>$L72*E64</f>
        <v>-4284478.0374991028</v>
      </c>
      <c r="F66" s="294">
        <f>$L73*F64</f>
        <v>-8581823.126510242</v>
      </c>
      <c r="G66" s="294">
        <f>$L74*G64</f>
        <v>-9957552.6104849391</v>
      </c>
      <c r="H66" s="294">
        <f>$L75*H64</f>
        <v>-1901956.5210903592</v>
      </c>
      <c r="I66" s="294">
        <f>$L76*I64</f>
        <v>-6931632.2182330834</v>
      </c>
      <c r="J66" s="294">
        <f>$L77*J64</f>
        <v>-10791678.654809667</v>
      </c>
      <c r="K66" s="294">
        <f>$L78*K64</f>
        <v>-11976712.421200389</v>
      </c>
      <c r="L66" s="294">
        <f>$L79*L64</f>
        <v>-13946949.725027628</v>
      </c>
      <c r="M66" s="294">
        <f>$L80*M64</f>
        <v>-28093349.177700493</v>
      </c>
      <c r="N66" s="294">
        <f>$L81*N64</f>
        <v>-10081521.95888303</v>
      </c>
      <c r="O66" s="294">
        <f>$L82*O64</f>
        <v>-32510936.740266196</v>
      </c>
      <c r="P66" s="294">
        <f>$L83*P64</f>
        <v>-23515925.015653986</v>
      </c>
      <c r="Q66" s="294">
        <f>$L84*Q64</f>
        <v>-5656383.3508176785</v>
      </c>
      <c r="R66" s="294">
        <f>$L85*R64</f>
        <v>-6766793.0993289035</v>
      </c>
      <c r="S66" s="294">
        <f>$L86*S64</f>
        <v>-5106410.9720727513</v>
      </c>
      <c r="T66" s="295">
        <f>SUM(D66:S66)/1000000</f>
        <v>-181.2221714699298</v>
      </c>
      <c r="U66" s="28" t="s">
        <v>15</v>
      </c>
    </row>
    <row r="67" spans="2:35" s="28" customFormat="1" ht="15" thickBot="1" x14ac:dyDescent="0.35">
      <c r="B67" s="218"/>
      <c r="C67" s="195"/>
      <c r="D67" s="219"/>
      <c r="E67" s="219"/>
      <c r="F67" s="219"/>
      <c r="G67" s="219"/>
      <c r="H67" s="219"/>
      <c r="I67" s="219"/>
      <c r="J67" s="219"/>
      <c r="K67" s="219"/>
      <c r="L67" s="219"/>
      <c r="M67" s="219"/>
      <c r="N67" s="219"/>
      <c r="O67" s="219"/>
      <c r="P67" s="219"/>
      <c r="Q67" s="219"/>
      <c r="R67" s="219"/>
      <c r="S67" s="219"/>
      <c r="T67" s="196"/>
    </row>
    <row r="68" spans="2:35" s="43" customFormat="1" ht="21" thickBot="1" x14ac:dyDescent="0.35">
      <c r="B68" s="44" t="s">
        <v>49</v>
      </c>
      <c r="C68" s="45"/>
      <c r="D68" s="45"/>
      <c r="E68" s="45"/>
      <c r="F68" s="45"/>
      <c r="G68" s="45"/>
      <c r="H68" s="45"/>
      <c r="I68" s="45"/>
      <c r="J68" s="45"/>
      <c r="K68" s="45"/>
      <c r="L68" s="45"/>
      <c r="M68" s="45"/>
      <c r="N68" s="14"/>
      <c r="O68" s="14"/>
      <c r="P68" s="14"/>
      <c r="Q68" s="14"/>
      <c r="R68" s="14"/>
      <c r="S68" s="14"/>
      <c r="T68" s="14"/>
      <c r="U68" s="14"/>
      <c r="V68" s="14"/>
      <c r="W68" s="14"/>
      <c r="X68" s="14"/>
      <c r="Y68" s="14"/>
      <c r="Z68" s="14"/>
      <c r="AA68" s="14"/>
      <c r="AB68" s="14"/>
      <c r="AC68" s="14"/>
      <c r="AD68" s="14"/>
      <c r="AE68" s="14"/>
      <c r="AF68" s="14"/>
      <c r="AG68" s="14"/>
      <c r="AH68" s="14"/>
      <c r="AI68" s="14"/>
    </row>
    <row r="69" spans="2:35" s="43" customFormat="1" ht="21" thickBot="1" x14ac:dyDescent="0.35">
      <c r="B69" s="197"/>
      <c r="C69" s="356" t="s">
        <v>19</v>
      </c>
      <c r="D69" s="357"/>
      <c r="E69" s="357"/>
      <c r="F69" s="357"/>
      <c r="G69" s="358"/>
      <c r="H69" s="356" t="s">
        <v>68</v>
      </c>
      <c r="I69" s="357"/>
      <c r="J69" s="357"/>
      <c r="K69" s="358"/>
      <c r="L69" s="359" t="s">
        <v>55</v>
      </c>
      <c r="M69" s="361" t="s">
        <v>59</v>
      </c>
      <c r="N69" s="11"/>
      <c r="O69" s="11"/>
      <c r="P69" s="11"/>
      <c r="Q69" s="11"/>
      <c r="R69" s="11"/>
      <c r="S69" s="11"/>
    </row>
    <row r="70" spans="2:35" s="43" customFormat="1" ht="39.6" x14ac:dyDescent="0.3">
      <c r="B70" s="198" t="s">
        <v>16</v>
      </c>
      <c r="C70" s="192" t="s">
        <v>64</v>
      </c>
      <c r="D70" s="193" t="s">
        <v>63</v>
      </c>
      <c r="E70" s="193" t="s">
        <v>65</v>
      </c>
      <c r="F70" s="193" t="s">
        <v>66</v>
      </c>
      <c r="G70" s="202" t="s">
        <v>56</v>
      </c>
      <c r="H70" s="192" t="s">
        <v>4</v>
      </c>
      <c r="I70" s="193" t="s">
        <v>61</v>
      </c>
      <c r="J70" s="193" t="s">
        <v>62</v>
      </c>
      <c r="K70" s="202" t="s">
        <v>67</v>
      </c>
      <c r="L70" s="360"/>
      <c r="M70" s="362"/>
    </row>
    <row r="71" spans="2:35" s="43" customFormat="1" x14ac:dyDescent="0.3">
      <c r="B71" s="199">
        <v>1</v>
      </c>
      <c r="C71" s="203">
        <f>D59</f>
        <v>1259.3545199999999</v>
      </c>
      <c r="D71" s="194">
        <f>IF($D$39&lt;0,-$D$39,0)</f>
        <v>0</v>
      </c>
      <c r="E71" s="194">
        <f>IF($D$40&lt;0,-$D$40,0)</f>
        <v>231.2675458195248</v>
      </c>
      <c r="F71" s="194">
        <f>IF($D$41&lt;0,-$D$41,0)</f>
        <v>843.10863972202083</v>
      </c>
      <c r="G71" s="204">
        <f t="shared" ref="G71:G86" si="11">SUM(C71:F71)</f>
        <v>2333.7307055415458</v>
      </c>
      <c r="H71" s="209">
        <f>IF($D$39&lt;0,0,$D$39)</f>
        <v>725</v>
      </c>
      <c r="I71" s="194">
        <f>IF($D$40&lt;0,0,$D$40)</f>
        <v>0</v>
      </c>
      <c r="J71" s="194">
        <f>IF($D$41&lt;0,0,$D$41)</f>
        <v>0</v>
      </c>
      <c r="K71" s="204">
        <f>SUM(H71:J71)</f>
        <v>725</v>
      </c>
      <c r="L71" s="211">
        <f t="shared" ref="L71:L86" si="12">K71-G71</f>
        <v>-1608.7307055415458</v>
      </c>
      <c r="M71" s="214">
        <f t="shared" ref="M71:M86" si="13">G71/K71</f>
        <v>3.2189389041952357</v>
      </c>
    </row>
    <row r="72" spans="2:35" s="43" customFormat="1" x14ac:dyDescent="0.3">
      <c r="B72" s="200">
        <v>2</v>
      </c>
      <c r="C72" s="205">
        <f>E59</f>
        <v>1297.2333600000002</v>
      </c>
      <c r="D72" s="194">
        <f t="shared" ref="D72:D86" si="14">IF($D$39&lt;0,-$D$39,0)</f>
        <v>0</v>
      </c>
      <c r="E72" s="194">
        <f t="shared" ref="E72:E86" si="15">IF($D$40&lt;0,-$D$40,0)</f>
        <v>231.2675458195248</v>
      </c>
      <c r="F72" s="194">
        <f t="shared" ref="F72:F86" si="16">IF($D$41&lt;0,-$D$41,0)</f>
        <v>843.10863972202083</v>
      </c>
      <c r="G72" s="204">
        <f t="shared" si="11"/>
        <v>2371.6095455415461</v>
      </c>
      <c r="H72" s="209">
        <f t="shared" ref="H72:H86" si="17">IF($D$39&lt;0,0,$D$39)</f>
        <v>725</v>
      </c>
      <c r="I72" s="194">
        <f t="shared" ref="I72:I86" si="18">IF($D$40&lt;0,0,$D$40)</f>
        <v>0</v>
      </c>
      <c r="J72" s="194">
        <f t="shared" ref="J72:J86" si="19">IF($D$41&lt;0,0,$D$41)</f>
        <v>0</v>
      </c>
      <c r="K72" s="204">
        <f t="shared" ref="K72:K86" si="20">SUM(H72:J72)</f>
        <v>725</v>
      </c>
      <c r="L72" s="212">
        <f t="shared" si="12"/>
        <v>-1646.6095455415461</v>
      </c>
      <c r="M72" s="215">
        <f t="shared" si="13"/>
        <v>3.2711855800573049</v>
      </c>
    </row>
    <row r="73" spans="2:35" s="43" customFormat="1" x14ac:dyDescent="0.3">
      <c r="B73" s="200">
        <v>3</v>
      </c>
      <c r="C73" s="205">
        <f>F$59</f>
        <v>1295.5966199999998</v>
      </c>
      <c r="D73" s="194">
        <f t="shared" si="14"/>
        <v>0</v>
      </c>
      <c r="E73" s="194">
        <f t="shared" si="15"/>
        <v>231.2675458195248</v>
      </c>
      <c r="F73" s="194">
        <f t="shared" si="16"/>
        <v>843.10863972202083</v>
      </c>
      <c r="G73" s="204">
        <f t="shared" si="11"/>
        <v>2369.9728055415453</v>
      </c>
      <c r="H73" s="209">
        <f t="shared" si="17"/>
        <v>725</v>
      </c>
      <c r="I73" s="194">
        <f t="shared" si="18"/>
        <v>0</v>
      </c>
      <c r="J73" s="194">
        <f t="shared" si="19"/>
        <v>0</v>
      </c>
      <c r="K73" s="204">
        <f t="shared" si="20"/>
        <v>725</v>
      </c>
      <c r="L73" s="212">
        <f t="shared" si="12"/>
        <v>-1644.9728055415453</v>
      </c>
      <c r="M73" s="215">
        <f t="shared" si="13"/>
        <v>3.268928007643511</v>
      </c>
    </row>
    <row r="74" spans="2:35" s="43" customFormat="1" x14ac:dyDescent="0.3">
      <c r="B74" s="200">
        <v>4</v>
      </c>
      <c r="C74" s="205">
        <f>G$59</f>
        <v>1312.4316599999997</v>
      </c>
      <c r="D74" s="194">
        <f t="shared" si="14"/>
        <v>0</v>
      </c>
      <c r="E74" s="194">
        <f t="shared" si="15"/>
        <v>231.2675458195248</v>
      </c>
      <c r="F74" s="194">
        <f t="shared" si="16"/>
        <v>843.10863972202083</v>
      </c>
      <c r="G74" s="204">
        <f t="shared" si="11"/>
        <v>2386.8078455415452</v>
      </c>
      <c r="H74" s="209">
        <f t="shared" si="17"/>
        <v>725</v>
      </c>
      <c r="I74" s="194">
        <f t="shared" si="18"/>
        <v>0</v>
      </c>
      <c r="J74" s="194">
        <f t="shared" si="19"/>
        <v>0</v>
      </c>
      <c r="K74" s="204">
        <f t="shared" si="20"/>
        <v>725</v>
      </c>
      <c r="L74" s="212">
        <f t="shared" si="12"/>
        <v>-1661.8078455415452</v>
      </c>
      <c r="M74" s="215">
        <f t="shared" si="13"/>
        <v>3.2921487524710971</v>
      </c>
    </row>
    <row r="75" spans="2:35" s="43" customFormat="1" x14ac:dyDescent="0.3">
      <c r="B75" s="200">
        <v>5</v>
      </c>
      <c r="C75" s="205">
        <f>H$59</f>
        <v>1284.6070799999998</v>
      </c>
      <c r="D75" s="194">
        <f t="shared" si="14"/>
        <v>0</v>
      </c>
      <c r="E75" s="194">
        <f t="shared" si="15"/>
        <v>231.2675458195248</v>
      </c>
      <c r="F75" s="194">
        <f t="shared" si="16"/>
        <v>843.10863972202083</v>
      </c>
      <c r="G75" s="204">
        <f t="shared" si="11"/>
        <v>2358.9832655415457</v>
      </c>
      <c r="H75" s="209">
        <f t="shared" si="17"/>
        <v>725</v>
      </c>
      <c r="I75" s="194">
        <f t="shared" si="18"/>
        <v>0</v>
      </c>
      <c r="J75" s="194">
        <f t="shared" si="19"/>
        <v>0</v>
      </c>
      <c r="K75" s="204">
        <f t="shared" si="20"/>
        <v>725</v>
      </c>
      <c r="L75" s="212">
        <f t="shared" si="12"/>
        <v>-1633.9832655415457</v>
      </c>
      <c r="M75" s="215">
        <f t="shared" si="13"/>
        <v>3.253770021436615</v>
      </c>
    </row>
    <row r="76" spans="2:35" s="43" customFormat="1" x14ac:dyDescent="0.3">
      <c r="B76" s="200">
        <v>6</v>
      </c>
      <c r="C76" s="205">
        <f>I$59</f>
        <v>1324.12266</v>
      </c>
      <c r="D76" s="194">
        <f t="shared" si="14"/>
        <v>0</v>
      </c>
      <c r="E76" s="194">
        <f t="shared" si="15"/>
        <v>231.2675458195248</v>
      </c>
      <c r="F76" s="194">
        <f t="shared" si="16"/>
        <v>843.10863972202083</v>
      </c>
      <c r="G76" s="204">
        <f t="shared" si="11"/>
        <v>2398.498845541546</v>
      </c>
      <c r="H76" s="209">
        <f t="shared" si="17"/>
        <v>725</v>
      </c>
      <c r="I76" s="194">
        <f t="shared" si="18"/>
        <v>0</v>
      </c>
      <c r="J76" s="194">
        <f t="shared" si="19"/>
        <v>0</v>
      </c>
      <c r="K76" s="204">
        <f t="shared" si="20"/>
        <v>725</v>
      </c>
      <c r="L76" s="212">
        <f t="shared" si="12"/>
        <v>-1673.498845541546</v>
      </c>
      <c r="M76" s="215">
        <f t="shared" si="13"/>
        <v>3.3082742697124772</v>
      </c>
    </row>
    <row r="77" spans="2:35" s="43" customFormat="1" x14ac:dyDescent="0.3">
      <c r="B77" s="200">
        <v>7</v>
      </c>
      <c r="C77" s="205">
        <f>J$59</f>
        <v>1304.0141399999993</v>
      </c>
      <c r="D77" s="194">
        <f t="shared" si="14"/>
        <v>0</v>
      </c>
      <c r="E77" s="194">
        <f t="shared" si="15"/>
        <v>231.2675458195248</v>
      </c>
      <c r="F77" s="194">
        <f t="shared" si="16"/>
        <v>843.10863972202083</v>
      </c>
      <c r="G77" s="204">
        <f t="shared" si="11"/>
        <v>2378.3903255415453</v>
      </c>
      <c r="H77" s="209">
        <f t="shared" si="17"/>
        <v>725</v>
      </c>
      <c r="I77" s="194">
        <f t="shared" si="18"/>
        <v>0</v>
      </c>
      <c r="J77" s="194">
        <f t="shared" si="19"/>
        <v>0</v>
      </c>
      <c r="K77" s="204">
        <f t="shared" si="20"/>
        <v>725</v>
      </c>
      <c r="L77" s="212">
        <f t="shared" si="12"/>
        <v>-1653.3903255415453</v>
      </c>
      <c r="M77" s="215">
        <f t="shared" si="13"/>
        <v>3.2805383800573038</v>
      </c>
    </row>
    <row r="78" spans="2:35" s="43" customFormat="1" x14ac:dyDescent="0.3">
      <c r="B78" s="200">
        <v>8</v>
      </c>
      <c r="C78" s="205">
        <f>K$59</f>
        <v>1335.1121999999996</v>
      </c>
      <c r="D78" s="194">
        <f t="shared" si="14"/>
        <v>0</v>
      </c>
      <c r="E78" s="194">
        <f t="shared" si="15"/>
        <v>231.2675458195248</v>
      </c>
      <c r="F78" s="194">
        <f t="shared" si="16"/>
        <v>843.10863972202083</v>
      </c>
      <c r="G78" s="204">
        <f t="shared" si="11"/>
        <v>2409.4883855415455</v>
      </c>
      <c r="H78" s="209">
        <f t="shared" si="17"/>
        <v>725</v>
      </c>
      <c r="I78" s="194">
        <f t="shared" si="18"/>
        <v>0</v>
      </c>
      <c r="J78" s="194">
        <f t="shared" si="19"/>
        <v>0</v>
      </c>
      <c r="K78" s="204">
        <f t="shared" si="20"/>
        <v>725</v>
      </c>
      <c r="L78" s="212">
        <f t="shared" si="12"/>
        <v>-1684.4883855415455</v>
      </c>
      <c r="M78" s="215">
        <f t="shared" si="13"/>
        <v>3.3234322559193732</v>
      </c>
    </row>
    <row r="79" spans="2:35" s="43" customFormat="1" x14ac:dyDescent="0.3">
      <c r="B79" s="200">
        <v>9</v>
      </c>
      <c r="C79" s="205">
        <f>L$59</f>
        <v>1339.32096</v>
      </c>
      <c r="D79" s="194">
        <f t="shared" si="14"/>
        <v>0</v>
      </c>
      <c r="E79" s="194">
        <f t="shared" si="15"/>
        <v>231.2675458195248</v>
      </c>
      <c r="F79" s="194">
        <f t="shared" si="16"/>
        <v>843.10863972202083</v>
      </c>
      <c r="G79" s="204">
        <f t="shared" si="11"/>
        <v>2413.697145541546</v>
      </c>
      <c r="H79" s="209">
        <f t="shared" si="17"/>
        <v>725</v>
      </c>
      <c r="I79" s="194">
        <f t="shared" si="18"/>
        <v>0</v>
      </c>
      <c r="J79" s="194">
        <f t="shared" si="19"/>
        <v>0</v>
      </c>
      <c r="K79" s="204">
        <f t="shared" si="20"/>
        <v>725</v>
      </c>
      <c r="L79" s="212">
        <f t="shared" si="12"/>
        <v>-1688.697145541546</v>
      </c>
      <c r="M79" s="215">
        <f t="shared" si="13"/>
        <v>3.3292374421262703</v>
      </c>
    </row>
    <row r="80" spans="2:35" s="43" customFormat="1" x14ac:dyDescent="0.3">
      <c r="B80" s="200">
        <v>10</v>
      </c>
      <c r="C80" s="205">
        <f>M$59</f>
        <v>1340.9577000000004</v>
      </c>
      <c r="D80" s="194">
        <f t="shared" si="14"/>
        <v>0</v>
      </c>
      <c r="E80" s="194">
        <f t="shared" si="15"/>
        <v>231.2675458195248</v>
      </c>
      <c r="F80" s="194">
        <f t="shared" si="16"/>
        <v>843.10863972202083</v>
      </c>
      <c r="G80" s="204">
        <f t="shared" si="11"/>
        <v>2415.3338855415459</v>
      </c>
      <c r="H80" s="209">
        <f t="shared" si="17"/>
        <v>725</v>
      </c>
      <c r="I80" s="194">
        <f t="shared" si="18"/>
        <v>0</v>
      </c>
      <c r="J80" s="194">
        <f t="shared" si="19"/>
        <v>0</v>
      </c>
      <c r="K80" s="204">
        <f t="shared" si="20"/>
        <v>725</v>
      </c>
      <c r="L80" s="212">
        <f t="shared" si="12"/>
        <v>-1690.3338855415459</v>
      </c>
      <c r="M80" s="215">
        <f t="shared" si="13"/>
        <v>3.3314950145400632</v>
      </c>
    </row>
    <row r="81" spans="2:20" s="43" customFormat="1" x14ac:dyDescent="0.3">
      <c r="B81" s="200">
        <v>11</v>
      </c>
      <c r="C81" s="205">
        <f>N$59</f>
        <v>1339.32096</v>
      </c>
      <c r="D81" s="194">
        <f t="shared" si="14"/>
        <v>0</v>
      </c>
      <c r="E81" s="194">
        <f t="shared" si="15"/>
        <v>231.2675458195248</v>
      </c>
      <c r="F81" s="194">
        <f t="shared" si="16"/>
        <v>843.10863972202083</v>
      </c>
      <c r="G81" s="204">
        <f t="shared" si="11"/>
        <v>2413.697145541546</v>
      </c>
      <c r="H81" s="209">
        <f t="shared" si="17"/>
        <v>725</v>
      </c>
      <c r="I81" s="194">
        <f t="shared" si="18"/>
        <v>0</v>
      </c>
      <c r="J81" s="194">
        <f t="shared" si="19"/>
        <v>0</v>
      </c>
      <c r="K81" s="204">
        <f t="shared" si="20"/>
        <v>725</v>
      </c>
      <c r="L81" s="212">
        <f t="shared" si="12"/>
        <v>-1688.697145541546</v>
      </c>
      <c r="M81" s="215">
        <f t="shared" si="13"/>
        <v>3.3292374421262703</v>
      </c>
    </row>
    <row r="82" spans="2:20" s="43" customFormat="1" x14ac:dyDescent="0.3">
      <c r="B82" s="200">
        <v>12</v>
      </c>
      <c r="C82" s="205">
        <f>O$59</f>
        <v>1320.8491800000002</v>
      </c>
      <c r="D82" s="194">
        <f t="shared" si="14"/>
        <v>0</v>
      </c>
      <c r="E82" s="194">
        <f t="shared" si="15"/>
        <v>231.2675458195248</v>
      </c>
      <c r="F82" s="194">
        <f t="shared" si="16"/>
        <v>843.10863972202083</v>
      </c>
      <c r="G82" s="204">
        <f t="shared" si="11"/>
        <v>2395.2253655415461</v>
      </c>
      <c r="H82" s="209">
        <f t="shared" si="17"/>
        <v>725</v>
      </c>
      <c r="I82" s="194">
        <f t="shared" si="18"/>
        <v>0</v>
      </c>
      <c r="J82" s="194">
        <f t="shared" si="19"/>
        <v>0</v>
      </c>
      <c r="K82" s="204">
        <f t="shared" si="20"/>
        <v>725</v>
      </c>
      <c r="L82" s="212">
        <f t="shared" si="12"/>
        <v>-1670.2253655415461</v>
      </c>
      <c r="M82" s="215">
        <f t="shared" si="13"/>
        <v>3.3037591248848912</v>
      </c>
    </row>
    <row r="83" spans="2:20" s="43" customFormat="1" x14ac:dyDescent="0.3">
      <c r="B83" s="200">
        <v>13</v>
      </c>
      <c r="C83" s="205">
        <f>P$59</f>
        <v>1340.9577000000004</v>
      </c>
      <c r="D83" s="194">
        <f t="shared" si="14"/>
        <v>0</v>
      </c>
      <c r="E83" s="194">
        <f t="shared" si="15"/>
        <v>231.2675458195248</v>
      </c>
      <c r="F83" s="194">
        <f t="shared" si="16"/>
        <v>843.10863972202083</v>
      </c>
      <c r="G83" s="204">
        <f t="shared" si="11"/>
        <v>2415.3338855415459</v>
      </c>
      <c r="H83" s="209">
        <f t="shared" si="17"/>
        <v>725</v>
      </c>
      <c r="I83" s="194">
        <f t="shared" si="18"/>
        <v>0</v>
      </c>
      <c r="J83" s="194">
        <f t="shared" si="19"/>
        <v>0</v>
      </c>
      <c r="K83" s="204">
        <f t="shared" si="20"/>
        <v>725</v>
      </c>
      <c r="L83" s="212">
        <f t="shared" si="12"/>
        <v>-1690.3338855415459</v>
      </c>
      <c r="M83" s="215">
        <f t="shared" si="13"/>
        <v>3.3314950145400632</v>
      </c>
    </row>
    <row r="84" spans="2:20" s="43" customFormat="1" x14ac:dyDescent="0.3">
      <c r="B84" s="200">
        <v>14</v>
      </c>
      <c r="C84" s="205">
        <f>Q$59</f>
        <v>1345.1664599999999</v>
      </c>
      <c r="D84" s="194">
        <f t="shared" si="14"/>
        <v>0</v>
      </c>
      <c r="E84" s="194">
        <f t="shared" si="15"/>
        <v>231.2675458195248</v>
      </c>
      <c r="F84" s="194">
        <f t="shared" si="16"/>
        <v>843.10863972202083</v>
      </c>
      <c r="G84" s="204">
        <f t="shared" si="11"/>
        <v>2419.5426455415454</v>
      </c>
      <c r="H84" s="209">
        <f t="shared" si="17"/>
        <v>725</v>
      </c>
      <c r="I84" s="194">
        <f t="shared" si="18"/>
        <v>0</v>
      </c>
      <c r="J84" s="194">
        <f t="shared" si="19"/>
        <v>0</v>
      </c>
      <c r="K84" s="204">
        <f t="shared" si="20"/>
        <v>725</v>
      </c>
      <c r="L84" s="212">
        <f t="shared" si="12"/>
        <v>-1694.5426455415454</v>
      </c>
      <c r="M84" s="215">
        <f t="shared" si="13"/>
        <v>3.337300200746959</v>
      </c>
    </row>
    <row r="85" spans="2:20" s="43" customFormat="1" x14ac:dyDescent="0.3">
      <c r="B85" s="200">
        <v>15</v>
      </c>
      <c r="C85" s="205">
        <f>R$59</f>
        <v>1392.3980999999994</v>
      </c>
      <c r="D85" s="194">
        <f t="shared" si="14"/>
        <v>0</v>
      </c>
      <c r="E85" s="194">
        <f t="shared" si="15"/>
        <v>231.2675458195248</v>
      </c>
      <c r="F85" s="194">
        <f t="shared" si="16"/>
        <v>843.10863972202083</v>
      </c>
      <c r="G85" s="204">
        <f t="shared" si="11"/>
        <v>2466.7742855415454</v>
      </c>
      <c r="H85" s="209">
        <f t="shared" si="17"/>
        <v>725</v>
      </c>
      <c r="I85" s="194">
        <f t="shared" si="18"/>
        <v>0</v>
      </c>
      <c r="J85" s="194">
        <f t="shared" si="19"/>
        <v>0</v>
      </c>
      <c r="K85" s="204">
        <f t="shared" si="20"/>
        <v>725</v>
      </c>
      <c r="L85" s="212">
        <f t="shared" si="12"/>
        <v>-1741.7742855415454</v>
      </c>
      <c r="M85" s="215">
        <f t="shared" si="13"/>
        <v>3.4024472904021317</v>
      </c>
    </row>
    <row r="86" spans="2:20" s="43" customFormat="1" ht="15" thickBot="1" x14ac:dyDescent="0.35">
      <c r="B86" s="201">
        <v>16</v>
      </c>
      <c r="C86" s="206">
        <f>S$59</f>
        <v>1279.4630400000015</v>
      </c>
      <c r="D86" s="207">
        <f t="shared" si="14"/>
        <v>0</v>
      </c>
      <c r="E86" s="207">
        <f t="shared" si="15"/>
        <v>231.2675458195248</v>
      </c>
      <c r="F86" s="207">
        <f t="shared" si="16"/>
        <v>843.10863972202083</v>
      </c>
      <c r="G86" s="208">
        <f t="shared" si="11"/>
        <v>2353.8392255415474</v>
      </c>
      <c r="H86" s="210">
        <f t="shared" si="17"/>
        <v>725</v>
      </c>
      <c r="I86" s="207">
        <f t="shared" si="18"/>
        <v>0</v>
      </c>
      <c r="J86" s="207">
        <f t="shared" si="19"/>
        <v>0</v>
      </c>
      <c r="K86" s="208">
        <f t="shared" si="20"/>
        <v>725</v>
      </c>
      <c r="L86" s="213">
        <f t="shared" si="12"/>
        <v>-1628.8392255415474</v>
      </c>
      <c r="M86" s="216">
        <f t="shared" si="13"/>
        <v>3.2466747938504104</v>
      </c>
    </row>
    <row r="88" spans="2:20" x14ac:dyDescent="0.3">
      <c r="T88" s="10"/>
    </row>
    <row r="89" spans="2:20" ht="15" thickBot="1" x14ac:dyDescent="0.35">
      <c r="M89" s="217"/>
    </row>
  </sheetData>
  <sheetProtection password="AD91" sheet="1" objects="1" scenarios="1" selectLockedCells="1" selectUnlockedCells="1"/>
  <mergeCells count="5">
    <mergeCell ref="B2:J2"/>
    <mergeCell ref="C69:G69"/>
    <mergeCell ref="H69:K69"/>
    <mergeCell ref="L69:L70"/>
    <mergeCell ref="M69:M70"/>
  </mergeCells>
  <conditionalFormatting sqref="M71:M86">
    <cfRule type="cellIs" dxfId="0" priority="1" operator="lessThan">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1"/>
  <sheetViews>
    <sheetView showGridLines="0" zoomScale="55" zoomScaleNormal="55" workbookViewId="0">
      <selection activeCell="F9" sqref="F9"/>
    </sheetView>
  </sheetViews>
  <sheetFormatPr defaultColWidth="9.109375" defaultRowHeight="14.4" x14ac:dyDescent="0.3"/>
  <cols>
    <col min="1" max="1" width="3.21875" style="43" customWidth="1"/>
    <col min="2" max="2" width="62.6640625" customWidth="1"/>
    <col min="3" max="4" width="11.88671875" customWidth="1"/>
    <col min="5" max="5" width="10.88671875" customWidth="1"/>
    <col min="6" max="21" width="12.33203125" customWidth="1"/>
    <col min="22" max="34" width="10.88671875" customWidth="1"/>
  </cols>
  <sheetData>
    <row r="1" spans="1:63" s="14" customFormat="1" x14ac:dyDescent="0.3">
      <c r="A1" s="43"/>
    </row>
    <row r="2" spans="1:63" s="14" customFormat="1" ht="47.4" customHeight="1" x14ac:dyDescent="0.35">
      <c r="A2" s="43"/>
      <c r="B2" s="351" t="s">
        <v>110</v>
      </c>
      <c r="C2" s="351"/>
      <c r="D2" s="351"/>
      <c r="E2" s="351"/>
      <c r="F2" s="351"/>
      <c r="G2" s="351"/>
      <c r="H2" s="351"/>
      <c r="I2" s="351"/>
      <c r="J2" s="351"/>
    </row>
    <row r="3" spans="1:63" s="14" customFormat="1" ht="15.6" x14ac:dyDescent="0.3">
      <c r="A3" s="43"/>
      <c r="B3" s="234" t="s">
        <v>69</v>
      </c>
      <c r="C3" s="233"/>
      <c r="D3" s="233"/>
      <c r="E3" s="233"/>
      <c r="F3" s="233"/>
      <c r="G3" s="233"/>
      <c r="H3" s="233"/>
      <c r="I3" s="233"/>
      <c r="J3" s="233"/>
    </row>
    <row r="4" spans="1:63" s="14" customFormat="1" ht="16.2" thickBot="1" x14ac:dyDescent="0.35">
      <c r="A4" s="43"/>
      <c r="B4" s="235" t="s">
        <v>70</v>
      </c>
      <c r="C4" s="13"/>
      <c r="D4" s="13"/>
      <c r="E4" s="13"/>
      <c r="F4" s="13"/>
      <c r="G4" s="13"/>
      <c r="H4" s="13"/>
      <c r="I4" s="13"/>
      <c r="J4" s="13"/>
    </row>
    <row r="5" spans="1:63" ht="15" thickBot="1" x14ac:dyDescent="0.35"/>
    <row r="6" spans="1:63" s="14" customFormat="1" ht="21" thickBot="1" x14ac:dyDescent="0.35">
      <c r="A6" s="43"/>
      <c r="B6" s="44" t="s">
        <v>102</v>
      </c>
      <c r="C6" s="45"/>
      <c r="D6" s="46"/>
    </row>
    <row r="7" spans="1:63" ht="28.8" x14ac:dyDescent="0.3">
      <c r="A7" s="11"/>
      <c r="B7" s="282"/>
      <c r="C7" s="283" t="s">
        <v>90</v>
      </c>
      <c r="D7" s="284" t="s">
        <v>91</v>
      </c>
    </row>
    <row r="8" spans="1:63" s="14" customFormat="1" x14ac:dyDescent="0.3">
      <c r="A8" s="11"/>
      <c r="B8" s="276" t="s">
        <v>72</v>
      </c>
      <c r="C8" s="275">
        <v>2100</v>
      </c>
      <c r="D8" s="277">
        <v>2700</v>
      </c>
    </row>
    <row r="9" spans="1:63" s="14" customFormat="1" x14ac:dyDescent="0.3">
      <c r="A9" s="11"/>
      <c r="B9" s="276" t="s">
        <v>100</v>
      </c>
      <c r="C9" s="275">
        <v>1</v>
      </c>
      <c r="D9" s="277">
        <v>2</v>
      </c>
    </row>
    <row r="10" spans="1:63" s="14" customFormat="1" ht="15" thickBot="1" x14ac:dyDescent="0.35">
      <c r="A10" s="11"/>
      <c r="B10" s="278" t="s">
        <v>101</v>
      </c>
      <c r="C10" s="279">
        <v>0.45</v>
      </c>
      <c r="D10" s="280">
        <v>0.55000000000000004</v>
      </c>
    </row>
    <row r="11" spans="1:63" s="14" customFormat="1" ht="15" thickBot="1" x14ac:dyDescent="0.35">
      <c r="A11" s="11"/>
      <c r="B11" s="236"/>
    </row>
    <row r="12" spans="1:63" s="14" customFormat="1" ht="21" thickBot="1" x14ac:dyDescent="0.35">
      <c r="B12" s="44" t="s">
        <v>107</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6"/>
    </row>
    <row r="13" spans="1:63" s="14" customFormat="1" x14ac:dyDescent="0.3">
      <c r="A13" s="11"/>
      <c r="B13" s="244"/>
      <c r="C13" s="365" t="s">
        <v>74</v>
      </c>
      <c r="D13" s="365"/>
      <c r="E13" s="366" t="s">
        <v>75</v>
      </c>
      <c r="F13" s="363"/>
      <c r="G13" s="363" t="s">
        <v>76</v>
      </c>
      <c r="H13" s="363"/>
      <c r="I13" s="363" t="s">
        <v>77</v>
      </c>
      <c r="J13" s="363"/>
      <c r="K13" s="363" t="s">
        <v>78</v>
      </c>
      <c r="L13" s="363"/>
      <c r="M13" s="363" t="s">
        <v>79</v>
      </c>
      <c r="N13" s="363"/>
      <c r="O13" s="363" t="s">
        <v>80</v>
      </c>
      <c r="P13" s="363"/>
      <c r="Q13" s="363" t="s">
        <v>81</v>
      </c>
      <c r="R13" s="363"/>
      <c r="S13" s="363" t="s">
        <v>82</v>
      </c>
      <c r="T13" s="363"/>
      <c r="U13" s="363" t="s">
        <v>83</v>
      </c>
      <c r="V13" s="363"/>
      <c r="W13" s="363" t="s">
        <v>84</v>
      </c>
      <c r="X13" s="363"/>
      <c r="Y13" s="363" t="s">
        <v>85</v>
      </c>
      <c r="Z13" s="363"/>
      <c r="AA13" s="363" t="s">
        <v>86</v>
      </c>
      <c r="AB13" s="363"/>
      <c r="AC13" s="363" t="s">
        <v>87</v>
      </c>
      <c r="AD13" s="363"/>
      <c r="AE13" s="363" t="s">
        <v>88</v>
      </c>
      <c r="AF13" s="363"/>
      <c r="AG13" s="363" t="s">
        <v>89</v>
      </c>
      <c r="AH13" s="364"/>
    </row>
    <row r="14" spans="1:63" s="232" customFormat="1" ht="15" thickBot="1" x14ac:dyDescent="0.35">
      <c r="A14" s="237"/>
      <c r="B14" s="245"/>
      <c r="C14" s="247" t="s">
        <v>71</v>
      </c>
      <c r="D14" s="247" t="s">
        <v>73</v>
      </c>
      <c r="E14" s="246" t="s">
        <v>71</v>
      </c>
      <c r="F14" s="247" t="s">
        <v>73</v>
      </c>
      <c r="G14" s="246" t="s">
        <v>71</v>
      </c>
      <c r="H14" s="247" t="s">
        <v>73</v>
      </c>
      <c r="I14" s="246" t="s">
        <v>71</v>
      </c>
      <c r="J14" s="247" t="s">
        <v>73</v>
      </c>
      <c r="K14" s="246" t="s">
        <v>71</v>
      </c>
      <c r="L14" s="247" t="s">
        <v>73</v>
      </c>
      <c r="M14" s="246" t="s">
        <v>71</v>
      </c>
      <c r="N14" s="247" t="s">
        <v>73</v>
      </c>
      <c r="O14" s="246" t="s">
        <v>71</v>
      </c>
      <c r="P14" s="247" t="s">
        <v>73</v>
      </c>
      <c r="Q14" s="246" t="s">
        <v>71</v>
      </c>
      <c r="R14" s="247" t="s">
        <v>73</v>
      </c>
      <c r="S14" s="246" t="s">
        <v>71</v>
      </c>
      <c r="T14" s="247" t="s">
        <v>73</v>
      </c>
      <c r="U14" s="246" t="s">
        <v>71</v>
      </c>
      <c r="V14" s="247" t="s">
        <v>73</v>
      </c>
      <c r="W14" s="246" t="s">
        <v>71</v>
      </c>
      <c r="X14" s="247" t="s">
        <v>73</v>
      </c>
      <c r="Y14" s="246" t="s">
        <v>71</v>
      </c>
      <c r="Z14" s="247" t="s">
        <v>73</v>
      </c>
      <c r="AA14" s="246" t="s">
        <v>71</v>
      </c>
      <c r="AB14" s="247" t="s">
        <v>73</v>
      </c>
      <c r="AC14" s="246" t="s">
        <v>71</v>
      </c>
      <c r="AD14" s="247" t="s">
        <v>73</v>
      </c>
      <c r="AE14" s="246" t="s">
        <v>71</v>
      </c>
      <c r="AF14" s="247" t="s">
        <v>73</v>
      </c>
      <c r="AG14" s="246" t="s">
        <v>71</v>
      </c>
      <c r="AH14" s="248" t="s">
        <v>73</v>
      </c>
    </row>
    <row r="15" spans="1:63" s="238" customFormat="1" ht="18" x14ac:dyDescent="0.35">
      <c r="A15" s="237"/>
      <c r="B15" s="259" t="s">
        <v>108</v>
      </c>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60"/>
    </row>
    <row r="16" spans="1:63" s="238" customFormat="1" x14ac:dyDescent="0.3">
      <c r="A16" s="237"/>
      <c r="B16" s="261" t="s">
        <v>94</v>
      </c>
      <c r="C16" s="243">
        <v>10.99</v>
      </c>
      <c r="D16" s="243">
        <v>9.4700000000000006</v>
      </c>
      <c r="E16" s="249">
        <v>10.14</v>
      </c>
      <c r="F16" s="249">
        <v>8.73</v>
      </c>
      <c r="G16" s="243">
        <v>10.15</v>
      </c>
      <c r="H16" s="243">
        <v>8.74</v>
      </c>
      <c r="I16" s="249">
        <v>9.81</v>
      </c>
      <c r="J16" s="249">
        <v>8.44</v>
      </c>
      <c r="K16" s="249">
        <v>10.33</v>
      </c>
      <c r="L16" s="249">
        <v>8.9</v>
      </c>
      <c r="M16" s="249">
        <v>9.51</v>
      </c>
      <c r="N16" s="249">
        <v>8.19</v>
      </c>
      <c r="O16" s="249">
        <v>9.2200000000000006</v>
      </c>
      <c r="P16" s="249">
        <v>7.94</v>
      </c>
      <c r="Q16" s="249">
        <v>9.2100000000000009</v>
      </c>
      <c r="R16" s="249">
        <v>7.93</v>
      </c>
      <c r="S16" s="243">
        <v>9.2100000000000009</v>
      </c>
      <c r="T16" s="243">
        <v>7.93</v>
      </c>
      <c r="U16" s="249">
        <v>9.17</v>
      </c>
      <c r="V16" s="249">
        <v>7.9</v>
      </c>
      <c r="W16" s="249">
        <v>9.3000000000000007</v>
      </c>
      <c r="X16" s="249">
        <v>8.01</v>
      </c>
      <c r="Y16" s="243">
        <v>9.6300000000000008</v>
      </c>
      <c r="Z16" s="243">
        <v>8.2899999999999991</v>
      </c>
      <c r="AA16" s="249">
        <v>9.17</v>
      </c>
      <c r="AB16" s="249">
        <v>7.9</v>
      </c>
      <c r="AC16" s="249">
        <v>9.4499999999999993</v>
      </c>
      <c r="AD16" s="249">
        <v>8.14</v>
      </c>
      <c r="AE16" s="249">
        <v>7.52</v>
      </c>
      <c r="AF16" s="249">
        <v>6.47</v>
      </c>
      <c r="AG16" s="249">
        <v>11.07</v>
      </c>
      <c r="AH16" s="262">
        <v>9.5399999999999991</v>
      </c>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240"/>
    </row>
    <row r="17" spans="1:63" s="238" customFormat="1" x14ac:dyDescent="0.3">
      <c r="A17" s="237"/>
      <c r="B17" s="261" t="s">
        <v>93</v>
      </c>
      <c r="C17" s="250">
        <f>C16*$C$8</f>
        <v>23079</v>
      </c>
      <c r="D17" s="250">
        <f>D16*$D$8</f>
        <v>25569</v>
      </c>
      <c r="E17" s="250">
        <f>E16*$C$8</f>
        <v>21294</v>
      </c>
      <c r="F17" s="250">
        <f>F16*$D$8</f>
        <v>23571</v>
      </c>
      <c r="G17" s="250">
        <f>G16*$C$8</f>
        <v>21315</v>
      </c>
      <c r="H17" s="250">
        <f>H16*$D$8</f>
        <v>23598</v>
      </c>
      <c r="I17" s="250">
        <f>I16*$C$8</f>
        <v>20601</v>
      </c>
      <c r="J17" s="250">
        <f>J16*$D$8</f>
        <v>22788</v>
      </c>
      <c r="K17" s="250">
        <f>K16*$C$8</f>
        <v>21693</v>
      </c>
      <c r="L17" s="250">
        <f>L16*$D$8</f>
        <v>24030</v>
      </c>
      <c r="M17" s="250">
        <f>M16*$C$8</f>
        <v>19971</v>
      </c>
      <c r="N17" s="250">
        <f>N16*$D$8</f>
        <v>22113</v>
      </c>
      <c r="O17" s="250">
        <f>O16*$C$8</f>
        <v>19362</v>
      </c>
      <c r="P17" s="250">
        <f>P16*$D$8</f>
        <v>21438</v>
      </c>
      <c r="Q17" s="250">
        <f>Q16*$C$8</f>
        <v>19341</v>
      </c>
      <c r="R17" s="250">
        <f>R16*$D$8</f>
        <v>21411</v>
      </c>
      <c r="S17" s="250">
        <f>S16*$C$8</f>
        <v>19341</v>
      </c>
      <c r="T17" s="250">
        <f>T16*$D$8</f>
        <v>21411</v>
      </c>
      <c r="U17" s="250">
        <f>U16*$C$8</f>
        <v>19257</v>
      </c>
      <c r="V17" s="250">
        <f>V16*$D$8</f>
        <v>21330</v>
      </c>
      <c r="W17" s="250">
        <f>W16*$C$8</f>
        <v>19530</v>
      </c>
      <c r="X17" s="250">
        <f>X16*$D$8</f>
        <v>21627</v>
      </c>
      <c r="Y17" s="250">
        <f>Y16*$C$8</f>
        <v>20223</v>
      </c>
      <c r="Z17" s="250">
        <f>Z16*$D$8</f>
        <v>22382.999999999996</v>
      </c>
      <c r="AA17" s="250">
        <f>AA16*$C$8</f>
        <v>19257</v>
      </c>
      <c r="AB17" s="250">
        <f>AB16*$D$8</f>
        <v>21330</v>
      </c>
      <c r="AC17" s="250">
        <f>AC16*$C$8</f>
        <v>19845</v>
      </c>
      <c r="AD17" s="250">
        <f>AD16*$D$8</f>
        <v>21978</v>
      </c>
      <c r="AE17" s="250">
        <f>AE16*$C$8</f>
        <v>15792</v>
      </c>
      <c r="AF17" s="250">
        <f>AF16*$D$8</f>
        <v>17469</v>
      </c>
      <c r="AG17" s="250">
        <f>AG16*$C$8</f>
        <v>23247</v>
      </c>
      <c r="AH17" s="263">
        <f>AH16*$D$8</f>
        <v>25757.999999999996</v>
      </c>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row>
    <row r="18" spans="1:63" s="238" customFormat="1" ht="18" x14ac:dyDescent="0.35">
      <c r="A18" s="237"/>
      <c r="B18" s="264" t="s">
        <v>97</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65"/>
      <c r="AI18" s="239"/>
      <c r="AJ18" s="239"/>
      <c r="AK18" s="239"/>
      <c r="AL18" s="239"/>
      <c r="AM18" s="239"/>
      <c r="AN18" s="239"/>
      <c r="AO18" s="239"/>
      <c r="AP18" s="239"/>
      <c r="AQ18" s="239"/>
      <c r="AR18" s="239"/>
      <c r="AS18" s="239"/>
      <c r="AT18" s="239"/>
      <c r="AU18" s="239"/>
      <c r="AV18" s="239"/>
      <c r="AW18" s="240"/>
      <c r="AX18" s="240"/>
      <c r="AY18" s="240"/>
      <c r="AZ18" s="240"/>
      <c r="BA18" s="240"/>
      <c r="BB18" s="240"/>
      <c r="BC18" s="240"/>
      <c r="BD18" s="240"/>
      <c r="BE18" s="240"/>
      <c r="BF18" s="240"/>
      <c r="BG18" s="240"/>
      <c r="BH18" s="240"/>
      <c r="BI18" s="240"/>
      <c r="BJ18" s="240"/>
      <c r="BK18" s="240"/>
    </row>
    <row r="19" spans="1:63" s="238" customFormat="1" x14ac:dyDescent="0.3">
      <c r="A19" s="237"/>
      <c r="B19" s="266" t="s">
        <v>94</v>
      </c>
      <c r="C19" s="242">
        <v>14.52</v>
      </c>
      <c r="D19" s="242">
        <v>12.12</v>
      </c>
      <c r="E19" s="252">
        <v>13.76</v>
      </c>
      <c r="F19" s="252">
        <v>11.47</v>
      </c>
      <c r="G19" s="253">
        <v>13.76</v>
      </c>
      <c r="H19" s="253">
        <v>11.48</v>
      </c>
      <c r="I19" s="252">
        <v>13.46</v>
      </c>
      <c r="J19" s="252">
        <v>11.22</v>
      </c>
      <c r="K19" s="252">
        <v>13.92</v>
      </c>
      <c r="L19" s="252">
        <v>11.61</v>
      </c>
      <c r="M19" s="252">
        <v>13.2</v>
      </c>
      <c r="N19" s="252">
        <v>10.99</v>
      </c>
      <c r="O19" s="252">
        <v>12.85</v>
      </c>
      <c r="P19" s="252">
        <v>10.7</v>
      </c>
      <c r="Q19" s="252">
        <v>12.92</v>
      </c>
      <c r="R19" s="252">
        <v>10.76</v>
      </c>
      <c r="S19" s="253">
        <v>12.93</v>
      </c>
      <c r="T19" s="253">
        <v>10.77</v>
      </c>
      <c r="U19" s="252">
        <v>12.9</v>
      </c>
      <c r="V19" s="252">
        <v>10.74</v>
      </c>
      <c r="W19" s="252">
        <v>13.02</v>
      </c>
      <c r="X19" s="252">
        <v>10.85</v>
      </c>
      <c r="Y19" s="242">
        <v>13.3</v>
      </c>
      <c r="Z19" s="242">
        <v>11.09</v>
      </c>
      <c r="AA19" s="252">
        <v>12.9</v>
      </c>
      <c r="AB19" s="252">
        <v>10.74</v>
      </c>
      <c r="AC19" s="252">
        <v>13.19</v>
      </c>
      <c r="AD19" s="252">
        <v>10.99</v>
      </c>
      <c r="AE19" s="252">
        <v>11.36</v>
      </c>
      <c r="AF19" s="252">
        <v>9.44</v>
      </c>
      <c r="AG19" s="252">
        <v>14.66</v>
      </c>
      <c r="AH19" s="267">
        <v>12.23</v>
      </c>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row>
    <row r="20" spans="1:63" s="238" customFormat="1" ht="15" thickBot="1" x14ac:dyDescent="0.35">
      <c r="A20" s="237"/>
      <c r="B20" s="266" t="s">
        <v>93</v>
      </c>
      <c r="C20" s="254">
        <f>C19*$C$8</f>
        <v>30492</v>
      </c>
      <c r="D20" s="254">
        <f>D19*$D$8</f>
        <v>32723.999999999996</v>
      </c>
      <c r="E20" s="254">
        <f>E19*$C$8</f>
        <v>28896</v>
      </c>
      <c r="F20" s="254">
        <f>F19*$D$8</f>
        <v>30969</v>
      </c>
      <c r="G20" s="254">
        <f>G19*$C$8</f>
        <v>28896</v>
      </c>
      <c r="H20" s="254">
        <f>H19*$D$8</f>
        <v>30996</v>
      </c>
      <c r="I20" s="254">
        <f>I19*$C$8</f>
        <v>28266</v>
      </c>
      <c r="J20" s="254">
        <f>J19*$D$8</f>
        <v>30294</v>
      </c>
      <c r="K20" s="254">
        <f>K19*$C$8</f>
        <v>29232</v>
      </c>
      <c r="L20" s="254">
        <f>L19*$D$8</f>
        <v>31347</v>
      </c>
      <c r="M20" s="254">
        <f>M19*$C$8</f>
        <v>27720</v>
      </c>
      <c r="N20" s="254">
        <f>N19*$D$8</f>
        <v>29673</v>
      </c>
      <c r="O20" s="254">
        <f>O19*$C$8</f>
        <v>26985</v>
      </c>
      <c r="P20" s="254">
        <f>P19*$D$8</f>
        <v>28889.999999999996</v>
      </c>
      <c r="Q20" s="254">
        <f>Q19*$C$8</f>
        <v>27132</v>
      </c>
      <c r="R20" s="254">
        <f>R19*$D$8</f>
        <v>29052</v>
      </c>
      <c r="S20" s="254">
        <f>S19*$C$8</f>
        <v>27153</v>
      </c>
      <c r="T20" s="254">
        <f>T19*$D$8</f>
        <v>29079</v>
      </c>
      <c r="U20" s="254">
        <f>U19*$C$8</f>
        <v>27090</v>
      </c>
      <c r="V20" s="254">
        <f>V19*$D$8</f>
        <v>28998</v>
      </c>
      <c r="W20" s="254">
        <f>W19*$C$8</f>
        <v>27342</v>
      </c>
      <c r="X20" s="254">
        <f>X19*$D$8</f>
        <v>29295</v>
      </c>
      <c r="Y20" s="254">
        <f>Y19*$C$8</f>
        <v>27930</v>
      </c>
      <c r="Z20" s="254">
        <f>Z19*$D$8</f>
        <v>29943</v>
      </c>
      <c r="AA20" s="254">
        <f>AA19*$C$8</f>
        <v>27090</v>
      </c>
      <c r="AB20" s="254">
        <f>AB19*$D$8</f>
        <v>28998</v>
      </c>
      <c r="AC20" s="254">
        <f>AC19*$C$8</f>
        <v>27699</v>
      </c>
      <c r="AD20" s="254">
        <f>AD19*$D$8</f>
        <v>29673</v>
      </c>
      <c r="AE20" s="254">
        <f>AE19*$C$8</f>
        <v>23856</v>
      </c>
      <c r="AF20" s="254">
        <f>AF19*$D$8</f>
        <v>25488</v>
      </c>
      <c r="AG20" s="254">
        <f>AG19*$C$8</f>
        <v>30786</v>
      </c>
      <c r="AH20" s="268">
        <f>AH19*$D$8</f>
        <v>33021</v>
      </c>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c r="BI20" s="240"/>
      <c r="BJ20" s="240"/>
      <c r="BK20" s="240"/>
    </row>
    <row r="21" spans="1:63" s="238" customFormat="1" ht="18.600000000000001" thickBot="1" x14ac:dyDescent="0.4">
      <c r="A21" s="237"/>
      <c r="B21" s="116" t="s">
        <v>98</v>
      </c>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8"/>
    </row>
    <row r="22" spans="1:63" x14ac:dyDescent="0.3">
      <c r="B22" s="269" t="s">
        <v>96</v>
      </c>
      <c r="C22" s="256">
        <f t="shared" ref="C22:AH22" si="0">C19-C16</f>
        <v>3.5299999999999994</v>
      </c>
      <c r="D22" s="256">
        <f t="shared" si="0"/>
        <v>2.6499999999999986</v>
      </c>
      <c r="E22" s="256">
        <f t="shared" si="0"/>
        <v>3.6199999999999992</v>
      </c>
      <c r="F22" s="256">
        <f t="shared" si="0"/>
        <v>2.74</v>
      </c>
      <c r="G22" s="256">
        <f t="shared" si="0"/>
        <v>3.6099999999999994</v>
      </c>
      <c r="H22" s="256">
        <f t="shared" si="0"/>
        <v>2.74</v>
      </c>
      <c r="I22" s="256">
        <f t="shared" si="0"/>
        <v>3.6500000000000004</v>
      </c>
      <c r="J22" s="256">
        <f t="shared" si="0"/>
        <v>2.7800000000000011</v>
      </c>
      <c r="K22" s="256">
        <f t="shared" si="0"/>
        <v>3.59</v>
      </c>
      <c r="L22" s="256">
        <f t="shared" si="0"/>
        <v>2.7099999999999991</v>
      </c>
      <c r="M22" s="256">
        <f t="shared" si="0"/>
        <v>3.6899999999999995</v>
      </c>
      <c r="N22" s="256">
        <f t="shared" si="0"/>
        <v>2.8000000000000007</v>
      </c>
      <c r="O22" s="256">
        <f t="shared" si="0"/>
        <v>3.629999999999999</v>
      </c>
      <c r="P22" s="256">
        <f t="shared" si="0"/>
        <v>2.7599999999999989</v>
      </c>
      <c r="Q22" s="256">
        <f t="shared" si="0"/>
        <v>3.7099999999999991</v>
      </c>
      <c r="R22" s="256">
        <f t="shared" si="0"/>
        <v>2.83</v>
      </c>
      <c r="S22" s="256">
        <f t="shared" si="0"/>
        <v>3.7199999999999989</v>
      </c>
      <c r="T22" s="256">
        <f t="shared" si="0"/>
        <v>2.84</v>
      </c>
      <c r="U22" s="256">
        <f t="shared" si="0"/>
        <v>3.7300000000000004</v>
      </c>
      <c r="V22" s="256">
        <f t="shared" si="0"/>
        <v>2.84</v>
      </c>
      <c r="W22" s="256">
        <f t="shared" si="0"/>
        <v>3.7199999999999989</v>
      </c>
      <c r="X22" s="256">
        <f t="shared" si="0"/>
        <v>2.84</v>
      </c>
      <c r="Y22" s="256">
        <f t="shared" si="0"/>
        <v>3.67</v>
      </c>
      <c r="Z22" s="256">
        <f t="shared" si="0"/>
        <v>2.8000000000000007</v>
      </c>
      <c r="AA22" s="256">
        <f t="shared" si="0"/>
        <v>3.7300000000000004</v>
      </c>
      <c r="AB22" s="256">
        <f t="shared" si="0"/>
        <v>2.84</v>
      </c>
      <c r="AC22" s="256">
        <f t="shared" si="0"/>
        <v>3.74</v>
      </c>
      <c r="AD22" s="256">
        <f t="shared" si="0"/>
        <v>2.8499999999999996</v>
      </c>
      <c r="AE22" s="256">
        <f t="shared" si="0"/>
        <v>3.84</v>
      </c>
      <c r="AF22" s="256">
        <f t="shared" si="0"/>
        <v>2.9699999999999998</v>
      </c>
      <c r="AG22" s="256">
        <f t="shared" si="0"/>
        <v>3.59</v>
      </c>
      <c r="AH22" s="270">
        <f t="shared" si="0"/>
        <v>2.6900000000000013</v>
      </c>
      <c r="AI22" s="255"/>
      <c r="AJ22" s="255"/>
    </row>
    <row r="23" spans="1:63" ht="15" thickBot="1" x14ac:dyDescent="0.35">
      <c r="B23" s="271" t="s">
        <v>99</v>
      </c>
      <c r="C23" s="272">
        <f t="shared" ref="C23:AH23" si="1">C20-C17</f>
        <v>7413</v>
      </c>
      <c r="D23" s="272">
        <f t="shared" si="1"/>
        <v>7154.9999999999964</v>
      </c>
      <c r="E23" s="272">
        <f t="shared" si="1"/>
        <v>7602</v>
      </c>
      <c r="F23" s="272">
        <f t="shared" si="1"/>
        <v>7398</v>
      </c>
      <c r="G23" s="272">
        <f t="shared" si="1"/>
        <v>7581</v>
      </c>
      <c r="H23" s="272">
        <f t="shared" si="1"/>
        <v>7398</v>
      </c>
      <c r="I23" s="272">
        <f t="shared" si="1"/>
        <v>7665</v>
      </c>
      <c r="J23" s="272">
        <f t="shared" si="1"/>
        <v>7506</v>
      </c>
      <c r="K23" s="272">
        <f t="shared" si="1"/>
        <v>7539</v>
      </c>
      <c r="L23" s="272">
        <f t="shared" si="1"/>
        <v>7317</v>
      </c>
      <c r="M23" s="272">
        <f t="shared" si="1"/>
        <v>7749</v>
      </c>
      <c r="N23" s="272">
        <f t="shared" si="1"/>
        <v>7560</v>
      </c>
      <c r="O23" s="272">
        <f t="shared" si="1"/>
        <v>7623</v>
      </c>
      <c r="P23" s="272">
        <f t="shared" si="1"/>
        <v>7451.9999999999964</v>
      </c>
      <c r="Q23" s="272">
        <f t="shared" si="1"/>
        <v>7791</v>
      </c>
      <c r="R23" s="272">
        <f t="shared" si="1"/>
        <v>7641</v>
      </c>
      <c r="S23" s="272">
        <f t="shared" si="1"/>
        <v>7812</v>
      </c>
      <c r="T23" s="272">
        <f t="shared" si="1"/>
        <v>7668</v>
      </c>
      <c r="U23" s="272">
        <f t="shared" si="1"/>
        <v>7833</v>
      </c>
      <c r="V23" s="272">
        <f t="shared" si="1"/>
        <v>7668</v>
      </c>
      <c r="W23" s="272">
        <f t="shared" si="1"/>
        <v>7812</v>
      </c>
      <c r="X23" s="272">
        <f t="shared" si="1"/>
        <v>7668</v>
      </c>
      <c r="Y23" s="272">
        <f t="shared" si="1"/>
        <v>7707</v>
      </c>
      <c r="Z23" s="272">
        <f t="shared" si="1"/>
        <v>7560.0000000000036</v>
      </c>
      <c r="AA23" s="272">
        <f t="shared" si="1"/>
        <v>7833</v>
      </c>
      <c r="AB23" s="272">
        <f t="shared" si="1"/>
        <v>7668</v>
      </c>
      <c r="AC23" s="272">
        <f t="shared" si="1"/>
        <v>7854</v>
      </c>
      <c r="AD23" s="272">
        <f t="shared" si="1"/>
        <v>7695</v>
      </c>
      <c r="AE23" s="272">
        <f t="shared" si="1"/>
        <v>8064</v>
      </c>
      <c r="AF23" s="272">
        <f t="shared" si="1"/>
        <v>8019</v>
      </c>
      <c r="AG23" s="272">
        <f t="shared" si="1"/>
        <v>7539</v>
      </c>
      <c r="AH23" s="273">
        <f t="shared" si="1"/>
        <v>7263.0000000000036</v>
      </c>
    </row>
    <row r="24" spans="1:63" x14ac:dyDescent="0.3">
      <c r="B24" s="12"/>
      <c r="C24" s="3"/>
      <c r="D24" s="3"/>
      <c r="E24" s="2"/>
      <c r="F24" s="2"/>
      <c r="G24" s="4"/>
      <c r="H24" s="4"/>
      <c r="I24" s="2"/>
      <c r="J24" s="2"/>
      <c r="K24" s="2"/>
      <c r="L24" s="2"/>
      <c r="M24" s="2"/>
      <c r="N24" s="2"/>
      <c r="O24" s="2"/>
      <c r="P24" s="2"/>
      <c r="Q24" s="2"/>
      <c r="R24" s="2"/>
      <c r="S24" s="4"/>
      <c r="T24" s="4"/>
      <c r="U24" s="7"/>
      <c r="V24" s="7"/>
      <c r="W24" s="7"/>
      <c r="X24" s="7"/>
      <c r="Y24" s="5"/>
      <c r="Z24" s="5"/>
      <c r="AA24" s="6"/>
      <c r="AB24" s="2"/>
      <c r="AC24" s="2"/>
      <c r="AD24" s="2"/>
      <c r="AE24" s="6"/>
      <c r="AF24" s="2"/>
      <c r="AG24" s="2"/>
      <c r="AH24" s="2"/>
    </row>
    <row r="25" spans="1:63" ht="15" thickBot="1" x14ac:dyDescent="0.35">
      <c r="B25" s="8"/>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row>
    <row r="26" spans="1:63" s="14" customFormat="1" ht="20.399999999999999" x14ac:dyDescent="0.3">
      <c r="B26" s="274" t="s">
        <v>106</v>
      </c>
      <c r="C26" s="47"/>
      <c r="D26" s="47"/>
      <c r="E26" s="47"/>
      <c r="F26" s="47"/>
      <c r="G26" s="47"/>
      <c r="H26" s="47"/>
      <c r="I26" s="47"/>
      <c r="J26" s="47"/>
      <c r="K26" s="47"/>
      <c r="L26" s="47"/>
      <c r="M26" s="47"/>
      <c r="N26" s="47"/>
      <c r="O26" s="47"/>
      <c r="P26" s="47"/>
      <c r="Q26" s="47"/>
      <c r="R26" s="28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row>
    <row r="27" spans="1:63" s="14" customFormat="1" ht="15.6" thickBot="1" x14ac:dyDescent="0.35">
      <c r="B27" s="285" t="s">
        <v>103</v>
      </c>
      <c r="C27" s="286"/>
      <c r="D27" s="286"/>
      <c r="E27" s="286"/>
      <c r="F27" s="286"/>
      <c r="G27" s="286"/>
      <c r="H27" s="286"/>
      <c r="I27" s="286"/>
      <c r="J27" s="286"/>
      <c r="K27" s="286"/>
      <c r="L27" s="286"/>
      <c r="M27" s="286"/>
      <c r="N27" s="286"/>
      <c r="O27" s="286"/>
      <c r="P27" s="286"/>
      <c r="Q27" s="286"/>
      <c r="R27" s="287"/>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row>
    <row r="28" spans="1:63" s="14" customFormat="1" ht="28.8" x14ac:dyDescent="0.3">
      <c r="B28" s="155"/>
      <c r="C28" s="296" t="s">
        <v>74</v>
      </c>
      <c r="D28" s="296" t="s">
        <v>75</v>
      </c>
      <c r="E28" s="296" t="s">
        <v>76</v>
      </c>
      <c r="F28" s="296" t="s">
        <v>77</v>
      </c>
      <c r="G28" s="296" t="s">
        <v>78</v>
      </c>
      <c r="H28" s="296" t="s">
        <v>79</v>
      </c>
      <c r="I28" s="296" t="s">
        <v>80</v>
      </c>
      <c r="J28" s="296" t="s">
        <v>81</v>
      </c>
      <c r="K28" s="296" t="s">
        <v>82</v>
      </c>
      <c r="L28" s="296" t="s">
        <v>83</v>
      </c>
      <c r="M28" s="296" t="s">
        <v>84</v>
      </c>
      <c r="N28" s="296" t="s">
        <v>85</v>
      </c>
      <c r="O28" s="296" t="s">
        <v>86</v>
      </c>
      <c r="P28" s="296" t="s">
        <v>87</v>
      </c>
      <c r="Q28" s="296" t="s">
        <v>88</v>
      </c>
      <c r="R28" s="297" t="s">
        <v>89</v>
      </c>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row>
    <row r="29" spans="1:63" x14ac:dyDescent="0.3">
      <c r="B29" s="304" t="s">
        <v>109</v>
      </c>
      <c r="C29" s="298">
        <f>(C17*$C$10)+(D17*$D$10)</f>
        <v>24448.5</v>
      </c>
      <c r="D29" s="298">
        <f>(E17*$C$10)+(F17*$D$10)</f>
        <v>22546.350000000002</v>
      </c>
      <c r="E29" s="298">
        <f>(G17*$C$10)+(H17*$D$10)</f>
        <v>22570.65</v>
      </c>
      <c r="F29" s="298">
        <f>(I17*$C$10)+(J17*$D$10)</f>
        <v>21803.850000000002</v>
      </c>
      <c r="G29" s="298">
        <f>(K17*$C$10)+(L17*$D$10)</f>
        <v>22978.350000000002</v>
      </c>
      <c r="H29" s="298">
        <f>(M17*$C$10)+(N17*$D$10)</f>
        <v>21149.100000000002</v>
      </c>
      <c r="I29" s="298">
        <f>(O17*$C$10)+(P17*$D$10)</f>
        <v>20503.800000000003</v>
      </c>
      <c r="J29" s="298">
        <f>(Q17*$C$10)+(R17*$D$10)</f>
        <v>20479.5</v>
      </c>
      <c r="K29" s="298">
        <f>(S17*$C$10)+(T17*$D$10)</f>
        <v>20479.5</v>
      </c>
      <c r="L29" s="298">
        <f>(U17*$C$10)+(V17*$D$10)</f>
        <v>20397.150000000001</v>
      </c>
      <c r="M29" s="298">
        <f>(W17*$C$10)+(X17*$D$10)</f>
        <v>20683.349999999999</v>
      </c>
      <c r="N29" s="298">
        <f>(Y17*$C$10)+(Z17*$D$10)</f>
        <v>21411</v>
      </c>
      <c r="O29" s="298">
        <f>(AA17*$C$10)+(AB17*$D$10)</f>
        <v>20397.150000000001</v>
      </c>
      <c r="P29" s="298">
        <f>(AC17*$C$10)+(AD17*$D$10)</f>
        <v>21018.15</v>
      </c>
      <c r="Q29" s="298">
        <f>(AE17*$C$10)+(AF17*$D$10)</f>
        <v>16714.350000000002</v>
      </c>
      <c r="R29" s="299">
        <f>(AG17*$C$10)+(AH17*$D$10)</f>
        <v>24628.05</v>
      </c>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row>
    <row r="30" spans="1:63" s="14" customFormat="1" x14ac:dyDescent="0.3">
      <c r="A30" s="43"/>
      <c r="B30" s="305" t="s">
        <v>104</v>
      </c>
      <c r="C30" s="300">
        <f>(C20*$C$10)+(D20*$D$10)</f>
        <v>31719.599999999999</v>
      </c>
      <c r="D30" s="300">
        <f>(E20*$C$10)+(F20*$D$10)</f>
        <v>30036.15</v>
      </c>
      <c r="E30" s="300">
        <f>(G20*$C$10)+(H20*$D$10)</f>
        <v>30051.000000000004</v>
      </c>
      <c r="F30" s="300">
        <f>(I20*$C$10)+(J20*$D$10)</f>
        <v>29381.4</v>
      </c>
      <c r="G30" s="300">
        <f>(K20*$C$10)+(L20*$D$10)</f>
        <v>30395.25</v>
      </c>
      <c r="H30" s="300">
        <f>(M20*$C$10)+(N20*$D$10)</f>
        <v>28794.15</v>
      </c>
      <c r="I30" s="300">
        <f>(O20*$C$10)+(P20*$D$10)</f>
        <v>28032.75</v>
      </c>
      <c r="J30" s="300">
        <f>(Q20*$C$10)+(R20*$D$10)</f>
        <v>28188</v>
      </c>
      <c r="K30" s="300">
        <f>(S20*$C$10)+(T20*$D$10)</f>
        <v>28212.300000000003</v>
      </c>
      <c r="L30" s="300">
        <f>(U20*$C$10)+(V20*$D$10)</f>
        <v>28139.4</v>
      </c>
      <c r="M30" s="300">
        <f>(W20*$C$10)+(X20*$D$10)</f>
        <v>28416.15</v>
      </c>
      <c r="N30" s="300">
        <f>(Y20*$C$10)+(Z20*$D$10)</f>
        <v>29037.15</v>
      </c>
      <c r="O30" s="300">
        <f>(AA20*$C$10)+(AB20*$D$10)</f>
        <v>28139.4</v>
      </c>
      <c r="P30" s="300">
        <f>(AC20*$C$10)+(AD20*$D$10)</f>
        <v>28784.700000000004</v>
      </c>
      <c r="Q30" s="300">
        <f>(AE20*$C$10)+(AF20*$D$10)</f>
        <v>24753.600000000002</v>
      </c>
      <c r="R30" s="301">
        <f>(AG20*$C$10)+(AH20*$D$10)</f>
        <v>32015.250000000004</v>
      </c>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row>
    <row r="31" spans="1:63" s="14" customFormat="1" ht="15" thickBot="1" x14ac:dyDescent="0.35">
      <c r="A31" s="43"/>
      <c r="B31" s="306" t="s">
        <v>105</v>
      </c>
      <c r="C31" s="302">
        <f>C30-C29</f>
        <v>7271.0999999999985</v>
      </c>
      <c r="D31" s="302">
        <f t="shared" ref="D31:R31" si="2">D30-D29</f>
        <v>7489.7999999999993</v>
      </c>
      <c r="E31" s="302">
        <f t="shared" si="2"/>
        <v>7480.3500000000022</v>
      </c>
      <c r="F31" s="302">
        <f t="shared" si="2"/>
        <v>7577.5499999999993</v>
      </c>
      <c r="G31" s="302">
        <f t="shared" si="2"/>
        <v>7416.8999999999978</v>
      </c>
      <c r="H31" s="302">
        <f t="shared" si="2"/>
        <v>7645.0499999999993</v>
      </c>
      <c r="I31" s="302">
        <f t="shared" si="2"/>
        <v>7528.9499999999971</v>
      </c>
      <c r="J31" s="302">
        <f t="shared" si="2"/>
        <v>7708.5</v>
      </c>
      <c r="K31" s="302">
        <f t="shared" si="2"/>
        <v>7732.8000000000029</v>
      </c>
      <c r="L31" s="302">
        <f t="shared" si="2"/>
        <v>7742.25</v>
      </c>
      <c r="M31" s="302">
        <f t="shared" si="2"/>
        <v>7732.8000000000029</v>
      </c>
      <c r="N31" s="302">
        <f t="shared" si="2"/>
        <v>7626.1500000000015</v>
      </c>
      <c r="O31" s="302">
        <f t="shared" si="2"/>
        <v>7742.25</v>
      </c>
      <c r="P31" s="302">
        <f t="shared" si="2"/>
        <v>7766.5500000000029</v>
      </c>
      <c r="Q31" s="302">
        <f t="shared" si="2"/>
        <v>8039.25</v>
      </c>
      <c r="R31" s="303">
        <f t="shared" si="2"/>
        <v>7387.2000000000044</v>
      </c>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row>
  </sheetData>
  <sheetProtection password="AD91" sheet="1" objects="1" scenarios="1" selectLockedCells="1" selectUnlockedCells="1"/>
  <mergeCells count="17">
    <mergeCell ref="G13:H13"/>
    <mergeCell ref="I13:J13"/>
    <mergeCell ref="K13:L13"/>
    <mergeCell ref="B2:J2"/>
    <mergeCell ref="AG13:AH13"/>
    <mergeCell ref="W13:X13"/>
    <mergeCell ref="Y13:Z13"/>
    <mergeCell ref="AA13:AB13"/>
    <mergeCell ref="AC13:AD13"/>
    <mergeCell ref="AE13:AF13"/>
    <mergeCell ref="M13:N13"/>
    <mergeCell ref="O13:P13"/>
    <mergeCell ref="Q13:R13"/>
    <mergeCell ref="S13:T13"/>
    <mergeCell ref="U13:V13"/>
    <mergeCell ref="C13:D13"/>
    <mergeCell ref="E13:F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Relationships xmlns="http://schemas.openxmlformats.org/package/2006/relationships">
  <Relationship Id="rId1" Type="http://schemas.openxmlformats.org/officeDocument/2006/relationships/customXmlProps" Target="itemProps1.xml"/>
</Relationships>

</file>

<file path=customXml/_rels/item2.xml.rels><?xml version="1.0" encoding="UTF-8"?>

<Relationships xmlns="http://schemas.openxmlformats.org/package/2006/relationships">
  <Relationship Id="rId1" Type="http://schemas.openxmlformats.org/officeDocument/2006/relationships/customXmlProps" Target="itemProps2.xml"/>
</Relationships>

</file>

<file path=customXml/_rels/item3.xml.rels><?xml version="1.0" encoding="UTF-8"?>

<Relationships xmlns="http://schemas.openxmlformats.org/package/2006/relationships">
  <Relationship Id="rId1" Type="http://schemas.openxmlformats.org/officeDocument/2006/relationships/customXmlProps" Target="itemProps3.xml"/>
</Relationships>

</file>

<file path=customXml/_rels/item4.xml.rels><?xml version="1.0" encoding="UTF-8"?>

<Relationships xmlns="http://schemas.openxmlformats.org/package/2006/relationships">
  <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documentManagement>
    <Received_x0020_From xmlns="8eef3743-c7b3-4cbe-8837-b6e805be353c" xsi:nil="true"/>
    <Docket_x0020_Number xmlns="8eef3743-c7b3-4cbe-8837-b6e805be353c" xsi:nil="true"/>
    <TaxCatchAll xmlns="8eef3743-c7b3-4cbe-8837-b6e805be353c"/>
    <jbf85ac70d5848c6836ba15e22d94e70 xmlns="8eef3743-c7b3-4cbe-8837-b6e805be353c">
      <Terms xmlns="http://schemas.microsoft.com/office/infopath/2007/PartnerControls"/>
    </jbf85ac70d5848c6836ba15e22d94e70>
    <ia56c5f4991045989a786b6ecb732719 xmlns="8eef3743-c7b3-4cbe-8837-b6e805be353c">
      <Terms xmlns="http://schemas.microsoft.com/office/infopath/2007/PartnerControl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k2a3b5fc29f742a38f72e68b777baa26>
    <_dlc_DocId xmlns="8eef3743-c7b3-4cbe-8837-b6e805be353c">Z5JXHV6S7NA6-3-84806</_dlc_DocId>
    <_dlc_DocIdUrl xmlns="8eef3743-c7b3-4cbe-8837-b6e805be353c">
      <Url>http://efilingspinternal/_layouts/DocIdRedir.aspx?ID=Z5JXHV6S7NA6-3-84806</Url>
      <Description>Z5JXHV6S7NA6-3-84806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6328CF-AD39-48C0-BC59-FFC1F6C4FBAF}"/>
</file>

<file path=customXml/itemProps2.xml><?xml version="1.0" encoding="utf-8"?>
<ds:datastoreItem xmlns:ds="http://schemas.openxmlformats.org/officeDocument/2006/customXml" ds:itemID="{7C1265C3-DE74-469C-8710-4C713FE8B40F}"/>
</file>

<file path=customXml/itemProps3.xml><?xml version="1.0" encoding="utf-8"?>
<ds:datastoreItem xmlns:ds="http://schemas.openxmlformats.org/officeDocument/2006/customXml" ds:itemID="{96B57577-BD14-4F47-A9AD-B0477DE0B1B4}"/>
</file>

<file path=customXml/itemProps4.xml><?xml version="1.0" encoding="utf-8"?>
<ds:datastoreItem xmlns:ds="http://schemas.openxmlformats.org/officeDocument/2006/customXml" ds:itemID="{0376D7A4-9A16-45D3-9BE2-FDE17AB395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Inputs</vt:lpstr>
      <vt:lpstr>Results-Simple</vt:lpstr>
      <vt:lpstr>Results-Details</vt:lpstr>
      <vt:lpstr>CBECC Model Data</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 Team</dc:creator>
  <cp:lastModifiedBy>ppaul</cp:lastModifiedBy>
  <dcterms:created xsi:type="dcterms:W3CDTF">2014-08-26T01:23:42Z</dcterms:created>
  <dcterms:modified xsi:type="dcterms:W3CDTF">2015-01-23T18:45:42Z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7" name="FileLeafRef">
    <vt:lpwstr>TN 74367 01-22-15 Residential IWH-LCC Spreadsheet-Appendix E of CASE Report.xlsx</vt:lpwstr>
  </property>
  <property fmtid="{D5CDD505-2E9C-101B-9397-08002B2CF9AE}" pid="14" name="Subject_x0020_Areas">
    <vt:lpwstr/>
  </property>
  <property fmtid="{D5CDD505-2E9C-101B-9397-08002B2CF9AE}" pid="18" name="Subject Areas">
    <vt:lpwstr/>
  </property>
  <property fmtid="{D5CDD505-2E9C-101B-9397-08002B2CF9AE}" pid="19" name="_dlc_DocIdItemGuid">
    <vt:lpwstr>3a659e2b-f304-49ef-9969-02f7be43d2bf</vt:lpwstr>
  </property>
  <property fmtid="{D5CDD505-2E9C-101B-9397-08002B2CF9AE}" pid="20" name="Modified By">
    <vt:lpwstr>BUILTIN\administrators</vt:lpwstr>
  </property>
  <property fmtid="{D5CDD505-2E9C-101B-9397-08002B2CF9AE}" pid="21" name="source_item_id">
    <vt:i4>109219</vt:i4>
  </property>
  <property fmtid="{D5CDD505-2E9C-101B-9397-08002B2CF9AE}" pid="22" name="Created By">
    <vt:lpwstr>BUILTIN\administrators</vt:lpwstr>
  </property>
</Properties>
</file>