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drawings/drawing3.xml" ContentType="application/vnd.openxmlformats-officedocument.drawingml.chartshapes+xml"/>
  <Override PartName="/xl/drawings/drawing5.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6.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hartsheets/sheet2.xml" ContentType="application/vnd.openxmlformats-officedocument.spreadsheetml.chartsheet+xml"/>
  <Override PartName="/xl/chartsheets/sheet1.xml" ContentType="application/vnd.openxmlformats-officedocument.spreadsheetml.chartsheet+xml"/>
  <Override PartName="/xl/theme/theme1.xml" ContentType="application/vnd.openxmlformats-officedocument.theme+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comments2.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4.xml" ContentType="application/vnd.openxmlformats-officedocument.spreadsheetml.comments+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20" windowWidth="12132" windowHeight="6888" tabRatio="948"/>
  </bookViews>
  <sheets>
    <sheet name="Home" sheetId="51" r:id="rId1"/>
    <sheet name="Program Analysis" sheetId="52" r:id="rId2"/>
    <sheet name="SB 350 Potential" sheetId="53" r:id="rId3"/>
    <sheet name="Reference" sheetId="54" r:id="rId4"/>
    <sheet name="Conservative" sheetId="55" r:id="rId5"/>
    <sheet name="Aggressive" sheetId="56" r:id="rId6"/>
    <sheet name="Graph (electricity)" sheetId="57" r:id="rId7"/>
    <sheet name="Graph (gas)" sheetId="58" r:id="rId8"/>
    <sheet name="BEARS Worksheet" sheetId="37" r:id="rId9"/>
    <sheet name="LGC Worksheet" sheetId="38" r:id="rId10"/>
    <sheet name="LGC Conservative" sheetId="49" r:id="rId11"/>
    <sheet name="GHG Assumptions" sheetId="44" r:id="rId12"/>
    <sheet name="Look-up" sheetId="43" r:id="rId13"/>
  </sheets>
  <externalReferences>
    <externalReference r:id="rId14"/>
    <externalReference r:id="rId15"/>
    <externalReference r:id="rId16"/>
    <externalReference r:id="rId17"/>
    <externalReference r:id="rId18"/>
  </externalReferences>
  <definedNames>
    <definedName name="_xlnm._FilterDatabase" localSheetId="10" hidden="1">'LGC Conservative'!$C$1:$N$1</definedName>
    <definedName name="_xlnm._FilterDatabase" localSheetId="9" hidden="1">'LGC Worksheet'!$C$1:$N$1</definedName>
    <definedName name="_ftn1" localSheetId="1">'Program Analysis'!$F$28</definedName>
    <definedName name="_ftn2" localSheetId="1">'Program Analysis'!$F$29</definedName>
    <definedName name="_ftn3" localSheetId="1">'Program Analysis'!$F$30</definedName>
    <definedName name="_ftn4" localSheetId="1">'Program Analysis'!$F$31</definedName>
    <definedName name="_ftnref1" localSheetId="1">'Program Analysis'!$F$13</definedName>
    <definedName name="_ftnref2" localSheetId="1">'Program Analysis'!$F$14</definedName>
    <definedName name="_ftnref3" localSheetId="1">'Program Analysis'!$F$15</definedName>
    <definedName name="_ftnref4" localSheetId="1">'Program Analysis'!$F$25</definedName>
    <definedName name="ACTION_FRACTION">'BEARS Worksheet'!$T$85</definedName>
    <definedName name="anchor_first_data_row" localSheetId="0">'[1]County Data'!#REF!</definedName>
    <definedName name="anchor_first_data_row">'[1]County Data'!#REF!</definedName>
    <definedName name="Bldg_Sectors" localSheetId="2">'[2]Look-up'!$B$23:$C$23</definedName>
    <definedName name="Bldg_Sectors">'Look-up'!$B$23:$C$23</definedName>
    <definedName name="Cost_Scenario">'[3]Lists for Data Validation'!$O$3</definedName>
    <definedName name="County">[4]CleanData!$Z$2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0">'[4]Data Table (Hide)'!#REF!</definedName>
    <definedName name="LastRow">'[4]Data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Non_Residential">'Look-up'!$B$24:$B$35</definedName>
    <definedName name="NR_BldgTypes">'Look-up'!$B$24:$B$35</definedName>
    <definedName name="Programs" localSheetId="2">'[2]Look-up'!$A$4:$A$20</definedName>
    <definedName name="Programs">'Look-up'!$A$4:$A$20</definedName>
    <definedName name="RES_BldgTypes">'Look-up'!$C$24:$C$26</definedName>
    <definedName name="Residential">'Look-up'!$C$24:$C$26</definedName>
    <definedName name="Savings_Degredation_Rate">[3]Assumptions!$E$11</definedName>
    <definedName name="UtilizeFinancing">'[3]Lists for Data Validation'!$N$2</definedName>
  </definedNames>
  <calcPr calcId="145621"/>
</workbook>
</file>

<file path=xl/calcChain.xml><?xml version="1.0" encoding="utf-8"?>
<calcChain xmlns="http://schemas.openxmlformats.org/spreadsheetml/2006/main">
  <c r="D36" i="55" l="1"/>
  <c r="H60" i="54"/>
  <c r="G60" i="54"/>
  <c r="F60" i="54"/>
  <c r="E60" i="54"/>
  <c r="D60" i="54"/>
  <c r="C60" i="54"/>
  <c r="H36" i="54"/>
  <c r="G36" i="54"/>
  <c r="F36" i="54"/>
  <c r="E36" i="54"/>
  <c r="D36" i="54"/>
  <c r="C36" i="54"/>
  <c r="Q28" i="38" l="1"/>
  <c r="C1" i="56" l="1"/>
  <c r="C1" i="55"/>
  <c r="C1" i="54"/>
  <c r="G9" i="54"/>
  <c r="C59" i="56" l="1"/>
  <c r="D62" i="56"/>
  <c r="D59" i="56" s="1"/>
  <c r="B64" i="56"/>
  <c r="C35" i="56"/>
  <c r="D38" i="56"/>
  <c r="D35" i="56" s="1"/>
  <c r="B40" i="56"/>
  <c r="B41" i="56" s="1"/>
  <c r="B42" i="56" s="1"/>
  <c r="B43" i="56" s="1"/>
  <c r="B44" i="56" s="1"/>
  <c r="C59" i="54"/>
  <c r="C63" i="54" s="1"/>
  <c r="C79" i="54" s="1"/>
  <c r="D62" i="54"/>
  <c r="D59" i="54" s="1"/>
  <c r="B64" i="54"/>
  <c r="C35" i="54"/>
  <c r="C39" i="54" s="1"/>
  <c r="C55" i="54" s="1"/>
  <c r="D38" i="54"/>
  <c r="B40" i="54"/>
  <c r="C1" i="53"/>
  <c r="C5" i="52"/>
  <c r="C4" i="52"/>
  <c r="B18" i="56"/>
  <c r="B17" i="56"/>
  <c r="B65" i="55"/>
  <c r="B64" i="55"/>
  <c r="F62" i="55"/>
  <c r="D62" i="55"/>
  <c r="E62" i="55" s="1"/>
  <c r="E59" i="55" s="1"/>
  <c r="D59" i="55"/>
  <c r="C59" i="55"/>
  <c r="B41" i="55"/>
  <c r="B40" i="55"/>
  <c r="E38" i="55"/>
  <c r="F38" i="55" s="1"/>
  <c r="D38" i="55"/>
  <c r="E35" i="55"/>
  <c r="D35" i="55"/>
  <c r="C35" i="55"/>
  <c r="B18" i="55"/>
  <c r="B17" i="55"/>
  <c r="B18" i="54"/>
  <c r="B17" i="54"/>
  <c r="C17" i="54"/>
  <c r="F44" i="53"/>
  <c r="E44" i="53"/>
  <c r="F43" i="53"/>
  <c r="E43" i="53"/>
  <c r="E42" i="53"/>
  <c r="F39" i="53"/>
  <c r="F38" i="53"/>
  <c r="E30" i="53"/>
  <c r="F29" i="53"/>
  <c r="F30" i="53" s="1"/>
  <c r="E29" i="53"/>
  <c r="E28" i="53"/>
  <c r="F24" i="53"/>
  <c r="F25" i="53" s="1"/>
  <c r="F15" i="53"/>
  <c r="F16" i="53" s="1"/>
  <c r="F10" i="53"/>
  <c r="F11" i="53" s="1"/>
  <c r="C37" i="53" l="1"/>
  <c r="B23" i="53"/>
  <c r="B37" i="53"/>
  <c r="D9" i="53"/>
  <c r="D23" i="53"/>
  <c r="B9" i="53"/>
  <c r="D37" i="53"/>
  <c r="C23" i="53"/>
  <c r="C9" i="53"/>
  <c r="C15" i="53" s="1"/>
  <c r="G29" i="53"/>
  <c r="G15" i="53"/>
  <c r="G10" i="53"/>
  <c r="G24" i="53"/>
  <c r="G18" i="55"/>
  <c r="E17" i="55"/>
  <c r="E36" i="55" s="1"/>
  <c r="E41" i="55" s="1"/>
  <c r="F18" i="55"/>
  <c r="F60" i="55" s="1"/>
  <c r="H17" i="55"/>
  <c r="H36" i="55" s="1"/>
  <c r="D17" i="55"/>
  <c r="H18" i="55"/>
  <c r="H60" i="55" s="1"/>
  <c r="F17" i="55"/>
  <c r="F36" i="55" s="1"/>
  <c r="E18" i="55"/>
  <c r="E60" i="55" s="1"/>
  <c r="E65" i="55" s="1"/>
  <c r="G17" i="55"/>
  <c r="G36" i="55" s="1"/>
  <c r="C18" i="55"/>
  <c r="C60" i="55" s="1"/>
  <c r="C63" i="55" s="1"/>
  <c r="C79" i="55" s="1"/>
  <c r="D18" i="55"/>
  <c r="D60" i="55" s="1"/>
  <c r="D64" i="55" s="1"/>
  <c r="C17" i="55"/>
  <c r="C36" i="55" s="1"/>
  <c r="D39" i="55" s="1"/>
  <c r="D63" i="54"/>
  <c r="E62" i="56"/>
  <c r="C18" i="56"/>
  <c r="C60" i="56" s="1"/>
  <c r="C63" i="56" s="1"/>
  <c r="C79" i="56" s="1"/>
  <c r="B65" i="56"/>
  <c r="B45" i="56"/>
  <c r="E38" i="56"/>
  <c r="E62" i="54"/>
  <c r="E17" i="56"/>
  <c r="E36" i="56" s="1"/>
  <c r="G18" i="56"/>
  <c r="G60" i="56" s="1"/>
  <c r="D35" i="54"/>
  <c r="D40" i="54" s="1"/>
  <c r="E38" i="54"/>
  <c r="D64" i="54"/>
  <c r="B65" i="54"/>
  <c r="E18" i="56"/>
  <c r="E60" i="56" s="1"/>
  <c r="E18" i="54"/>
  <c r="E17" i="54"/>
  <c r="B41" i="54"/>
  <c r="F17" i="56"/>
  <c r="F36" i="56" s="1"/>
  <c r="F17" i="54"/>
  <c r="C43" i="53"/>
  <c r="F18" i="56"/>
  <c r="F60" i="56" s="1"/>
  <c r="F18" i="54"/>
  <c r="D18" i="56"/>
  <c r="D60" i="56" s="1"/>
  <c r="D64" i="56" s="1"/>
  <c r="D18" i="54"/>
  <c r="G38" i="55"/>
  <c r="F35" i="55"/>
  <c r="G62" i="55"/>
  <c r="F59" i="55"/>
  <c r="C18" i="54"/>
  <c r="B42" i="55"/>
  <c r="C17" i="56"/>
  <c r="C36" i="56" s="1"/>
  <c r="D39" i="56" s="1"/>
  <c r="B66" i="55"/>
  <c r="D17" i="56"/>
  <c r="D36" i="56" s="1"/>
  <c r="D17" i="54"/>
  <c r="G60" i="55"/>
  <c r="H18" i="56"/>
  <c r="H60" i="56" s="1"/>
  <c r="H17" i="56"/>
  <c r="H36" i="56" s="1"/>
  <c r="G17" i="56"/>
  <c r="G36" i="56" s="1"/>
  <c r="D80" i="49"/>
  <c r="D79" i="49"/>
  <c r="D81" i="49" s="1"/>
  <c r="G9" i="49" s="1"/>
  <c r="D74" i="49"/>
  <c r="C58" i="49"/>
  <c r="C60" i="49" s="1"/>
  <c r="C57" i="49"/>
  <c r="D54" i="49"/>
  <c r="D55" i="49" s="1"/>
  <c r="D52" i="49"/>
  <c r="H21" i="49"/>
  <c r="P20" i="49"/>
  <c r="X17" i="49"/>
  <c r="I17" i="49"/>
  <c r="D17" i="49"/>
  <c r="H17" i="49" s="1"/>
  <c r="X16" i="49"/>
  <c r="X15" i="49"/>
  <c r="R15" i="49"/>
  <c r="X14" i="49"/>
  <c r="R14" i="49"/>
  <c r="P14" i="49"/>
  <c r="X13" i="49"/>
  <c r="X12" i="49"/>
  <c r="X11" i="49"/>
  <c r="I11" i="49"/>
  <c r="D11" i="49"/>
  <c r="R11" i="49" s="1"/>
  <c r="X10" i="49"/>
  <c r="R10" i="49"/>
  <c r="I10" i="49"/>
  <c r="H10" i="49"/>
  <c r="H11" i="49" s="1"/>
  <c r="X9" i="49"/>
  <c r="R9" i="49"/>
  <c r="X8" i="49"/>
  <c r="Q8" i="49" s="1"/>
  <c r="R8" i="49"/>
  <c r="X7" i="49"/>
  <c r="R7" i="49"/>
  <c r="I7" i="49"/>
  <c r="H7" i="49"/>
  <c r="C42" i="53" l="1"/>
  <c r="C24" i="53"/>
  <c r="C14" i="53"/>
  <c r="C11" i="53"/>
  <c r="C16" i="53"/>
  <c r="C28" i="53"/>
  <c r="C39" i="53"/>
  <c r="C25" i="53"/>
  <c r="C29" i="53"/>
  <c r="C10" i="53"/>
  <c r="C44" i="53"/>
  <c r="C38" i="53"/>
  <c r="C30" i="53"/>
  <c r="F65" i="55"/>
  <c r="D40" i="56"/>
  <c r="Q10" i="49"/>
  <c r="E40" i="55"/>
  <c r="D40" i="55"/>
  <c r="D55" i="55" s="1"/>
  <c r="H23" i="53" s="1"/>
  <c r="G14" i="53"/>
  <c r="G28" i="53"/>
  <c r="C39" i="56"/>
  <c r="C55" i="56" s="1"/>
  <c r="G16" i="53"/>
  <c r="G30" i="53"/>
  <c r="D63" i="56"/>
  <c r="D79" i="56" s="1"/>
  <c r="D79" i="54"/>
  <c r="F41" i="55"/>
  <c r="E59" i="56"/>
  <c r="F62" i="56"/>
  <c r="E65" i="56"/>
  <c r="B66" i="56"/>
  <c r="D55" i="56"/>
  <c r="B46" i="56"/>
  <c r="E35" i="56"/>
  <c r="F38" i="56"/>
  <c r="E59" i="54"/>
  <c r="F62" i="54"/>
  <c r="D39" i="54"/>
  <c r="D55" i="54" s="1"/>
  <c r="B66" i="54"/>
  <c r="E35" i="54"/>
  <c r="F38" i="54"/>
  <c r="D63" i="55"/>
  <c r="D79" i="55" s="1"/>
  <c r="H28" i="53" s="1"/>
  <c r="B42" i="54"/>
  <c r="C39" i="55"/>
  <c r="C55" i="55" s="1"/>
  <c r="E63" i="55"/>
  <c r="G18" i="54"/>
  <c r="G43" i="53"/>
  <c r="F63" i="55"/>
  <c r="F39" i="55"/>
  <c r="F64" i="55"/>
  <c r="E64" i="55"/>
  <c r="F40" i="55"/>
  <c r="G35" i="55"/>
  <c r="H38" i="55"/>
  <c r="G38" i="53"/>
  <c r="B39" i="53"/>
  <c r="B28" i="53"/>
  <c r="B44" i="53"/>
  <c r="B14" i="53"/>
  <c r="B29" i="53"/>
  <c r="B24" i="53"/>
  <c r="B15" i="53"/>
  <c r="B10" i="53"/>
  <c r="B43" i="53"/>
  <c r="B38" i="53"/>
  <c r="B30" i="53"/>
  <c r="B25" i="53"/>
  <c r="B16" i="53"/>
  <c r="B42" i="53"/>
  <c r="B11" i="53"/>
  <c r="G17" i="54"/>
  <c r="B67" i="55"/>
  <c r="F66" i="55"/>
  <c r="F42" i="55"/>
  <c r="B43" i="55"/>
  <c r="G42" i="55"/>
  <c r="H62" i="55"/>
  <c r="G59" i="55"/>
  <c r="E39" i="55"/>
  <c r="D44" i="53"/>
  <c r="D43" i="53"/>
  <c r="D42" i="53"/>
  <c r="D24" i="53"/>
  <c r="D15" i="53"/>
  <c r="D10" i="53"/>
  <c r="D39" i="53"/>
  <c r="D30" i="53"/>
  <c r="D14" i="53"/>
  <c r="D28" i="53"/>
  <c r="D11" i="53"/>
  <c r="D38" i="53"/>
  <c r="D16" i="53"/>
  <c r="D29" i="53"/>
  <c r="D25" i="53"/>
  <c r="P17" i="49"/>
  <c r="Q17" i="49"/>
  <c r="P11" i="49"/>
  <c r="Q11" i="49"/>
  <c r="D62" i="49"/>
  <c r="E15" i="49"/>
  <c r="I9" i="49"/>
  <c r="Q9" i="49" s="1"/>
  <c r="H9" i="49"/>
  <c r="P9" i="49" s="1"/>
  <c r="D64" i="49"/>
  <c r="I15" i="49" s="1"/>
  <c r="Q15" i="49" s="1"/>
  <c r="P8" i="49"/>
  <c r="C59" i="49"/>
  <c r="P10" i="49"/>
  <c r="E55" i="55" l="1"/>
  <c r="I23" i="53" s="1"/>
  <c r="H29" i="53"/>
  <c r="H15" i="53"/>
  <c r="H10" i="53"/>
  <c r="H24" i="53"/>
  <c r="H30" i="53"/>
  <c r="H16" i="53"/>
  <c r="G23" i="53"/>
  <c r="G9" i="53"/>
  <c r="G11" i="53"/>
  <c r="G25" i="53"/>
  <c r="H11" i="53"/>
  <c r="H25" i="53"/>
  <c r="G62" i="56"/>
  <c r="F59" i="56"/>
  <c r="E63" i="56"/>
  <c r="E64" i="56"/>
  <c r="B67" i="56"/>
  <c r="F66" i="56"/>
  <c r="F35" i="56"/>
  <c r="F41" i="56" s="1"/>
  <c r="G38" i="56"/>
  <c r="E39" i="56"/>
  <c r="E41" i="56"/>
  <c r="E40" i="56"/>
  <c r="B47" i="56"/>
  <c r="G62" i="54"/>
  <c r="F59" i="54"/>
  <c r="F66" i="54" s="1"/>
  <c r="E63" i="54"/>
  <c r="E64" i="54"/>
  <c r="E65" i="54"/>
  <c r="E39" i="54"/>
  <c r="E40" i="54"/>
  <c r="B67" i="54"/>
  <c r="E41" i="54"/>
  <c r="G38" i="54"/>
  <c r="F35" i="54"/>
  <c r="F42" i="54" s="1"/>
  <c r="G44" i="53"/>
  <c r="B43" i="54"/>
  <c r="I9" i="53"/>
  <c r="B44" i="55"/>
  <c r="G43" i="55"/>
  <c r="B68" i="55"/>
  <c r="G67" i="55"/>
  <c r="H17" i="54"/>
  <c r="I38" i="55"/>
  <c r="H35" i="55"/>
  <c r="E79" i="55"/>
  <c r="I28" i="53" s="1"/>
  <c r="H59" i="55"/>
  <c r="I62" i="55"/>
  <c r="G39" i="55"/>
  <c r="G41" i="55"/>
  <c r="G40" i="55"/>
  <c r="G63" i="55"/>
  <c r="G64" i="55"/>
  <c r="G65" i="55"/>
  <c r="F55" i="55"/>
  <c r="J23" i="53" s="1"/>
  <c r="H9" i="53"/>
  <c r="G66" i="55"/>
  <c r="G42" i="53"/>
  <c r="F79" i="55"/>
  <c r="J28" i="53" s="1"/>
  <c r="H18" i="54"/>
  <c r="H14" i="53"/>
  <c r="Q26" i="49"/>
  <c r="D63" i="49"/>
  <c r="E15" i="38"/>
  <c r="D57" i="44"/>
  <c r="Q10" i="55" l="1"/>
  <c r="Q18" i="55" s="1"/>
  <c r="Q60" i="55" s="1"/>
  <c r="K10" i="55"/>
  <c r="K18" i="55" s="1"/>
  <c r="K60" i="55" s="1"/>
  <c r="N10" i="55"/>
  <c r="N18" i="55" s="1"/>
  <c r="N60" i="55" s="1"/>
  <c r="J10" i="55"/>
  <c r="J18" i="55" s="1"/>
  <c r="J60" i="55" s="1"/>
  <c r="M10" i="55"/>
  <c r="M18" i="55" s="1"/>
  <c r="M60" i="55" s="1"/>
  <c r="I10" i="55"/>
  <c r="I18" i="55" s="1"/>
  <c r="I60" i="55" s="1"/>
  <c r="P10" i="55"/>
  <c r="P18" i="55" s="1"/>
  <c r="P60" i="55" s="1"/>
  <c r="L10" i="55"/>
  <c r="L18" i="55" s="1"/>
  <c r="L60" i="55" s="1"/>
  <c r="O10" i="55"/>
  <c r="O18" i="55" s="1"/>
  <c r="O60" i="55" s="1"/>
  <c r="G39" i="53"/>
  <c r="H44" i="53"/>
  <c r="G37" i="53"/>
  <c r="H39" i="53"/>
  <c r="E79" i="56"/>
  <c r="F63" i="56"/>
  <c r="F64" i="56"/>
  <c r="F65" i="56"/>
  <c r="G59" i="56"/>
  <c r="H62" i="56"/>
  <c r="F42" i="56"/>
  <c r="G67" i="56"/>
  <c r="B68" i="56"/>
  <c r="E55" i="56"/>
  <c r="B48" i="56"/>
  <c r="G35" i="56"/>
  <c r="H38" i="56"/>
  <c r="F40" i="56"/>
  <c r="F39" i="56"/>
  <c r="F63" i="54"/>
  <c r="F64" i="54"/>
  <c r="F65" i="54"/>
  <c r="E79" i="54"/>
  <c r="G59" i="54"/>
  <c r="H62" i="54"/>
  <c r="I37" i="53"/>
  <c r="G35" i="54"/>
  <c r="G43" i="54" s="1"/>
  <c r="H38" i="54"/>
  <c r="B68" i="54"/>
  <c r="G67" i="54"/>
  <c r="F39" i="54"/>
  <c r="F40" i="54"/>
  <c r="E55" i="54"/>
  <c r="F41" i="54"/>
  <c r="B44" i="54"/>
  <c r="H43" i="53"/>
  <c r="B69" i="55"/>
  <c r="H68" i="55"/>
  <c r="H38" i="53"/>
  <c r="I14" i="53"/>
  <c r="H63" i="55"/>
  <c r="H39" i="55"/>
  <c r="H64" i="55"/>
  <c r="H65" i="55"/>
  <c r="H41" i="55"/>
  <c r="H40" i="55"/>
  <c r="H66" i="55"/>
  <c r="H42" i="55"/>
  <c r="H43" i="55"/>
  <c r="B45" i="55"/>
  <c r="H44" i="55"/>
  <c r="H42" i="53"/>
  <c r="H37" i="53"/>
  <c r="G79" i="55"/>
  <c r="K28" i="53" s="1"/>
  <c r="I59" i="55"/>
  <c r="J62" i="55"/>
  <c r="J38" i="55"/>
  <c r="I35" i="55"/>
  <c r="J14" i="53"/>
  <c r="G55" i="55"/>
  <c r="K23" i="53" s="1"/>
  <c r="J9" i="53"/>
  <c r="H67" i="55"/>
  <c r="H15" i="49"/>
  <c r="P15" i="49" s="1"/>
  <c r="P26" i="49" s="1"/>
  <c r="F63" i="49"/>
  <c r="M9" i="55" l="1"/>
  <c r="M17" i="55" s="1"/>
  <c r="M36" i="55" s="1"/>
  <c r="L9" i="55"/>
  <c r="L17" i="55" s="1"/>
  <c r="L36" i="55" s="1"/>
  <c r="O9" i="55"/>
  <c r="O17" i="55" s="1"/>
  <c r="O36" i="55" s="1"/>
  <c r="K9" i="55"/>
  <c r="K17" i="55" s="1"/>
  <c r="K36" i="55" s="1"/>
  <c r="N9" i="55"/>
  <c r="N17" i="55" s="1"/>
  <c r="N36" i="55" s="1"/>
  <c r="J9" i="55"/>
  <c r="J17" i="55" s="1"/>
  <c r="J36" i="55" s="1"/>
  <c r="Q9" i="55"/>
  <c r="Q17" i="55" s="1"/>
  <c r="Q36" i="55" s="1"/>
  <c r="I9" i="55"/>
  <c r="I17" i="55" s="1"/>
  <c r="I36" i="55" s="1"/>
  <c r="I45" i="55" s="1"/>
  <c r="P9" i="55"/>
  <c r="P17" i="55" s="1"/>
  <c r="P36" i="55" s="1"/>
  <c r="I15" i="53"/>
  <c r="I29" i="53"/>
  <c r="I10" i="53"/>
  <c r="I24" i="53"/>
  <c r="I16" i="53"/>
  <c r="I30" i="53"/>
  <c r="I11" i="53"/>
  <c r="I25" i="53"/>
  <c r="G65" i="56"/>
  <c r="G64" i="56"/>
  <c r="G63" i="56"/>
  <c r="G66" i="56"/>
  <c r="H59" i="56"/>
  <c r="H68" i="56" s="1"/>
  <c r="I62" i="56"/>
  <c r="F79" i="56"/>
  <c r="B69" i="56"/>
  <c r="H35" i="56"/>
  <c r="I38" i="56"/>
  <c r="B49" i="56"/>
  <c r="G39" i="56"/>
  <c r="G40" i="56"/>
  <c r="G42" i="56"/>
  <c r="H44" i="56"/>
  <c r="G41" i="56"/>
  <c r="H43" i="56"/>
  <c r="G43" i="56"/>
  <c r="F55" i="56"/>
  <c r="F79" i="54"/>
  <c r="I62" i="54"/>
  <c r="H59" i="54"/>
  <c r="H67" i="54" s="1"/>
  <c r="G65" i="54"/>
  <c r="G64" i="54"/>
  <c r="G63" i="54"/>
  <c r="G66" i="54"/>
  <c r="F55" i="54"/>
  <c r="B69" i="54"/>
  <c r="I38" i="54"/>
  <c r="H35" i="54"/>
  <c r="H44" i="54" s="1"/>
  <c r="G39" i="54"/>
  <c r="G40" i="54"/>
  <c r="G41" i="54"/>
  <c r="G42" i="54"/>
  <c r="H43" i="54"/>
  <c r="B45" i="54"/>
  <c r="J37" i="53"/>
  <c r="J42" i="53"/>
  <c r="K9" i="53"/>
  <c r="I64" i="55"/>
  <c r="I63" i="55"/>
  <c r="I41" i="55"/>
  <c r="I39" i="55"/>
  <c r="I65" i="55"/>
  <c r="I40" i="55"/>
  <c r="I42" i="55"/>
  <c r="I66" i="55"/>
  <c r="I43" i="55"/>
  <c r="I67" i="55"/>
  <c r="K62" i="55"/>
  <c r="J59" i="55"/>
  <c r="B46" i="55"/>
  <c r="H55" i="55"/>
  <c r="L23" i="53" s="1"/>
  <c r="I69" i="55"/>
  <c r="B70" i="55"/>
  <c r="K38" i="55"/>
  <c r="J35" i="55"/>
  <c r="H79" i="55"/>
  <c r="L28" i="53" s="1"/>
  <c r="I68" i="55"/>
  <c r="K14" i="53"/>
  <c r="I44" i="55"/>
  <c r="I42" i="53"/>
  <c r="I38" i="53" l="1"/>
  <c r="J15" i="53"/>
  <c r="J29" i="53"/>
  <c r="I44" i="53"/>
  <c r="I43" i="53"/>
  <c r="J10" i="53"/>
  <c r="J24" i="53"/>
  <c r="I39" i="53"/>
  <c r="J16" i="53"/>
  <c r="J30" i="53"/>
  <c r="J11" i="53"/>
  <c r="J25" i="53"/>
  <c r="G55" i="54"/>
  <c r="H68" i="54"/>
  <c r="G79" i="54"/>
  <c r="G79" i="56"/>
  <c r="I59" i="56"/>
  <c r="J62" i="56"/>
  <c r="H63" i="56"/>
  <c r="H64" i="56"/>
  <c r="H65" i="56"/>
  <c r="H66" i="56"/>
  <c r="H67" i="56"/>
  <c r="B70" i="56"/>
  <c r="B50" i="56"/>
  <c r="G55" i="56"/>
  <c r="I35" i="56"/>
  <c r="I40" i="56" s="1"/>
  <c r="J38" i="56"/>
  <c r="H39" i="56"/>
  <c r="H40" i="56"/>
  <c r="H41" i="56"/>
  <c r="H42" i="56"/>
  <c r="H66" i="54"/>
  <c r="H65" i="54"/>
  <c r="H63" i="54"/>
  <c r="H64" i="54"/>
  <c r="I59" i="54"/>
  <c r="J62" i="54"/>
  <c r="B70" i="54"/>
  <c r="H39" i="54"/>
  <c r="H42" i="54"/>
  <c r="H40" i="54"/>
  <c r="H41" i="54"/>
  <c r="I35" i="54"/>
  <c r="J38" i="54"/>
  <c r="B46" i="54"/>
  <c r="K42" i="53"/>
  <c r="K37" i="53"/>
  <c r="L14" i="53"/>
  <c r="J63" i="55"/>
  <c r="J39" i="55"/>
  <c r="J40" i="55"/>
  <c r="J64" i="55"/>
  <c r="J65" i="55"/>
  <c r="J41" i="55"/>
  <c r="J66" i="55"/>
  <c r="J42" i="55"/>
  <c r="J67" i="55"/>
  <c r="J43" i="55"/>
  <c r="J44" i="55"/>
  <c r="J68" i="55"/>
  <c r="B71" i="55"/>
  <c r="J70" i="55"/>
  <c r="L9" i="53"/>
  <c r="K46" i="55"/>
  <c r="B47" i="55"/>
  <c r="J46" i="55"/>
  <c r="L62" i="55"/>
  <c r="K59" i="55"/>
  <c r="K35" i="55"/>
  <c r="K70" i="55" s="1"/>
  <c r="L38" i="55"/>
  <c r="J45" i="55"/>
  <c r="I79" i="55"/>
  <c r="J69" i="55"/>
  <c r="I55" i="55"/>
  <c r="M23" i="53" s="1"/>
  <c r="J43" i="53" l="1"/>
  <c r="M14" i="53"/>
  <c r="M28" i="53"/>
  <c r="J38" i="53"/>
  <c r="J44" i="53"/>
  <c r="K29" i="53"/>
  <c r="K15" i="53"/>
  <c r="K10" i="53"/>
  <c r="K24" i="53"/>
  <c r="K16" i="53"/>
  <c r="K30" i="53"/>
  <c r="K11" i="53"/>
  <c r="K25" i="53"/>
  <c r="J39" i="53"/>
  <c r="H79" i="56"/>
  <c r="J59" i="56"/>
  <c r="K62" i="56"/>
  <c r="I63" i="56"/>
  <c r="I65" i="56"/>
  <c r="I66" i="56"/>
  <c r="I64" i="56"/>
  <c r="I67" i="56"/>
  <c r="I68" i="56"/>
  <c r="H55" i="56"/>
  <c r="B71" i="56"/>
  <c r="I39" i="56"/>
  <c r="I41" i="56"/>
  <c r="I42" i="56"/>
  <c r="I44" i="56"/>
  <c r="I43" i="56"/>
  <c r="B51" i="56"/>
  <c r="J35" i="56"/>
  <c r="K38" i="56"/>
  <c r="H79" i="54"/>
  <c r="K62" i="54"/>
  <c r="J59" i="54"/>
  <c r="I67" i="54"/>
  <c r="I66" i="54"/>
  <c r="I63" i="54"/>
  <c r="I64" i="54"/>
  <c r="I68" i="54"/>
  <c r="I65" i="54"/>
  <c r="H55" i="54"/>
  <c r="J35" i="54"/>
  <c r="K38" i="54"/>
  <c r="I42" i="54"/>
  <c r="I39" i="54"/>
  <c r="I40" i="54"/>
  <c r="I41" i="54"/>
  <c r="I43" i="54"/>
  <c r="I44" i="54"/>
  <c r="B71" i="54"/>
  <c r="B47" i="54"/>
  <c r="M9" i="53"/>
  <c r="L59" i="55"/>
  <c r="M62" i="55"/>
  <c r="K47" i="55"/>
  <c r="B48" i="55"/>
  <c r="L35" i="55"/>
  <c r="M38" i="55"/>
  <c r="L37" i="53"/>
  <c r="L71" i="55"/>
  <c r="B72" i="55"/>
  <c r="K71" i="55"/>
  <c r="L42" i="53"/>
  <c r="J79" i="55"/>
  <c r="K39" i="55"/>
  <c r="K63" i="55"/>
  <c r="K65" i="55"/>
  <c r="K40" i="55"/>
  <c r="K41" i="55"/>
  <c r="K64" i="55"/>
  <c r="K42" i="55"/>
  <c r="K66" i="55"/>
  <c r="K67" i="55"/>
  <c r="K43" i="55"/>
  <c r="K44" i="55"/>
  <c r="K68" i="55"/>
  <c r="K69" i="55"/>
  <c r="K45" i="55"/>
  <c r="J55" i="55"/>
  <c r="N23" i="53" s="1"/>
  <c r="N28" i="53" l="1"/>
  <c r="N14" i="53"/>
  <c r="K44" i="53"/>
  <c r="K43" i="53"/>
  <c r="L29" i="53"/>
  <c r="L15" i="53"/>
  <c r="K38" i="53"/>
  <c r="L10" i="53"/>
  <c r="L24" i="53"/>
  <c r="L30" i="53"/>
  <c r="L16" i="53"/>
  <c r="L11" i="53"/>
  <c r="L25" i="53"/>
  <c r="K39" i="53"/>
  <c r="K59" i="56"/>
  <c r="L62" i="56"/>
  <c r="J67" i="56"/>
  <c r="J64" i="56"/>
  <c r="J65" i="56"/>
  <c r="J66" i="56"/>
  <c r="J68" i="56"/>
  <c r="J63" i="56"/>
  <c r="B72" i="56"/>
  <c r="K35" i="56"/>
  <c r="L38" i="56"/>
  <c r="J40" i="56"/>
  <c r="J39" i="56"/>
  <c r="J41" i="56"/>
  <c r="J42" i="56"/>
  <c r="J43" i="56"/>
  <c r="J44" i="56"/>
  <c r="B52" i="56"/>
  <c r="J65" i="54"/>
  <c r="J63" i="54"/>
  <c r="J68" i="54"/>
  <c r="J64" i="54"/>
  <c r="J66" i="54"/>
  <c r="J67" i="54"/>
  <c r="K59" i="54"/>
  <c r="L62" i="54"/>
  <c r="B72" i="54"/>
  <c r="K35" i="54"/>
  <c r="L38" i="54"/>
  <c r="J43" i="54"/>
  <c r="J42" i="54"/>
  <c r="J39" i="54"/>
  <c r="J40" i="54"/>
  <c r="J41" i="54"/>
  <c r="J44" i="54"/>
  <c r="B48" i="54"/>
  <c r="M37" i="53"/>
  <c r="N9" i="53"/>
  <c r="K79" i="55"/>
  <c r="N38" i="55"/>
  <c r="M35" i="55"/>
  <c r="L48" i="55"/>
  <c r="B49" i="55"/>
  <c r="M48" i="55"/>
  <c r="K55" i="55"/>
  <c r="O23" i="53" s="1"/>
  <c r="L63" i="55"/>
  <c r="L64" i="55"/>
  <c r="L41" i="55"/>
  <c r="L39" i="55"/>
  <c r="L65" i="55"/>
  <c r="L40" i="55"/>
  <c r="L42" i="55"/>
  <c r="L66" i="55"/>
  <c r="L43" i="55"/>
  <c r="L67" i="55"/>
  <c r="L68" i="55"/>
  <c r="L44" i="55"/>
  <c r="L45" i="55"/>
  <c r="L69" i="55"/>
  <c r="L70" i="55"/>
  <c r="L46" i="55"/>
  <c r="M42" i="53"/>
  <c r="L72" i="55"/>
  <c r="B73" i="55"/>
  <c r="L47" i="55"/>
  <c r="M59" i="55"/>
  <c r="N62" i="55"/>
  <c r="L43" i="53" l="1"/>
  <c r="O28" i="53"/>
  <c r="O14" i="53"/>
  <c r="L44" i="53"/>
  <c r="L39" i="53"/>
  <c r="L38" i="53"/>
  <c r="L59" i="56"/>
  <c r="M62" i="56"/>
  <c r="K64" i="56"/>
  <c r="K67" i="56"/>
  <c r="K65" i="56"/>
  <c r="K66" i="56"/>
  <c r="K63" i="56"/>
  <c r="K68" i="56"/>
  <c r="B73" i="56"/>
  <c r="B53" i="56"/>
  <c r="L35" i="56"/>
  <c r="M38" i="56"/>
  <c r="K39" i="56"/>
  <c r="K40" i="56"/>
  <c r="K42" i="56"/>
  <c r="K41" i="56"/>
  <c r="K43" i="56"/>
  <c r="K44" i="56"/>
  <c r="L59" i="54"/>
  <c r="M62" i="54"/>
  <c r="K65" i="54"/>
  <c r="K66" i="54"/>
  <c r="K64" i="54"/>
  <c r="K67" i="54"/>
  <c r="K63" i="54"/>
  <c r="K68" i="54"/>
  <c r="K44" i="54"/>
  <c r="K40" i="54"/>
  <c r="K39" i="54"/>
  <c r="K41" i="54"/>
  <c r="K42" i="54"/>
  <c r="K43" i="54"/>
  <c r="M38" i="54"/>
  <c r="L35" i="54"/>
  <c r="B73" i="54"/>
  <c r="B49" i="54"/>
  <c r="N37" i="53"/>
  <c r="M64" i="55"/>
  <c r="M63" i="55"/>
  <c r="M39" i="55"/>
  <c r="M40" i="55"/>
  <c r="M41" i="55"/>
  <c r="M65" i="55"/>
  <c r="M66" i="55"/>
  <c r="M42" i="55"/>
  <c r="M43" i="55"/>
  <c r="M67" i="55"/>
  <c r="M68" i="55"/>
  <c r="M44" i="55"/>
  <c r="M45" i="55"/>
  <c r="M69" i="55"/>
  <c r="M46" i="55"/>
  <c r="M70" i="55"/>
  <c r="M47" i="55"/>
  <c r="M71" i="55"/>
  <c r="O62" i="55"/>
  <c r="N59" i="55"/>
  <c r="B50" i="55"/>
  <c r="M49" i="55"/>
  <c r="N35" i="55"/>
  <c r="N49" i="55" s="1"/>
  <c r="O38" i="55"/>
  <c r="M73" i="55"/>
  <c r="B74" i="55"/>
  <c r="N73" i="55"/>
  <c r="L79" i="55"/>
  <c r="M72" i="55"/>
  <c r="N42" i="53"/>
  <c r="L55" i="55"/>
  <c r="P23" i="53" s="1"/>
  <c r="O9" i="53"/>
  <c r="P28" i="53" l="1"/>
  <c r="P14" i="53"/>
  <c r="N62" i="56"/>
  <c r="M59" i="56"/>
  <c r="L63" i="56"/>
  <c r="L67" i="56"/>
  <c r="L64" i="56"/>
  <c r="L68" i="56"/>
  <c r="L65" i="56"/>
  <c r="L66" i="56"/>
  <c r="B74" i="56"/>
  <c r="M35" i="56"/>
  <c r="N38" i="56"/>
  <c r="L39" i="56"/>
  <c r="L40" i="56"/>
  <c r="L42" i="56"/>
  <c r="L41" i="56"/>
  <c r="L44" i="56"/>
  <c r="L43" i="56"/>
  <c r="N62" i="54"/>
  <c r="M59" i="54"/>
  <c r="L64" i="54"/>
  <c r="L68" i="54"/>
  <c r="L65" i="54"/>
  <c r="L63" i="54"/>
  <c r="L67" i="54"/>
  <c r="L66" i="54"/>
  <c r="L42" i="54"/>
  <c r="L39" i="54"/>
  <c r="L43" i="54"/>
  <c r="L40" i="54"/>
  <c r="L44" i="54"/>
  <c r="L41" i="54"/>
  <c r="N38" i="54"/>
  <c r="M35" i="54"/>
  <c r="B74" i="54"/>
  <c r="B50" i="54"/>
  <c r="O42" i="53"/>
  <c r="M55" i="55"/>
  <c r="Q23" i="53" s="1"/>
  <c r="O37" i="53"/>
  <c r="B75" i="55"/>
  <c r="N74" i="55"/>
  <c r="O74" i="55"/>
  <c r="O35" i="55"/>
  <c r="P38" i="55"/>
  <c r="P62" i="55"/>
  <c r="O59" i="55"/>
  <c r="M79" i="55"/>
  <c r="N63" i="55"/>
  <c r="N64" i="55"/>
  <c r="N39" i="55"/>
  <c r="N41" i="55"/>
  <c r="N40" i="55"/>
  <c r="N65" i="55"/>
  <c r="N42" i="55"/>
  <c r="N66" i="55"/>
  <c r="N43" i="55"/>
  <c r="N67" i="55"/>
  <c r="N68" i="55"/>
  <c r="N44" i="55"/>
  <c r="N45" i="55"/>
  <c r="N69" i="55"/>
  <c r="N46" i="55"/>
  <c r="N70" i="55"/>
  <c r="N47" i="55"/>
  <c r="N71" i="55"/>
  <c r="N48" i="55"/>
  <c r="N72" i="55"/>
  <c r="O50" i="55"/>
  <c r="B51" i="55"/>
  <c r="N50" i="55"/>
  <c r="P9" i="53"/>
  <c r="Q14" i="53" l="1"/>
  <c r="Q28" i="53"/>
  <c r="O62" i="56"/>
  <c r="N59" i="56"/>
  <c r="M63" i="56"/>
  <c r="M67" i="56"/>
  <c r="M64" i="56"/>
  <c r="M65" i="56"/>
  <c r="M66" i="56"/>
  <c r="M68" i="56"/>
  <c r="B75" i="56"/>
  <c r="N35" i="56"/>
  <c r="O38" i="56"/>
  <c r="M39" i="56"/>
  <c r="M40" i="56"/>
  <c r="M42" i="56"/>
  <c r="M41" i="56"/>
  <c r="M43" i="56"/>
  <c r="M44" i="56"/>
  <c r="M64" i="54"/>
  <c r="M68" i="54"/>
  <c r="M65" i="54"/>
  <c r="M66" i="54"/>
  <c r="M63" i="54"/>
  <c r="M67" i="54"/>
  <c r="O62" i="54"/>
  <c r="N59" i="54"/>
  <c r="O38" i="54"/>
  <c r="N35" i="54"/>
  <c r="M41" i="54"/>
  <c r="M42" i="54"/>
  <c r="M39" i="54"/>
  <c r="M43" i="54"/>
  <c r="M40" i="54"/>
  <c r="M44" i="54"/>
  <c r="B75" i="54"/>
  <c r="B51" i="54"/>
  <c r="B52" i="55"/>
  <c r="O51" i="55"/>
  <c r="N55" i="55"/>
  <c r="R23" i="53" s="1"/>
  <c r="Q38" i="55"/>
  <c r="Q35" i="55" s="1"/>
  <c r="P35" i="55"/>
  <c r="B76" i="55"/>
  <c r="P75" i="55"/>
  <c r="Q75" i="55"/>
  <c r="O75" i="55"/>
  <c r="P42" i="53"/>
  <c r="O39" i="55"/>
  <c r="O63" i="55"/>
  <c r="O40" i="55"/>
  <c r="O65" i="55"/>
  <c r="O41" i="55"/>
  <c r="O64" i="55"/>
  <c r="O42" i="55"/>
  <c r="O66" i="55"/>
  <c r="O43" i="55"/>
  <c r="O67" i="55"/>
  <c r="O68" i="55"/>
  <c r="O44" i="55"/>
  <c r="O45" i="55"/>
  <c r="O69" i="55"/>
  <c r="O70" i="55"/>
  <c r="O46" i="55"/>
  <c r="O47" i="55"/>
  <c r="O71" i="55"/>
  <c r="O48" i="55"/>
  <c r="O72" i="55"/>
  <c r="O49" i="55"/>
  <c r="O73" i="55"/>
  <c r="Q9" i="53"/>
  <c r="N79" i="55"/>
  <c r="P59" i="55"/>
  <c r="Q62" i="55"/>
  <c r="Q59" i="55" s="1"/>
  <c r="P37" i="53"/>
  <c r="R28" i="53" l="1"/>
  <c r="R14" i="53"/>
  <c r="N63" i="56"/>
  <c r="N67" i="56"/>
  <c r="N64" i="56"/>
  <c r="N68" i="56"/>
  <c r="N65" i="56"/>
  <c r="N66" i="56"/>
  <c r="O59" i="56"/>
  <c r="P62" i="56"/>
  <c r="B76" i="56"/>
  <c r="N39" i="56"/>
  <c r="N40" i="56"/>
  <c r="N41" i="56"/>
  <c r="N42" i="56"/>
  <c r="N44" i="56"/>
  <c r="N43" i="56"/>
  <c r="O35" i="56"/>
  <c r="P38" i="56"/>
  <c r="O59" i="54"/>
  <c r="P62" i="54"/>
  <c r="N63" i="54"/>
  <c r="N67" i="54"/>
  <c r="N64" i="54"/>
  <c r="N68" i="54"/>
  <c r="N65" i="54"/>
  <c r="N66" i="54"/>
  <c r="B76" i="54"/>
  <c r="O35" i="54"/>
  <c r="P38" i="54"/>
  <c r="N40" i="54"/>
  <c r="N44" i="54"/>
  <c r="N41" i="54"/>
  <c r="N42" i="54"/>
  <c r="N39" i="54"/>
  <c r="N43" i="54"/>
  <c r="B52" i="54"/>
  <c r="Q37" i="53"/>
  <c r="Q42" i="53"/>
  <c r="P63" i="55"/>
  <c r="P64" i="55"/>
  <c r="P39" i="55"/>
  <c r="P65" i="55"/>
  <c r="P41" i="55"/>
  <c r="P40" i="55"/>
  <c r="P66" i="55"/>
  <c r="P42" i="55"/>
  <c r="P67" i="55"/>
  <c r="P43" i="55"/>
  <c r="P68" i="55"/>
  <c r="P44" i="55"/>
  <c r="P45" i="55"/>
  <c r="P69" i="55"/>
  <c r="P46" i="55"/>
  <c r="P70" i="55"/>
  <c r="P71" i="55"/>
  <c r="P47" i="55"/>
  <c r="P72" i="55"/>
  <c r="P48" i="55"/>
  <c r="P73" i="55"/>
  <c r="P49" i="55"/>
  <c r="P74" i="55"/>
  <c r="P50" i="55"/>
  <c r="P51" i="55"/>
  <c r="Q64" i="55"/>
  <c r="Q63" i="55"/>
  <c r="Q41" i="55"/>
  <c r="Q39" i="55"/>
  <c r="Q65" i="55"/>
  <c r="Q40" i="55"/>
  <c r="Q66" i="55"/>
  <c r="Q42" i="55"/>
  <c r="Q67" i="55"/>
  <c r="Q43" i="55"/>
  <c r="Q68" i="55"/>
  <c r="Q44" i="55"/>
  <c r="Q69" i="55"/>
  <c r="Q45" i="55"/>
  <c r="Q70" i="55"/>
  <c r="Q46" i="55"/>
  <c r="Q71" i="55"/>
  <c r="Q47" i="55"/>
  <c r="Q48" i="55"/>
  <c r="Q72" i="55"/>
  <c r="Q49" i="55"/>
  <c r="Q73" i="55"/>
  <c r="Q74" i="55"/>
  <c r="Q50" i="55"/>
  <c r="R9" i="53"/>
  <c r="Q51" i="55"/>
  <c r="O79" i="55"/>
  <c r="O55" i="55"/>
  <c r="S23" i="53" s="1"/>
  <c r="Q76" i="55"/>
  <c r="B77" i="55"/>
  <c r="Q77" i="55" s="1"/>
  <c r="P76" i="55"/>
  <c r="B53" i="55"/>
  <c r="Q53" i="55" s="1"/>
  <c r="P52" i="55"/>
  <c r="Q52" i="55"/>
  <c r="S28" i="53" l="1"/>
  <c r="S14" i="53"/>
  <c r="O63" i="56"/>
  <c r="O68" i="56"/>
  <c r="O66" i="56"/>
  <c r="O64" i="56"/>
  <c r="O65" i="56"/>
  <c r="O67" i="56"/>
  <c r="P59" i="56"/>
  <c r="Q62" i="56"/>
  <c r="Q59" i="56" s="1"/>
  <c r="B77" i="56"/>
  <c r="P35" i="56"/>
  <c r="Q38" i="56"/>
  <c r="Q35" i="56" s="1"/>
  <c r="O39" i="56"/>
  <c r="O40" i="56"/>
  <c r="O41" i="56"/>
  <c r="O42" i="56"/>
  <c r="O44" i="56"/>
  <c r="O43" i="56"/>
  <c r="P59" i="54"/>
  <c r="Q62" i="54"/>
  <c r="Q59" i="54" s="1"/>
  <c r="O66" i="54"/>
  <c r="O64" i="54"/>
  <c r="O67" i="54"/>
  <c r="O63" i="54"/>
  <c r="O68" i="54"/>
  <c r="O65" i="54"/>
  <c r="P35" i="54"/>
  <c r="Q38" i="54"/>
  <c r="Q35" i="54" s="1"/>
  <c r="O42" i="54"/>
  <c r="O39" i="54"/>
  <c r="O43" i="54"/>
  <c r="O40" i="54"/>
  <c r="O44" i="54"/>
  <c r="O41" i="54"/>
  <c r="B77" i="54"/>
  <c r="B53" i="54"/>
  <c r="S9" i="53"/>
  <c r="Q55" i="55"/>
  <c r="U23" i="53" s="1"/>
  <c r="P79" i="55"/>
  <c r="R42" i="53"/>
  <c r="R37" i="53"/>
  <c r="Q79" i="55"/>
  <c r="P55" i="55"/>
  <c r="T23" i="53" s="1"/>
  <c r="U14" i="53" l="1"/>
  <c r="U28" i="53"/>
  <c r="T28" i="53"/>
  <c r="T14" i="53"/>
  <c r="P66" i="56"/>
  <c r="P67" i="56"/>
  <c r="P64" i="56"/>
  <c r="P68" i="56"/>
  <c r="P65" i="56"/>
  <c r="P63" i="56"/>
  <c r="Q65" i="56"/>
  <c r="Q63" i="56"/>
  <c r="Q67" i="56"/>
  <c r="Q64" i="56"/>
  <c r="Q68" i="56"/>
  <c r="Q66" i="56"/>
  <c r="P39" i="56"/>
  <c r="P40" i="56"/>
  <c r="P41" i="56"/>
  <c r="P42" i="56"/>
  <c r="P44" i="56"/>
  <c r="P43" i="56"/>
  <c r="Q39" i="56"/>
  <c r="Q40" i="56"/>
  <c r="Q41" i="56"/>
  <c r="Q42" i="56"/>
  <c r="Q43" i="56"/>
  <c r="Q44" i="56"/>
  <c r="Q66" i="54"/>
  <c r="Q63" i="54"/>
  <c r="Q67" i="54"/>
  <c r="Q68" i="54"/>
  <c r="Q65" i="54"/>
  <c r="Q64" i="54"/>
  <c r="P65" i="54"/>
  <c r="P66" i="54"/>
  <c r="P63" i="54"/>
  <c r="P67" i="54"/>
  <c r="P64" i="54"/>
  <c r="P68" i="54"/>
  <c r="P42" i="54"/>
  <c r="P39" i="54"/>
  <c r="P43" i="54"/>
  <c r="P41" i="54"/>
  <c r="P40" i="54"/>
  <c r="P44" i="54"/>
  <c r="Q40" i="54"/>
  <c r="Q44" i="54"/>
  <c r="Q41" i="54"/>
  <c r="Q39" i="54"/>
  <c r="Q43" i="54"/>
  <c r="Q42" i="54"/>
  <c r="S37" i="53"/>
  <c r="S42" i="53"/>
  <c r="T9" i="53"/>
  <c r="U9" i="53"/>
  <c r="U42" i="53" l="1"/>
  <c r="U37" i="53"/>
  <c r="T42" i="53"/>
  <c r="T37" i="53"/>
  <c r="D17" i="38" l="1"/>
  <c r="H17" i="38" s="1"/>
  <c r="X17" i="38"/>
  <c r="P17" i="38" l="1"/>
  <c r="I17" i="38"/>
  <c r="Q17" i="38" s="1"/>
  <c r="D54" i="38"/>
  <c r="D55" i="38" s="1"/>
  <c r="D62" i="38" s="1"/>
  <c r="P14" i="38"/>
  <c r="C57" i="38"/>
  <c r="C58" i="38" s="1"/>
  <c r="C60" i="38" s="1"/>
  <c r="D52" i="38"/>
  <c r="X7" i="38"/>
  <c r="C59" i="38" l="1"/>
  <c r="D63" i="38" s="1"/>
  <c r="D64" i="38"/>
  <c r="I15" i="38" s="1"/>
  <c r="F63" i="38" l="1"/>
  <c r="H15" i="38"/>
  <c r="X16" i="38" l="1"/>
  <c r="X15" i="38"/>
  <c r="P15" i="38" s="1"/>
  <c r="P28" i="38" s="1"/>
  <c r="X14" i="38"/>
  <c r="X13" i="38"/>
  <c r="X12" i="38"/>
  <c r="X11" i="38"/>
  <c r="X10" i="38"/>
  <c r="X9" i="38"/>
  <c r="X8" i="38"/>
  <c r="Q8" i="38" l="1"/>
  <c r="P8" i="38"/>
  <c r="I10" i="38"/>
  <c r="Q10" i="38" s="1"/>
  <c r="H10" i="38"/>
  <c r="P10" i="38" s="1"/>
  <c r="H21" i="38" l="1"/>
  <c r="P20" i="38"/>
  <c r="D11" i="38" l="1"/>
  <c r="D80" i="38"/>
  <c r="D79" i="38"/>
  <c r="F32" i="44"/>
  <c r="D74" i="38" s="1"/>
  <c r="R9" i="38" s="1"/>
  <c r="F26" i="44"/>
  <c r="R14" i="38"/>
  <c r="R7" i="38"/>
  <c r="I7" i="38"/>
  <c r="H7" i="38"/>
  <c r="I11" i="38" l="1"/>
  <c r="Q11" i="38" s="1"/>
  <c r="H11" i="38"/>
  <c r="P11" i="38" s="1"/>
  <c r="R11" i="38"/>
  <c r="R8" i="38"/>
  <c r="D81" i="38"/>
  <c r="G9" i="38" s="1"/>
  <c r="R15" i="38"/>
  <c r="R10" i="38"/>
  <c r="O78" i="37"/>
  <c r="O80" i="37" s="1"/>
  <c r="S98" i="37" s="1"/>
  <c r="U98" i="37" s="1"/>
  <c r="L80" i="37"/>
  <c r="S96" i="37" s="1"/>
  <c r="U96" i="37" s="1"/>
  <c r="K80" i="37"/>
  <c r="S95" i="37" s="1"/>
  <c r="T95" i="37" s="1"/>
  <c r="AC58" i="37"/>
  <c r="AB58" i="37"/>
  <c r="AC57" i="37"/>
  <c r="AB57" i="37"/>
  <c r="AC56" i="37"/>
  <c r="AB56" i="37"/>
  <c r="AC55" i="37"/>
  <c r="AB55" i="37"/>
  <c r="AA66" i="37"/>
  <c r="AA65" i="37"/>
  <c r="AA64" i="37"/>
  <c r="AA63" i="37"/>
  <c r="AA62" i="37"/>
  <c r="AA61" i="37"/>
  <c r="AA59" i="37"/>
  <c r="AA58" i="37"/>
  <c r="AA57" i="37"/>
  <c r="AA56" i="37"/>
  <c r="AA55" i="37"/>
  <c r="AC42" i="37"/>
  <c r="AB42" i="37"/>
  <c r="AC41" i="37"/>
  <c r="AB41" i="37"/>
  <c r="AC40" i="37"/>
  <c r="AB40" i="37"/>
  <c r="AC39" i="37"/>
  <c r="AB39" i="37"/>
  <c r="AC26" i="37"/>
  <c r="AB26" i="37"/>
  <c r="AC25" i="37"/>
  <c r="AB25" i="37"/>
  <c r="AC24" i="37"/>
  <c r="AB24" i="37"/>
  <c r="AC23" i="37"/>
  <c r="AB23" i="37"/>
  <c r="AC9" i="37"/>
  <c r="AC8" i="37"/>
  <c r="AC7" i="37"/>
  <c r="AC6" i="37"/>
  <c r="AB9" i="37"/>
  <c r="AB8" i="37"/>
  <c r="AB7" i="37"/>
  <c r="AB6" i="37"/>
  <c r="AA50" i="37"/>
  <c r="AA49" i="37"/>
  <c r="AA48" i="37"/>
  <c r="AA47" i="37"/>
  <c r="AA46" i="37"/>
  <c r="AA45" i="37"/>
  <c r="AA43" i="37"/>
  <c r="AA42" i="37"/>
  <c r="AA41" i="37"/>
  <c r="AA40" i="37"/>
  <c r="AA39" i="37"/>
  <c r="AA34" i="37"/>
  <c r="AA33" i="37"/>
  <c r="AA32" i="37"/>
  <c r="AA31" i="37"/>
  <c r="AA30" i="37"/>
  <c r="AA29" i="37"/>
  <c r="AA27" i="37"/>
  <c r="AA26" i="37"/>
  <c r="AA25" i="37"/>
  <c r="AA24" i="37"/>
  <c r="AA23" i="37"/>
  <c r="AA17" i="37"/>
  <c r="AA16" i="37"/>
  <c r="AA15" i="37"/>
  <c r="AA14" i="37"/>
  <c r="AA13" i="37"/>
  <c r="AA12" i="37"/>
  <c r="AA10" i="37"/>
  <c r="AA9" i="37"/>
  <c r="AA8" i="37"/>
  <c r="AA7" i="37"/>
  <c r="AA6" i="37"/>
  <c r="G91" i="37"/>
  <c r="F91" i="37"/>
  <c r="E91" i="37"/>
  <c r="D91" i="37"/>
  <c r="C91" i="37"/>
  <c r="B91" i="37"/>
  <c r="G90" i="37"/>
  <c r="F90" i="37"/>
  <c r="E90" i="37"/>
  <c r="D90" i="37"/>
  <c r="C90" i="37"/>
  <c r="B90" i="37"/>
  <c r="G89" i="37"/>
  <c r="F89" i="37"/>
  <c r="E89" i="37"/>
  <c r="D89" i="37"/>
  <c r="C89" i="37"/>
  <c r="B89" i="37"/>
  <c r="G88" i="37"/>
  <c r="F88" i="37"/>
  <c r="E88" i="37"/>
  <c r="D88" i="37"/>
  <c r="C88" i="37"/>
  <c r="B88" i="37"/>
  <c r="G87" i="37"/>
  <c r="F87" i="37"/>
  <c r="E87" i="37"/>
  <c r="D87" i="37"/>
  <c r="C87" i="37"/>
  <c r="B87" i="37"/>
  <c r="I9" i="38" l="1"/>
  <c r="Q9" i="38" s="1"/>
  <c r="H9" i="38"/>
  <c r="P9" i="38" s="1"/>
  <c r="P26" i="38" s="1"/>
  <c r="U95" i="37"/>
  <c r="T96" i="37"/>
  <c r="T98" i="37"/>
  <c r="N78" i="37"/>
  <c r="N80" i="37" s="1"/>
  <c r="S97" i="37" s="1"/>
  <c r="M80" i="37"/>
  <c r="Q9" i="54" l="1"/>
  <c r="M9" i="54"/>
  <c r="I9" i="54"/>
  <c r="N9" i="54"/>
  <c r="P9" i="54"/>
  <c r="L9" i="54"/>
  <c r="O9" i="54"/>
  <c r="K9" i="54"/>
  <c r="J9" i="54"/>
  <c r="P29" i="38"/>
  <c r="Q15" i="38"/>
  <c r="Q26" i="38" s="1"/>
  <c r="T97" i="37"/>
  <c r="T100" i="37" s="1"/>
  <c r="U97" i="37"/>
  <c r="U100" i="37" s="1"/>
  <c r="Q29" i="38" l="1"/>
  <c r="P10" i="54"/>
  <c r="L10" i="54"/>
  <c r="O10" i="54"/>
  <c r="K10" i="54"/>
  <c r="N10" i="54"/>
  <c r="J10" i="54"/>
  <c r="Q10" i="54"/>
  <c r="M10" i="54"/>
  <c r="I10" i="54"/>
  <c r="AA9" i="56"/>
  <c r="AA12" i="56" s="1"/>
  <c r="O9" i="56" s="1"/>
  <c r="O17" i="56" s="1"/>
  <c r="O36" i="56" s="1"/>
  <c r="O17" i="54"/>
  <c r="O36" i="54" s="1"/>
  <c r="U9" i="56"/>
  <c r="U12" i="56" s="1"/>
  <c r="I9" i="56" s="1"/>
  <c r="I17" i="56" s="1"/>
  <c r="I36" i="56" s="1"/>
  <c r="I17" i="54"/>
  <c r="I36" i="54" s="1"/>
  <c r="X9" i="56"/>
  <c r="X12" i="56" s="1"/>
  <c r="L9" i="56" s="1"/>
  <c r="L17" i="56" s="1"/>
  <c r="L36" i="56" s="1"/>
  <c r="L17" i="54"/>
  <c r="L36" i="54" s="1"/>
  <c r="Y9" i="56"/>
  <c r="Y12" i="56" s="1"/>
  <c r="M9" i="56" s="1"/>
  <c r="M17" i="56" s="1"/>
  <c r="M36" i="56" s="1"/>
  <c r="M17" i="54"/>
  <c r="M36" i="54" s="1"/>
  <c r="V9" i="56"/>
  <c r="V12" i="56" s="1"/>
  <c r="J9" i="56" s="1"/>
  <c r="J17" i="56" s="1"/>
  <c r="J36" i="56" s="1"/>
  <c r="J17" i="54"/>
  <c r="J36" i="54" s="1"/>
  <c r="AB9" i="56"/>
  <c r="AB12" i="56" s="1"/>
  <c r="P9" i="56" s="1"/>
  <c r="P17" i="56" s="1"/>
  <c r="P36" i="56" s="1"/>
  <c r="P17" i="54"/>
  <c r="P36" i="54" s="1"/>
  <c r="AC9" i="56"/>
  <c r="AC12" i="56" s="1"/>
  <c r="Q9" i="56" s="1"/>
  <c r="Q17" i="56" s="1"/>
  <c r="Q36" i="56" s="1"/>
  <c r="Q53" i="56" s="1"/>
  <c r="Q17" i="54"/>
  <c r="W9" i="56"/>
  <c r="W12" i="56" s="1"/>
  <c r="K9" i="56" s="1"/>
  <c r="K17" i="56" s="1"/>
  <c r="K36" i="56" s="1"/>
  <c r="K17" i="54"/>
  <c r="K36" i="54" s="1"/>
  <c r="Z9" i="56"/>
  <c r="Z12" i="56" s="1"/>
  <c r="N9" i="56" s="1"/>
  <c r="N17" i="56" s="1"/>
  <c r="N36" i="56" s="1"/>
  <c r="N17" i="54"/>
  <c r="N36" i="54" s="1"/>
  <c r="Q53" i="54" l="1"/>
  <c r="Q36" i="54"/>
  <c r="K47" i="54"/>
  <c r="L47" i="54"/>
  <c r="M47" i="54"/>
  <c r="N47" i="54"/>
  <c r="O47" i="54"/>
  <c r="P47" i="54"/>
  <c r="Q47" i="54"/>
  <c r="P52" i="54"/>
  <c r="Q52" i="54"/>
  <c r="M49" i="54"/>
  <c r="N49" i="54"/>
  <c r="O49" i="54"/>
  <c r="P49" i="54"/>
  <c r="Q49" i="54"/>
  <c r="I45" i="54"/>
  <c r="I55" i="54" s="1"/>
  <c r="J45" i="54"/>
  <c r="K45" i="54"/>
  <c r="L45" i="54"/>
  <c r="M45" i="54"/>
  <c r="N45" i="54"/>
  <c r="O45" i="54"/>
  <c r="P45" i="54"/>
  <c r="Q45" i="54"/>
  <c r="K69" i="54"/>
  <c r="O69" i="54"/>
  <c r="V14" i="56"/>
  <c r="V17" i="56" s="1"/>
  <c r="J10" i="56" s="1"/>
  <c r="J18" i="56" s="1"/>
  <c r="J60" i="56" s="1"/>
  <c r="J18" i="54"/>
  <c r="J60" i="54" s="1"/>
  <c r="X14" i="56"/>
  <c r="X17" i="56" s="1"/>
  <c r="L10" i="56" s="1"/>
  <c r="L18" i="56" s="1"/>
  <c r="L60" i="56" s="1"/>
  <c r="L18" i="54"/>
  <c r="L60" i="54" s="1"/>
  <c r="K47" i="56"/>
  <c r="L47" i="56"/>
  <c r="M47" i="56"/>
  <c r="N47" i="56"/>
  <c r="O47" i="56"/>
  <c r="P47" i="56"/>
  <c r="Q47" i="56"/>
  <c r="Q52" i="56"/>
  <c r="P52" i="56"/>
  <c r="M49" i="56"/>
  <c r="N49" i="56"/>
  <c r="O49" i="56"/>
  <c r="Q49" i="56"/>
  <c r="P49" i="56"/>
  <c r="I45" i="56"/>
  <c r="I55" i="56" s="1"/>
  <c r="J45" i="56"/>
  <c r="K45" i="56"/>
  <c r="L45" i="56"/>
  <c r="M45" i="56"/>
  <c r="N45" i="56"/>
  <c r="O45" i="56"/>
  <c r="Q45" i="56"/>
  <c r="P45" i="56"/>
  <c r="U14" i="56"/>
  <c r="U17" i="56" s="1"/>
  <c r="I10" i="56" s="1"/>
  <c r="I18" i="56" s="1"/>
  <c r="I60" i="56" s="1"/>
  <c r="I18" i="54"/>
  <c r="I60" i="54" s="1"/>
  <c r="L69" i="54" s="1"/>
  <c r="Z14" i="56"/>
  <c r="Z17" i="56" s="1"/>
  <c r="N10" i="56" s="1"/>
  <c r="N18" i="56" s="1"/>
  <c r="N60" i="56" s="1"/>
  <c r="N18" i="54"/>
  <c r="N60" i="54" s="1"/>
  <c r="AB14" i="56"/>
  <c r="AB17" i="56" s="1"/>
  <c r="P10" i="56" s="1"/>
  <c r="P18" i="56" s="1"/>
  <c r="P60" i="56" s="1"/>
  <c r="P18" i="54"/>
  <c r="P60" i="54" s="1"/>
  <c r="N50" i="54"/>
  <c r="O50" i="54"/>
  <c r="P50" i="54"/>
  <c r="Q50" i="54"/>
  <c r="N50" i="56"/>
  <c r="O50" i="56"/>
  <c r="Q50" i="56"/>
  <c r="P50" i="56"/>
  <c r="J46" i="56"/>
  <c r="K46" i="56"/>
  <c r="L46" i="56"/>
  <c r="M46" i="56"/>
  <c r="N46" i="56"/>
  <c r="O46" i="56"/>
  <c r="P46" i="56"/>
  <c r="Q46" i="56"/>
  <c r="L48" i="56"/>
  <c r="M48" i="56"/>
  <c r="N48" i="56"/>
  <c r="O48" i="56"/>
  <c r="P48" i="56"/>
  <c r="Q48" i="56"/>
  <c r="Q51" i="56"/>
  <c r="O51" i="56"/>
  <c r="P51" i="56"/>
  <c r="AC14" i="56"/>
  <c r="AC17" i="56" s="1"/>
  <c r="Q10" i="56" s="1"/>
  <c r="Q18" i="56" s="1"/>
  <c r="Q60" i="56" s="1"/>
  <c r="Q77" i="56" s="1"/>
  <c r="Q18" i="54"/>
  <c r="Q60" i="54" s="1"/>
  <c r="Q77" i="54" s="1"/>
  <c r="AA14" i="56"/>
  <c r="AA17" i="56" s="1"/>
  <c r="O10" i="56" s="1"/>
  <c r="O18" i="56" s="1"/>
  <c r="O60" i="56" s="1"/>
  <c r="O18" i="54"/>
  <c r="O60" i="54" s="1"/>
  <c r="J46" i="54"/>
  <c r="K46" i="54"/>
  <c r="L46" i="54"/>
  <c r="M46" i="54"/>
  <c r="N46" i="54"/>
  <c r="O46" i="54"/>
  <c r="Q46" i="54"/>
  <c r="P46" i="54"/>
  <c r="L48" i="54"/>
  <c r="M48" i="54"/>
  <c r="N48" i="54"/>
  <c r="O48" i="54"/>
  <c r="P48" i="54"/>
  <c r="Q48" i="54"/>
  <c r="O51" i="54"/>
  <c r="P51" i="54"/>
  <c r="Q51" i="54"/>
  <c r="Y14" i="56"/>
  <c r="Y17" i="56" s="1"/>
  <c r="M10" i="56" s="1"/>
  <c r="M18" i="56" s="1"/>
  <c r="M60" i="56" s="1"/>
  <c r="M18" i="54"/>
  <c r="M60" i="54" s="1"/>
  <c r="W14" i="56"/>
  <c r="W17" i="56" s="1"/>
  <c r="K10" i="56" s="1"/>
  <c r="K18" i="56" s="1"/>
  <c r="K60" i="56" s="1"/>
  <c r="K18" i="54"/>
  <c r="K60" i="54" s="1"/>
  <c r="M73" i="54" l="1"/>
  <c r="N73" i="54"/>
  <c r="O73" i="54"/>
  <c r="Q73" i="54"/>
  <c r="P73" i="54"/>
  <c r="P76" i="54"/>
  <c r="Q76" i="54"/>
  <c r="N69" i="54"/>
  <c r="L72" i="54"/>
  <c r="M72" i="54"/>
  <c r="N72" i="54"/>
  <c r="O72" i="54"/>
  <c r="P72" i="54"/>
  <c r="Q72" i="54"/>
  <c r="Q69" i="54"/>
  <c r="M69" i="54"/>
  <c r="I69" i="54"/>
  <c r="I79" i="54" s="1"/>
  <c r="O75" i="54"/>
  <c r="P75" i="54"/>
  <c r="Q75" i="54"/>
  <c r="J69" i="54"/>
  <c r="K71" i="54"/>
  <c r="L71" i="54"/>
  <c r="M71" i="54"/>
  <c r="N71" i="54"/>
  <c r="O71" i="54"/>
  <c r="Q71" i="54"/>
  <c r="P71" i="54"/>
  <c r="N74" i="54"/>
  <c r="O74" i="54"/>
  <c r="Q74" i="54"/>
  <c r="P74" i="54"/>
  <c r="P69" i="54"/>
  <c r="K55" i="56"/>
  <c r="O11" i="53" s="1"/>
  <c r="Q55" i="56"/>
  <c r="U11" i="53" s="1"/>
  <c r="Q55" i="54"/>
  <c r="U24" i="53" s="1"/>
  <c r="N74" i="56"/>
  <c r="O74" i="56"/>
  <c r="Q74" i="56"/>
  <c r="P74" i="56"/>
  <c r="L55" i="56"/>
  <c r="M24" i="53"/>
  <c r="M10" i="53"/>
  <c r="P55" i="54"/>
  <c r="M73" i="56"/>
  <c r="N73" i="56"/>
  <c r="O73" i="56"/>
  <c r="P73" i="56"/>
  <c r="Q73" i="56"/>
  <c r="P55" i="56"/>
  <c r="M55" i="56"/>
  <c r="M25" i="53"/>
  <c r="M11" i="53"/>
  <c r="L72" i="56"/>
  <c r="M72" i="56"/>
  <c r="N72" i="56"/>
  <c r="O72" i="56"/>
  <c r="P72" i="56"/>
  <c r="Q72" i="56"/>
  <c r="J70" i="54"/>
  <c r="J79" i="54" s="1"/>
  <c r="K70" i="54"/>
  <c r="K79" i="54" s="1"/>
  <c r="L70" i="54"/>
  <c r="M70" i="54"/>
  <c r="N70" i="54"/>
  <c r="N79" i="54" s="1"/>
  <c r="O70" i="54"/>
  <c r="Q70" i="54"/>
  <c r="P70" i="54"/>
  <c r="N55" i="54"/>
  <c r="J55" i="54"/>
  <c r="K71" i="56"/>
  <c r="L71" i="56"/>
  <c r="M71" i="56"/>
  <c r="N71" i="56"/>
  <c r="O71" i="56"/>
  <c r="Q71" i="56"/>
  <c r="P71" i="56"/>
  <c r="M55" i="54"/>
  <c r="O75" i="56"/>
  <c r="Q75" i="56"/>
  <c r="P75" i="56"/>
  <c r="O55" i="56"/>
  <c r="O25" i="53"/>
  <c r="J70" i="56"/>
  <c r="K70" i="56"/>
  <c r="L70" i="56"/>
  <c r="M70" i="56"/>
  <c r="N70" i="56"/>
  <c r="O70" i="56"/>
  <c r="Q70" i="56"/>
  <c r="P70" i="56"/>
  <c r="L55" i="54"/>
  <c r="P76" i="56"/>
  <c r="Q76" i="56"/>
  <c r="I69" i="56"/>
  <c r="I79" i="56" s="1"/>
  <c r="J69" i="56"/>
  <c r="K69" i="56"/>
  <c r="L69" i="56"/>
  <c r="M69" i="56"/>
  <c r="N69" i="56"/>
  <c r="O69" i="56"/>
  <c r="P69" i="56"/>
  <c r="Q69" i="56"/>
  <c r="N55" i="56"/>
  <c r="J55" i="56"/>
  <c r="M15" i="53"/>
  <c r="M29" i="53"/>
  <c r="O55" i="54"/>
  <c r="K55" i="54"/>
  <c r="P79" i="54" l="1"/>
  <c r="T15" i="53" s="1"/>
  <c r="Q79" i="54"/>
  <c r="L79" i="54"/>
  <c r="M79" i="54"/>
  <c r="Q15" i="53" s="1"/>
  <c r="U25" i="53"/>
  <c r="U39" i="53" s="1"/>
  <c r="O79" i="54"/>
  <c r="O39" i="53"/>
  <c r="P79" i="56"/>
  <c r="T16" i="53" s="1"/>
  <c r="L79" i="56"/>
  <c r="P30" i="53" s="1"/>
  <c r="U10" i="53"/>
  <c r="U38" i="53" s="1"/>
  <c r="S15" i="53"/>
  <c r="S29" i="53"/>
  <c r="O15" i="53"/>
  <c r="O29" i="53"/>
  <c r="P15" i="53"/>
  <c r="P29" i="53"/>
  <c r="T29" i="53"/>
  <c r="T10" i="53"/>
  <c r="T24" i="53"/>
  <c r="O79" i="56"/>
  <c r="Q25" i="53"/>
  <c r="Q11" i="53"/>
  <c r="R15" i="53"/>
  <c r="R29" i="53"/>
  <c r="M43" i="53"/>
  <c r="R11" i="53"/>
  <c r="R25" i="53"/>
  <c r="N79" i="56"/>
  <c r="J79" i="56"/>
  <c r="P10" i="53"/>
  <c r="P24" i="53"/>
  <c r="S11" i="53"/>
  <c r="S25" i="53"/>
  <c r="Q10" i="53"/>
  <c r="Q24" i="53"/>
  <c r="R10" i="53"/>
  <c r="R24" i="53"/>
  <c r="T11" i="53"/>
  <c r="T25" i="53"/>
  <c r="M38" i="53"/>
  <c r="S10" i="53"/>
  <c r="S24" i="53"/>
  <c r="U15" i="53"/>
  <c r="U29" i="53"/>
  <c r="P16" i="53"/>
  <c r="N25" i="53"/>
  <c r="N11" i="53"/>
  <c r="K79" i="56"/>
  <c r="N10" i="53"/>
  <c r="N24" i="53"/>
  <c r="O10" i="53"/>
  <c r="O24" i="53"/>
  <c r="Q29" i="53"/>
  <c r="Q79" i="56"/>
  <c r="M79" i="56"/>
  <c r="M16" i="53"/>
  <c r="M30" i="53"/>
  <c r="N15" i="53"/>
  <c r="N29" i="53"/>
  <c r="M39" i="53"/>
  <c r="P11" i="53"/>
  <c r="P25" i="53"/>
  <c r="T30" i="53" l="1"/>
  <c r="T44" i="53" s="1"/>
  <c r="S38" i="53"/>
  <c r="Q39" i="53"/>
  <c r="P44" i="53"/>
  <c r="N43" i="53"/>
  <c r="O38" i="53"/>
  <c r="R38" i="53"/>
  <c r="T43" i="53"/>
  <c r="T39" i="53"/>
  <c r="S39" i="53"/>
  <c r="P43" i="53"/>
  <c r="S43" i="53"/>
  <c r="U43" i="53"/>
  <c r="R43" i="53"/>
  <c r="P39" i="53"/>
  <c r="M44" i="53"/>
  <c r="Q43" i="53"/>
  <c r="N38" i="53"/>
  <c r="Q38" i="53"/>
  <c r="P38" i="53"/>
  <c r="R39" i="53"/>
  <c r="T38" i="53"/>
  <c r="O43" i="53"/>
  <c r="Q16" i="53"/>
  <c r="Q30" i="53"/>
  <c r="O16" i="53"/>
  <c r="O30" i="53"/>
  <c r="N16" i="53"/>
  <c r="N30" i="53"/>
  <c r="U30" i="53"/>
  <c r="U16" i="53"/>
  <c r="N39" i="53"/>
  <c r="R16" i="53"/>
  <c r="R30" i="53"/>
  <c r="S16" i="53"/>
  <c r="S30" i="53"/>
  <c r="U44" i="53" l="1"/>
  <c r="N44" i="53"/>
  <c r="Q44" i="53"/>
  <c r="S44" i="53"/>
  <c r="O44" i="53"/>
  <c r="R44" i="53"/>
</calcChain>
</file>

<file path=xl/comments1.xml><?xml version="1.0" encoding="utf-8"?>
<comments xmlns="http://schemas.openxmlformats.org/spreadsheetml/2006/main">
  <authors>
    <author>Skye Lei</author>
  </authors>
  <commentList>
    <comment ref="C3" authorId="0">
      <text>
        <r>
          <rPr>
            <b/>
            <sz val="9"/>
            <color indexed="81"/>
            <rFont val="Tahoma"/>
            <family val="2"/>
          </rPr>
          <t>Skye Lei:</t>
        </r>
        <r>
          <rPr>
            <sz val="9"/>
            <color indexed="81"/>
            <rFont val="Tahoma"/>
            <family val="2"/>
          </rPr>
          <t xml:space="preserve">
Select your program title</t>
        </r>
      </text>
    </comment>
  </commentList>
</comments>
</file>

<file path=xl/comments2.xml><?xml version="1.0" encoding="utf-8"?>
<comments xmlns="http://schemas.openxmlformats.org/spreadsheetml/2006/main">
  <authors>
    <author>John May Version</author>
  </authors>
  <commentList>
    <comment ref="J78" authorId="0">
      <text>
        <r>
          <rPr>
            <b/>
            <sz val="9"/>
            <color indexed="81"/>
            <rFont val="Tahoma"/>
            <family val="2"/>
          </rPr>
          <t>John May Version:</t>
        </r>
        <r>
          <rPr>
            <sz val="9"/>
            <color indexed="81"/>
            <rFont val="Tahoma"/>
            <family val="2"/>
          </rPr>
          <t xml:space="preserve">
mm sf of total existing floor space</t>
        </r>
      </text>
    </comment>
    <comment ref="J80" authorId="0">
      <text>
        <r>
          <rPr>
            <b/>
            <sz val="9"/>
            <color indexed="81"/>
            <rFont val="Tahoma"/>
            <family val="2"/>
          </rPr>
          <t>John May Version:</t>
        </r>
        <r>
          <rPr>
            <sz val="9"/>
            <color indexed="81"/>
            <rFont val="Tahoma"/>
            <family val="2"/>
          </rPr>
          <t xml:space="preserve">
Estimated total sf that will be affected by the asset ratings annually. Target is ~ 50% of all buildings by 2030.</t>
        </r>
      </text>
    </comment>
    <comment ref="T85" authorId="0">
      <text>
        <r>
          <rPr>
            <b/>
            <sz val="9"/>
            <color indexed="81"/>
            <rFont val="Tahoma"/>
            <family val="2"/>
          </rPr>
          <t>John May Version:</t>
        </r>
        <r>
          <rPr>
            <sz val="9"/>
            <color indexed="81"/>
            <rFont val="Tahoma"/>
            <family val="2"/>
          </rPr>
          <t xml:space="preserve">
This is the expected average action on potential savings (e.g., 50% take no action, 50% take a 50% step to EE target</t>
        </r>
      </text>
    </comment>
    <comment ref="L87" authorId="0">
      <text>
        <r>
          <rPr>
            <b/>
            <sz val="9"/>
            <color indexed="81"/>
            <rFont val="Tahoma"/>
            <family val="2"/>
          </rPr>
          <t>John May Version:</t>
        </r>
        <r>
          <rPr>
            <sz val="9"/>
            <color indexed="81"/>
            <rFont val="Tahoma"/>
            <family val="2"/>
          </rPr>
          <t xml:space="preserve">
Assumption.  Studies estimate that up to 60% of existing buildings were built before Title 24 codes were established.  Assumption a relatively uniform construction rate annually for this estimate. Here, 2006, means 2006 and later.</t>
        </r>
      </text>
    </comment>
    <comment ref="O94" authorId="0">
      <text>
        <r>
          <rPr>
            <b/>
            <sz val="9"/>
            <color indexed="81"/>
            <rFont val="Tahoma"/>
            <family val="2"/>
          </rPr>
          <t>John May Version:</t>
        </r>
        <r>
          <rPr>
            <sz val="9"/>
            <color indexed="81"/>
            <rFont val="Tahoma"/>
            <family val="2"/>
          </rPr>
          <t xml:space="preserve">
Site Btu/sf</t>
        </r>
      </text>
    </comment>
    <comment ref="S94" authorId="0">
      <text>
        <r>
          <rPr>
            <b/>
            <sz val="9"/>
            <color indexed="81"/>
            <rFont val="Tahoma"/>
            <family val="2"/>
          </rPr>
          <t>John May Version:</t>
        </r>
        <r>
          <rPr>
            <sz val="9"/>
            <color indexed="81"/>
            <rFont val="Tahoma"/>
            <family val="2"/>
          </rPr>
          <t xml:space="preserve">
mm sf</t>
        </r>
      </text>
    </comment>
  </commentList>
</comments>
</file>

<file path=xl/comments3.xml><?xml version="1.0" encoding="utf-8"?>
<comments xmlns="http://schemas.openxmlformats.org/spreadsheetml/2006/main">
  <authors>
    <author>John May Version</author>
    <author>Skye Lei</author>
  </authors>
  <commentList>
    <comment ref="G6" authorId="0">
      <text>
        <r>
          <rPr>
            <b/>
            <sz val="9"/>
            <color indexed="81"/>
            <rFont val="Tahoma"/>
            <family val="2"/>
          </rPr>
          <t>John May Version:</t>
        </r>
        <r>
          <rPr>
            <sz val="9"/>
            <color indexed="81"/>
            <rFont val="Tahoma"/>
            <family val="2"/>
          </rPr>
          <t xml:space="preserve">
Both gas and elec</t>
        </r>
      </text>
    </comment>
    <comment ref="N6" authorId="0">
      <text>
        <r>
          <rPr>
            <b/>
            <sz val="9"/>
            <color indexed="81"/>
            <rFont val="Tahoma"/>
            <family val="2"/>
          </rPr>
          <t>John May Version:</t>
        </r>
        <r>
          <rPr>
            <sz val="9"/>
            <color indexed="81"/>
            <rFont val="Tahoma"/>
            <family val="2"/>
          </rPr>
          <t xml:space="preserve">
This is a factor that estimates the likelihood of adoption of all measures required to meet the goal (GHG Reduction Target). Only applicable for CAP plans.</t>
        </r>
      </text>
    </comment>
    <comment ref="U6" authorId="0">
      <text>
        <r>
          <rPr>
            <b/>
            <sz val="9"/>
            <color indexed="81"/>
            <rFont val="Tahoma"/>
            <family val="2"/>
          </rPr>
          <t xml:space="preserve">John: </t>
        </r>
        <r>
          <rPr>
            <sz val="9"/>
            <color indexed="81"/>
            <rFont val="Tahoma"/>
            <family val="2"/>
          </rPr>
          <t>percentages applied based on qualitative information and limited data in proposals.</t>
        </r>
      </text>
    </comment>
    <comment ref="V6" authorId="1">
      <text>
        <r>
          <rPr>
            <b/>
            <sz val="9"/>
            <color indexed="81"/>
            <rFont val="Tahoma"/>
            <family val="2"/>
          </rPr>
          <t>Skye Lei:</t>
        </r>
        <r>
          <rPr>
            <sz val="9"/>
            <color indexed="81"/>
            <rFont val="Tahoma"/>
            <family val="2"/>
          </rPr>
          <t xml:space="preserve">
Account utility overlap under scenarios</t>
        </r>
      </text>
    </comment>
    <comment ref="X6" authorId="0">
      <text>
        <r>
          <rPr>
            <b/>
            <sz val="9"/>
            <color indexed="81"/>
            <rFont val="Tahoma"/>
            <family val="2"/>
          </rPr>
          <t>John May Version:</t>
        </r>
        <r>
          <rPr>
            <sz val="9"/>
            <color indexed="81"/>
            <rFont val="Tahoma"/>
            <family val="2"/>
          </rPr>
          <t xml:space="preserve">
Potential rate is a composite percentage of all adjustments and represents the fraction of potential energy savings that is due to EE, attributed to LGC and not overlapping with other programs.</t>
        </r>
      </text>
    </comment>
    <comment ref="Z6" authorId="0">
      <text>
        <r>
          <rPr>
            <b/>
            <sz val="9"/>
            <color indexed="81"/>
            <rFont val="Tahoma"/>
            <family val="2"/>
          </rPr>
          <t>John May Version:</t>
        </r>
        <r>
          <rPr>
            <sz val="9"/>
            <color indexed="81"/>
            <rFont val="Tahoma"/>
            <family val="2"/>
          </rPr>
          <t xml:space="preserve">
Summary notes excluding projects from claimed potential EE savings (even though projects may be good energy-reducing projects)</t>
        </r>
      </text>
    </comment>
    <comment ref="H14" authorId="0">
      <text>
        <r>
          <rPr>
            <b/>
            <sz val="9"/>
            <color indexed="81"/>
            <rFont val="Tahoma"/>
            <family val="2"/>
          </rPr>
          <t>John May Version:</t>
        </r>
        <r>
          <rPr>
            <sz val="9"/>
            <color indexed="81"/>
            <rFont val="Tahoma"/>
            <family val="2"/>
          </rPr>
          <t xml:space="preserve">
Mostly due to large PV system</t>
        </r>
      </text>
    </comment>
  </commentList>
</comments>
</file>

<file path=xl/comments4.xml><?xml version="1.0" encoding="utf-8"?>
<comments xmlns="http://schemas.openxmlformats.org/spreadsheetml/2006/main">
  <authors>
    <author>John May Version</author>
    <author>Skye Lei</author>
  </authors>
  <commentList>
    <comment ref="G6" authorId="0">
      <text>
        <r>
          <rPr>
            <b/>
            <sz val="9"/>
            <color indexed="81"/>
            <rFont val="Tahoma"/>
            <family val="2"/>
          </rPr>
          <t>John May Version:</t>
        </r>
        <r>
          <rPr>
            <sz val="9"/>
            <color indexed="81"/>
            <rFont val="Tahoma"/>
            <family val="2"/>
          </rPr>
          <t xml:space="preserve">
Both gas and elec</t>
        </r>
      </text>
    </comment>
    <comment ref="N6" authorId="0">
      <text>
        <r>
          <rPr>
            <b/>
            <sz val="9"/>
            <color indexed="81"/>
            <rFont val="Tahoma"/>
            <family val="2"/>
          </rPr>
          <t>John May Version:</t>
        </r>
        <r>
          <rPr>
            <sz val="9"/>
            <color indexed="81"/>
            <rFont val="Tahoma"/>
            <family val="2"/>
          </rPr>
          <t xml:space="preserve">
This is a factor that estimates the likelihood of adoption of all measures required to meet the goal (GHG Reduction Target). Only applicable for CAP plans.</t>
        </r>
      </text>
    </comment>
    <comment ref="U6" authorId="0">
      <text>
        <r>
          <rPr>
            <b/>
            <sz val="9"/>
            <color indexed="81"/>
            <rFont val="Tahoma"/>
            <family val="2"/>
          </rPr>
          <t xml:space="preserve">John: </t>
        </r>
        <r>
          <rPr>
            <sz val="9"/>
            <color indexed="81"/>
            <rFont val="Tahoma"/>
            <family val="2"/>
          </rPr>
          <t>percentages applied based on qualitative information and limited data in proposals.</t>
        </r>
      </text>
    </comment>
    <comment ref="V6" authorId="1">
      <text>
        <r>
          <rPr>
            <b/>
            <sz val="9"/>
            <color indexed="81"/>
            <rFont val="Tahoma"/>
            <family val="2"/>
          </rPr>
          <t>Skye Lei:</t>
        </r>
        <r>
          <rPr>
            <sz val="9"/>
            <color indexed="81"/>
            <rFont val="Tahoma"/>
            <family val="2"/>
          </rPr>
          <t xml:space="preserve">
Account utility overlap under scenarios</t>
        </r>
      </text>
    </comment>
    <comment ref="X6" authorId="0">
      <text>
        <r>
          <rPr>
            <b/>
            <sz val="9"/>
            <color indexed="81"/>
            <rFont val="Tahoma"/>
            <family val="2"/>
          </rPr>
          <t>John May Version:</t>
        </r>
        <r>
          <rPr>
            <sz val="9"/>
            <color indexed="81"/>
            <rFont val="Tahoma"/>
            <family val="2"/>
          </rPr>
          <t xml:space="preserve">
Potential rate is a composite percentage of all adjustments and represents the fraction of potential energy savings that is due to EE, attributed to LGC and not overlapping with other programs.</t>
        </r>
      </text>
    </comment>
    <comment ref="Z6" authorId="0">
      <text>
        <r>
          <rPr>
            <b/>
            <sz val="9"/>
            <color indexed="81"/>
            <rFont val="Tahoma"/>
            <family val="2"/>
          </rPr>
          <t>John May Version:</t>
        </r>
        <r>
          <rPr>
            <sz val="9"/>
            <color indexed="81"/>
            <rFont val="Tahoma"/>
            <family val="2"/>
          </rPr>
          <t xml:space="preserve">
Summary notes excluding projects from claimed potential EE savings (even though projects may be good energy-reducing projects)</t>
        </r>
      </text>
    </comment>
    <comment ref="H14" authorId="0">
      <text>
        <r>
          <rPr>
            <b/>
            <sz val="9"/>
            <color indexed="81"/>
            <rFont val="Tahoma"/>
            <family val="2"/>
          </rPr>
          <t>John May Version:</t>
        </r>
        <r>
          <rPr>
            <sz val="9"/>
            <color indexed="81"/>
            <rFont val="Tahoma"/>
            <family val="2"/>
          </rPr>
          <t xml:space="preserve">
Mostly due to large PV system</t>
        </r>
      </text>
    </comment>
  </commentList>
</comments>
</file>

<file path=xl/sharedStrings.xml><?xml version="1.0" encoding="utf-8"?>
<sst xmlns="http://schemas.openxmlformats.org/spreadsheetml/2006/main" count="1112" uniqueCount="486">
  <si>
    <t>GWh</t>
  </si>
  <si>
    <t>Entity</t>
  </si>
  <si>
    <t>CEC</t>
  </si>
  <si>
    <t>Program Type</t>
  </si>
  <si>
    <t>MM Therms</t>
  </si>
  <si>
    <t>Fed/CEC</t>
  </si>
  <si>
    <t>Type</t>
  </si>
  <si>
    <t>State Financing</t>
  </si>
  <si>
    <t>Energy Asset Rating</t>
  </si>
  <si>
    <t>Codes &amp; Standards</t>
  </si>
  <si>
    <t>Title 24</t>
  </si>
  <si>
    <t>Title 20</t>
  </si>
  <si>
    <t>Air Quality Districts</t>
  </si>
  <si>
    <t>Electrification</t>
  </si>
  <si>
    <t>AB 802</t>
  </si>
  <si>
    <t>DGS EE Retrofit</t>
  </si>
  <si>
    <t>Others</t>
  </si>
  <si>
    <t>Program Bin</t>
  </si>
  <si>
    <t>Local</t>
  </si>
  <si>
    <t>State of CA</t>
  </si>
  <si>
    <t>CEC/CCC</t>
  </si>
  <si>
    <t>DGS</t>
  </si>
  <si>
    <t>Benchmarking / Disclosure</t>
  </si>
  <si>
    <t>Federal Appliances</t>
  </si>
  <si>
    <t>Local Government Ordinances</t>
  </si>
  <si>
    <t>Local Government Challenge</t>
  </si>
  <si>
    <t>ECAA Financing</t>
  </si>
  <si>
    <t>PACE Financing</t>
  </si>
  <si>
    <t>DWR</t>
  </si>
  <si>
    <t>RES, NR</t>
  </si>
  <si>
    <t>RES</t>
  </si>
  <si>
    <t>NR</t>
  </si>
  <si>
    <t>Bldg Sector(s)</t>
  </si>
  <si>
    <t>Program:</t>
  </si>
  <si>
    <t>Building Type</t>
  </si>
  <si>
    <t>Measure Category</t>
  </si>
  <si>
    <t>Smart Meter Data Analytics</t>
  </si>
  <si>
    <t>BRO's</t>
  </si>
  <si>
    <t>GGRF: Water-Energy Grant</t>
  </si>
  <si>
    <t>Proposition 39</t>
  </si>
  <si>
    <t>GGRF: Low Income Weather</t>
  </si>
  <si>
    <t>Project Manager</t>
  </si>
  <si>
    <t>Amir Ehyai</t>
  </si>
  <si>
    <t>Akasha Khalsa</t>
  </si>
  <si>
    <t>Adel Suleiman</t>
  </si>
  <si>
    <t>Shahid Chaudhry</t>
  </si>
  <si>
    <t>Cheng Moua</t>
  </si>
  <si>
    <t>Karen Perrin</t>
  </si>
  <si>
    <t>Haile Bucaneg</t>
  </si>
  <si>
    <t>Joseph Wang</t>
  </si>
  <si>
    <t>Jim Holland</t>
  </si>
  <si>
    <t>Cheng Muoa</t>
  </si>
  <si>
    <t>Joji Castillo</t>
  </si>
  <si>
    <t>Anne Fisher</t>
  </si>
  <si>
    <t>Elizabeth Shirakh</t>
  </si>
  <si>
    <t>Chris Olvera</t>
  </si>
  <si>
    <t xml:space="preserve">*Jobs information is a metric reported monthly by loan recipients of the American Recovery &amp; Reinvestment Act (ARRA) funded loans.  These loans are designated by the letters ARRA at the end of their agreement number.  The "jobs information" column is only filled in once project installation/construction is completed and the loan funds have been fully disbursed.  </t>
  </si>
  <si>
    <t>Funding Data</t>
  </si>
  <si>
    <t>Single Family</t>
  </si>
  <si>
    <t>FOR LOOKUP PURPOSES</t>
  </si>
  <si>
    <t xml:space="preserve">Energy Unit </t>
  </si>
  <si>
    <t>ELECTRICITY - CUMULATIVE SAVINGS</t>
  </si>
  <si>
    <t>GAS - CUMULATIVE SAVINGS</t>
  </si>
  <si>
    <t>Notes:</t>
  </si>
  <si>
    <t>Owner</t>
  </si>
  <si>
    <t>NOR - Matt</t>
  </si>
  <si>
    <t>TRC - Michael</t>
  </si>
  <si>
    <t>TRC - Megan</t>
  </si>
  <si>
    <t>NOR - John</t>
  </si>
  <si>
    <t>NOR - Silas</t>
  </si>
  <si>
    <t>NOR - Skye</t>
  </si>
  <si>
    <t>TRC - Megan / Marian</t>
  </si>
  <si>
    <t>Program Period</t>
  </si>
  <si>
    <t>Office, Small</t>
  </si>
  <si>
    <t>Restaurant</t>
  </si>
  <si>
    <t>Retail</t>
  </si>
  <si>
    <t>Supermarket</t>
  </si>
  <si>
    <t>Non-refrigerated warehouse</t>
  </si>
  <si>
    <t>Refrigerated Warehouse</t>
  </si>
  <si>
    <t>School</t>
  </si>
  <si>
    <t>College</t>
  </si>
  <si>
    <t>Hospital</t>
  </si>
  <si>
    <t>Hotel</t>
  </si>
  <si>
    <t>Office, Large</t>
  </si>
  <si>
    <t>Residential</t>
  </si>
  <si>
    <t>Low-rise Multi-family</t>
  </si>
  <si>
    <t>High-rise Multi-family</t>
  </si>
  <si>
    <t>Building Sectors</t>
  </si>
  <si>
    <t>Other (Lab, data center, assembly, religious workship, etc.)</t>
  </si>
  <si>
    <t>Non_Residential</t>
  </si>
  <si>
    <t>Program</t>
  </si>
  <si>
    <t>2020-2030</t>
  </si>
  <si>
    <t>TDV EUI (Kbtu/sf)</t>
  </si>
  <si>
    <t>Electric TDV EUI [kBtu/sf]</t>
  </si>
  <si>
    <t>Gas TDV EUI [kBtu/sf]</t>
  </si>
  <si>
    <t>Site Electricity EUI [kWh/sf]</t>
  </si>
  <si>
    <t>Site Gas EUI [therms/sf]</t>
  </si>
  <si>
    <t>Total Site EUI [kBtu/sf]</t>
  </si>
  <si>
    <t>00101-RetlMed-2013</t>
  </si>
  <si>
    <t>00201-RetlMed-2006</t>
  </si>
  <si>
    <t>00301-RetlMed-1995</t>
  </si>
  <si>
    <t>00401-RetlMed-1982</t>
  </si>
  <si>
    <t>00501-RetlMed-precode</t>
  </si>
  <si>
    <t>00602-RetlMed-2013</t>
  </si>
  <si>
    <t>00702-RetlMed-2006</t>
  </si>
  <si>
    <t>00802-RetlMed-1995</t>
  </si>
  <si>
    <t>00902-RetlMed-1982</t>
  </si>
  <si>
    <t>01002-RetlMed-precode</t>
  </si>
  <si>
    <t>01103-RetlMed-2013</t>
  </si>
  <si>
    <t>01203-RetlMed-2006</t>
  </si>
  <si>
    <t>01303-RetlMed-1995</t>
  </si>
  <si>
    <t>01403-RetlMed-1982</t>
  </si>
  <si>
    <t>01503-RetlMed-precode</t>
  </si>
  <si>
    <t>01604-RetlMed-2013</t>
  </si>
  <si>
    <t>01704-RetlMed-2006</t>
  </si>
  <si>
    <t>01804-RetlMed-1995</t>
  </si>
  <si>
    <t>01904-RetlMed-1982</t>
  </si>
  <si>
    <t>02004-RetlMed-precode</t>
  </si>
  <si>
    <t>02105-RetlMed-2013</t>
  </si>
  <si>
    <t>02205-RetlMed-2006</t>
  </si>
  <si>
    <t>02305-RetlMed-1995</t>
  </si>
  <si>
    <t>02405-RetlMed-1982</t>
  </si>
  <si>
    <t>02505-RetlMed-precode</t>
  </si>
  <si>
    <t>02606-RetlMed-2013</t>
  </si>
  <si>
    <t>02706-RetlMed-2006</t>
  </si>
  <si>
    <t>02806-RetlMed-1995</t>
  </si>
  <si>
    <t>02906-RetlMed-1982</t>
  </si>
  <si>
    <t>03006-RetlMed-precode</t>
  </si>
  <si>
    <t>03107-RetlMed-2013</t>
  </si>
  <si>
    <t>03207-RetlMed-2006</t>
  </si>
  <si>
    <t>03307-RetlMed-1995</t>
  </si>
  <si>
    <t>03407-RetlMed-1982</t>
  </si>
  <si>
    <t>03507-RetlMed-precode</t>
  </si>
  <si>
    <t>03608-RetlMed-2013</t>
  </si>
  <si>
    <t>03708-RetlMed-2006</t>
  </si>
  <si>
    <t>03808-RetlMed-1995</t>
  </si>
  <si>
    <t>03908-RetlMed-1982</t>
  </si>
  <si>
    <t>04008-RetlMed-precode</t>
  </si>
  <si>
    <t>04109-RetlMed-2013</t>
  </si>
  <si>
    <t>04209-RetlMed-2006</t>
  </si>
  <si>
    <t>04309-RetlMed-1995</t>
  </si>
  <si>
    <t>04409-RetlMed-1982</t>
  </si>
  <si>
    <t>04509-RetlMed-precode</t>
  </si>
  <si>
    <t>04610-RetlMed-2013</t>
  </si>
  <si>
    <t>04710-RetlMed-2006</t>
  </si>
  <si>
    <t>04810-RetlMed-1995</t>
  </si>
  <si>
    <t>04910-RetlMed-1982</t>
  </si>
  <si>
    <t>05010-RetlMed-precode</t>
  </si>
  <si>
    <t>05111-RetlMed-2013</t>
  </si>
  <si>
    <t>05211-RetlMed-2006</t>
  </si>
  <si>
    <t>05311-RetlMed-1995</t>
  </si>
  <si>
    <t>05411-RetlMed-1982</t>
  </si>
  <si>
    <t>05511-RetlMed-precode</t>
  </si>
  <si>
    <t>05612-RetlMed-2013</t>
  </si>
  <si>
    <t>05712-RetlMed-2006</t>
  </si>
  <si>
    <t>05812-RetlMed-1995</t>
  </si>
  <si>
    <t>05912-RetlMed-1982</t>
  </si>
  <si>
    <t>06012-RetlMed-precode</t>
  </si>
  <si>
    <t>06113-RetlMed-2013</t>
  </si>
  <si>
    <t>06213-RetlMed-2006</t>
  </si>
  <si>
    <t>06313-RetlMed-1995</t>
  </si>
  <si>
    <t>06413-RetlMed-1982</t>
  </si>
  <si>
    <t>06513-RetlMed-precode</t>
  </si>
  <si>
    <t>06614-RetlMed-2013</t>
  </si>
  <si>
    <t>06714-RetlMed-2006</t>
  </si>
  <si>
    <t>06814-RetlMed-1995</t>
  </si>
  <si>
    <t>06914-RetlMed-1982</t>
  </si>
  <si>
    <t>07014-RetlMed-precode</t>
  </si>
  <si>
    <t>07115-RetlMed-2013</t>
  </si>
  <si>
    <t>07215-RetlMed-2006</t>
  </si>
  <si>
    <t>07315-RetlMed-1995</t>
  </si>
  <si>
    <t>07415-RetlMed-1982</t>
  </si>
  <si>
    <t>07515-RetlMed-precode</t>
  </si>
  <si>
    <t>07616-RetlMed-2013</t>
  </si>
  <si>
    <t>07716-RetlMed-2006</t>
  </si>
  <si>
    <t>07816-RetlMed-1995</t>
  </si>
  <si>
    <t>07916-RetlMed-1982</t>
  </si>
  <si>
    <t>Retail Medium</t>
  </si>
  <si>
    <t>precode</t>
  </si>
  <si>
    <t>Retail Medium Vintage Data</t>
  </si>
  <si>
    <t>Policy C-Double Efficiency Site EUI (kBtu/sf)</t>
  </si>
  <si>
    <t>retrofit</t>
  </si>
  <si>
    <t>Site Energy EUI (kBtu/ft²)</t>
  </si>
  <si>
    <t>Medium Retail</t>
  </si>
  <si>
    <t>Medium Office</t>
  </si>
  <si>
    <t>Large Office</t>
  </si>
  <si>
    <t>For Level 1 estimate:  assume 85% of building energy use is electric and 15% of natural gas.</t>
  </si>
  <si>
    <t>Avg.</t>
  </si>
  <si>
    <t>Diif.</t>
  </si>
  <si>
    <t>% Savings</t>
  </si>
  <si>
    <t>Large Retail</t>
  </si>
  <si>
    <t>BEARS Calculation Methodology</t>
  </si>
  <si>
    <t>1. Estimate Site EUI potential savings from UF project results, by building type and climate zone.</t>
  </si>
  <si>
    <t>2. Estimate applicability of results with building "sub-type" breakdown into medium office / large office, medium retail / large retail.</t>
  </si>
  <si>
    <t>3. For level 1 estimate, assume majority of savings for BEARS comes from office and retail (other building types possible, but difficult to characterize).</t>
  </si>
  <si>
    <t>Numbers in tables below are taken from Urban Footprint Policy EUI Summary.xls (no link to worksheet).</t>
  </si>
  <si>
    <t>Sub-Type Fraction</t>
  </si>
  <si>
    <t>Pre-code</t>
  </si>
  <si>
    <t>Building Stock</t>
  </si>
  <si>
    <t>Off Large</t>
  </si>
  <si>
    <t>Off Sm/M</t>
  </si>
  <si>
    <t>Annual Frac</t>
  </si>
  <si>
    <t>Retail Sm</t>
  </si>
  <si>
    <t>Ret Large</t>
  </si>
  <si>
    <t>Large Retail Fraction</t>
  </si>
  <si>
    <t>note: assumption, until better data is available</t>
  </si>
  <si>
    <t>Small Retail Fraction</t>
  </si>
  <si>
    <t>Building Scope</t>
  </si>
  <si>
    <t>Bears Floor Area</t>
  </si>
  <si>
    <t>Assume 85% electricity, and 15% gas, for this estimate</t>
  </si>
  <si>
    <t>Elec Fraction</t>
  </si>
  <si>
    <t>Gas Fraction</t>
  </si>
  <si>
    <t>mm sf</t>
  </si>
  <si>
    <t>Action Fraction</t>
  </si>
  <si>
    <t>Grand Total</t>
  </si>
  <si>
    <t>MM Therm</t>
  </si>
  <si>
    <t>GWh Savings</t>
  </si>
  <si>
    <t>SB350 - Local Government Challenge Analysis Framework</t>
  </si>
  <si>
    <t>Existing Level</t>
  </si>
  <si>
    <t>Project</t>
  </si>
  <si>
    <t>Population Served</t>
  </si>
  <si>
    <t>Bldgs</t>
  </si>
  <si>
    <t>Floor Area</t>
  </si>
  <si>
    <t>kWh Use</t>
  </si>
  <si>
    <t>th Use</t>
  </si>
  <si>
    <t>Unit</t>
  </si>
  <si>
    <t>Baseline Year</t>
  </si>
  <si>
    <t>Goal Year</t>
  </si>
  <si>
    <t>Savings Target</t>
  </si>
  <si>
    <t>kWh/yr Savings</t>
  </si>
  <si>
    <t>th/yr Savings</t>
  </si>
  <si>
    <t>CO2 MTE</t>
  </si>
  <si>
    <t>StopWaste</t>
  </si>
  <si>
    <t>Bay Area</t>
  </si>
  <si>
    <t>25% of units, 20% kWh reduction</t>
  </si>
  <si>
    <t>Santa Barabara</t>
  </si>
  <si>
    <t>n/a</t>
  </si>
  <si>
    <t>Galt</t>
  </si>
  <si>
    <t>Gateway Cities</t>
  </si>
  <si>
    <t>Del Mar</t>
  </si>
  <si>
    <t>building</t>
  </si>
  <si>
    <t>Marin Clean Energy</t>
  </si>
  <si>
    <t>22 muni</t>
  </si>
  <si>
    <t>San Leandro</t>
  </si>
  <si>
    <t>San Luis Obispo</t>
  </si>
  <si>
    <t>Santa Cruz</t>
  </si>
  <si>
    <t>POPULATION</t>
  </si>
  <si>
    <t>Factors:</t>
  </si>
  <si>
    <t>DAC STATUS</t>
  </si>
  <si>
    <t>Risks</t>
  </si>
  <si>
    <t>Adelanto</t>
  </si>
  <si>
    <t>Scalability</t>
  </si>
  <si>
    <t>Barstow</t>
  </si>
  <si>
    <t>Big Bear Lake</t>
  </si>
  <si>
    <t>Hesperia</t>
  </si>
  <si>
    <t>Needles</t>
  </si>
  <si>
    <t>Twentynine Palms</t>
  </si>
  <si>
    <t>Victorville</t>
  </si>
  <si>
    <t>Yucca Valley</t>
  </si>
  <si>
    <t>Reference: City of Pleasanton, 2015 Cimate Action Plan</t>
  </si>
  <si>
    <t>GHG Reduction:</t>
  </si>
  <si>
    <t>MT CO2e</t>
  </si>
  <si>
    <t>Annual Potential</t>
  </si>
  <si>
    <t>Population:</t>
  </si>
  <si>
    <t>(Jan 2016 estimate)</t>
  </si>
  <si>
    <t>Annual Potential per capita</t>
  </si>
  <si>
    <t>MT CO2e/person</t>
  </si>
  <si>
    <t>This is an esimtate from a City CAP not included in the proposal.  However, it is very detailed and provides insight on buildings-related GHG potential.</t>
  </si>
  <si>
    <t>GHG Reductions/capita</t>
  </si>
  <si>
    <t>MT CO2e/pp</t>
  </si>
  <si>
    <t>GHG per kWh</t>
  </si>
  <si>
    <t>GHG per therm</t>
  </si>
  <si>
    <t>First year savings from buildings built in 2017; assumes 353 MTCO2e/GWh and 5,303 MTCO2e/MMTherm</t>
  </si>
  <si>
    <t>MT CO2e/MMTherm</t>
  </si>
  <si>
    <t>Fraction of Elec of Energy Use</t>
  </si>
  <si>
    <t>assumption</t>
  </si>
  <si>
    <t>Fraction of Gas Use</t>
  </si>
  <si>
    <t>MT CO2e/GWh</t>
  </si>
  <si>
    <t>GHG per kBtu x 10^6 elec</t>
  </si>
  <si>
    <t>GHG per kBtu x 10^6 gas</t>
  </si>
  <si>
    <t>GHG per kBtu all fuels</t>
  </si>
  <si>
    <t>MT CO2 e/ kBtu all fuels</t>
  </si>
  <si>
    <t>1. Insufficient information is available to generate detailed estimates for any of the Climate Action Plans (CAP). The approach here is to use a detailed CAP report from the City of Pleasanton and apply to the cities in this program.</t>
  </si>
  <si>
    <t xml:space="preserve">2. The Pleasanton Study estimates a fraction of GHG reductions attributable to building energy efficiency, renewables, transportation and other sources. </t>
  </si>
  <si>
    <t>3. For the Level 1 estimate, we use this breakdown and industry-published average conversion factors.</t>
  </si>
  <si>
    <t>See GHG Assumptions</t>
  </si>
  <si>
    <t>SBCOG Total</t>
  </si>
  <si>
    <t>San Bernardino COG</t>
  </si>
  <si>
    <t>4. First year savings from buildings built in 2017; assumes 353 MTCO2e/GWh and 5,303 MTCO2e/MMTherm</t>
  </si>
  <si>
    <t>Therm</t>
  </si>
  <si>
    <t>kWh</t>
  </si>
  <si>
    <t>City of Davis</t>
  </si>
  <si>
    <t>City of Norwalk</t>
  </si>
  <si>
    <t>Do Climate Action Plans cover only municipal buildings, or residential and other commrecial as well?</t>
  </si>
  <si>
    <t>City of Oakland</t>
  </si>
  <si>
    <t>Housing Authority San Bernardino</t>
  </si>
  <si>
    <t>County of Santa Clara</t>
  </si>
  <si>
    <t>PV Fraction</t>
  </si>
  <si>
    <t>IOU/POU Overlap</t>
  </si>
  <si>
    <t>Attribution</t>
  </si>
  <si>
    <t>Non-Building Fraction</t>
  </si>
  <si>
    <t>Potential Rate</t>
  </si>
  <si>
    <t>Adjustments:</t>
  </si>
  <si>
    <t>1. PV Fraction - fraction of projected program savings attributed to PV and renewables. Either 0% (no impact), 25% (some impact), or 100% (total defined program)</t>
  </si>
  <si>
    <t>2. Non-building program - portion of funds/savings potential attributed to non-buildings measures (water conservation, streetlights, transportation).</t>
  </si>
  <si>
    <t>3. IOU/POU Overlap - fixed 10% assumption. There is little expected overlap with other programs, since overarching programs have a broader scope than targeted programs, and since local governments would likely not fund competing programs otherwise.</t>
  </si>
  <si>
    <t>Baseline Source</t>
  </si>
  <si>
    <t>Project Admin</t>
  </si>
  <si>
    <t>Project Admin*</t>
  </si>
  <si>
    <t>Proportional by population</t>
  </si>
  <si>
    <t>Project Proposal</t>
  </si>
  <si>
    <t>None-0</t>
  </si>
  <si>
    <t>Low-10</t>
  </si>
  <si>
    <t>Medium-25</t>
  </si>
  <si>
    <t>High-40</t>
  </si>
  <si>
    <t>Exclusion Notes</t>
  </si>
  <si>
    <t>PV Project with battery storage</t>
  </si>
  <si>
    <t>DER for CCAs - supply resources are not readily attributed to buildings</t>
  </si>
  <si>
    <t>Attribution:</t>
  </si>
  <si>
    <t>25% for CAP projects with overarching GHG goals</t>
  </si>
  <si>
    <t>100% for targeted projects of specific buildings with specific reduction targets</t>
  </si>
  <si>
    <t>Oceano, Shandon, San Miguel: combined population &amp; EUI estimate</t>
  </si>
  <si>
    <t>Scope</t>
  </si>
  <si>
    <t>Muni</t>
  </si>
  <si>
    <t>Muni+Commerical</t>
  </si>
  <si>
    <t>Supply</t>
  </si>
  <si>
    <t>SLO:</t>
  </si>
  <si>
    <t>Oceano</t>
  </si>
  <si>
    <t>Shandon</t>
  </si>
  <si>
    <t>San Miguel</t>
  </si>
  <si>
    <t>Population</t>
  </si>
  <si>
    <t>Total</t>
  </si>
  <si>
    <t>SLO County</t>
  </si>
  <si>
    <t>EUI Home</t>
  </si>
  <si>
    <t>Btu</t>
  </si>
  <si>
    <t>kBtu/sf</t>
  </si>
  <si>
    <t>kWh/sf</t>
  </si>
  <si>
    <t>Avg Home</t>
  </si>
  <si>
    <t>kBtu/sf gas</t>
  </si>
  <si>
    <t>sf</t>
  </si>
  <si>
    <t>therm</t>
  </si>
  <si>
    <t>Bottom quartile</t>
  </si>
  <si>
    <t>M therm</t>
  </si>
  <si>
    <t>4. Some savings may come immediately from targeted projects (&lt;5%), but since the bulk of savings stems from larger programs, assume steady rate of increase in projects and associated savings.</t>
  </si>
  <si>
    <t>Direct</t>
  </si>
  <si>
    <t>Not used</t>
  </si>
  <si>
    <t xml:space="preserve">This aggressive energy savings forecast assumes a doubling of adoption rate in 2025, and a doubling of adoption rate again in 2028, </t>
  </si>
  <si>
    <t xml:space="preserve">with the same average program savings per project.  Such an aggressive scenario is feasible due to the fact that the local </t>
  </si>
  <si>
    <t xml:space="preserve">governments awarded projects is such a small percentage of the population served by the communities is less than 10% of the </t>
  </si>
  <si>
    <t>state population.</t>
  </si>
  <si>
    <t>Ventura County Regional Energy Alliance</t>
  </si>
  <si>
    <t>Lompoc</t>
  </si>
  <si>
    <t>Ventura</t>
  </si>
  <si>
    <t>Moorpark</t>
  </si>
  <si>
    <t>Thousand Oaks</t>
  </si>
  <si>
    <t>Round 2</t>
  </si>
  <si>
    <t>Round 3</t>
  </si>
  <si>
    <t>Weighting</t>
  </si>
  <si>
    <t>EUL</t>
  </si>
  <si>
    <t>HVAC Equipment</t>
  </si>
  <si>
    <t>HVAC Control Equipment</t>
  </si>
  <si>
    <t>HVAC Control Operations</t>
  </si>
  <si>
    <t>Lighting Equipment</t>
  </si>
  <si>
    <t>Lighting Control</t>
  </si>
  <si>
    <t>Other</t>
  </si>
  <si>
    <t>Incremental savings by Year:</t>
  </si>
  <si>
    <t>Electricity (GWh)</t>
  </si>
  <si>
    <t>Manually Entered Value</t>
  </si>
  <si>
    <t>Automatic Calculation</t>
  </si>
  <si>
    <t>Decay-adjusted Values</t>
  </si>
  <si>
    <t>Year</t>
  </si>
  <si>
    <t>Cumulative</t>
  </si>
  <si>
    <t>Gas (MM Therms)</t>
  </si>
  <si>
    <t>Cumulative Savings (MM Therms)</t>
  </si>
  <si>
    <t>Note: default mix of measures assumed for LGC SB350 projects, which realize savings beginning in 2021.</t>
  </si>
  <si>
    <t>San Luis Obispo Project Baseline estimate is derived from the following:</t>
  </si>
  <si>
    <t>1. Calculate directly affected low-income residential population: 10,917</t>
  </si>
  <si>
    <t>2. Estimate number of homes in bottom quartile of affected area: 70,5000</t>
  </si>
  <si>
    <t>3. Assume an average household size of 4. Estimated residential homes targeted is 17,625.</t>
  </si>
  <si>
    <t>4. Apply an estimated residential EUI of 37.9 kBtu/sf, and assume 80% is electric and 20% gas.</t>
  </si>
  <si>
    <t>Target Home Population</t>
  </si>
  <si>
    <t>San Luis Obispo Elec Baseline</t>
  </si>
  <si>
    <t>San Luis Obispo Gas Baseline</t>
  </si>
  <si>
    <t>Baseline estimate from City</t>
  </si>
  <si>
    <t>Assumptions used for small city Climate Action Plans with no energy estimates.  Apply City of Pleasanton GHG use and breakdown of energy use by buildings, transporation, other.</t>
  </si>
  <si>
    <t>See "GHG Assumptions" tab for additional assumptions.</t>
  </si>
  <si>
    <t>City of Galt:</t>
  </si>
  <si>
    <t>City of San Luis Obispo:</t>
  </si>
  <si>
    <t>Baseline Proportional to SantaBarabara</t>
  </si>
  <si>
    <t>MF</t>
  </si>
  <si>
    <t>GOG--&gt;kBtu Sav</t>
  </si>
  <si>
    <t>Baseline proportional to Gateway Cities (Note 1)</t>
  </si>
  <si>
    <t>Note 1: multiplier applied to reflect that project covers both Muni and singificant commercial scope as well.</t>
  </si>
  <si>
    <t>See Assumptions below (cell C40)</t>
  </si>
  <si>
    <t>Not-Awarded Projects - not included directly due to limited data.  These are effectively included in the aggressive scenario by assuming two more rounds of funded projects with similar scope and savings.</t>
  </si>
  <si>
    <t>Phase 2 - Project Level Estimate</t>
  </si>
  <si>
    <t>Baseline Assumptions</t>
  </si>
  <si>
    <t>Baseline</t>
  </si>
  <si>
    <t>Cumulative Energy Savings Potential - Electricity</t>
  </si>
  <si>
    <t>Cumulative Energy Savings Potential - Gas</t>
  </si>
  <si>
    <t>Scenario</t>
  </si>
  <si>
    <t>Conservative</t>
  </si>
  <si>
    <t>Reference</t>
  </si>
  <si>
    <t>Aggressive</t>
  </si>
  <si>
    <t>SB 350 ENERGY SAVINGS POTENTIAL</t>
  </si>
  <si>
    <t xml:space="preserve">NON-UTILITY PROGRAM TECHNICAL ASSESSMENT </t>
  </si>
  <si>
    <t>PROGRAM DATA WORKBOOK</t>
  </si>
  <si>
    <t>Reference Document:</t>
  </si>
  <si>
    <t>Contract:</t>
  </si>
  <si>
    <t>California Energy Commission 400-15-012</t>
  </si>
  <si>
    <t>Prepared by:</t>
  </si>
  <si>
    <t>NORESCO, TRC Energy Services, Center for Sustainable Energy</t>
  </si>
  <si>
    <t>Revised:</t>
  </si>
  <si>
    <t>Workbook Tab Definition</t>
  </si>
  <si>
    <t>Program Analysis</t>
  </si>
  <si>
    <t>This tab presents an overview of the program, high-level assumptions, and general calculation methods.</t>
  </si>
  <si>
    <t>SB 350 Potential</t>
  </si>
  <si>
    <t>This tab summarizes the non-utility energy savings potential for each scenario by building sector.</t>
  </si>
  <si>
    <t xml:space="preserve">This tab shows the "reference" case of the analysis which assumes business-as-usual trends. </t>
  </si>
  <si>
    <t xml:space="preserve">This tab shows the "conservative" case of the analysis built upon the "reference" case. </t>
  </si>
  <si>
    <t xml:space="preserve">This tab shows the "aggressive" case of the analysis built upon the "reference" case. </t>
  </si>
  <si>
    <t>Graph (electricity)</t>
  </si>
  <si>
    <t>Graph (gas)</t>
  </si>
  <si>
    <t>Acronym Definition</t>
  </si>
  <si>
    <t>Definition</t>
  </si>
  <si>
    <t xml:space="preserve">Gigawatt hours </t>
  </si>
  <si>
    <t>Million therms</t>
  </si>
  <si>
    <t>SB 350</t>
  </si>
  <si>
    <t>Senate Bill 350</t>
  </si>
  <si>
    <t>AAEE</t>
  </si>
  <si>
    <t>AAEE is defined as energy savings not yet considered committed but deemed likely to occur, including future updates of building codes, appliance regulations, and utility efficiency programs</t>
  </si>
  <si>
    <t>Single family and multi-family buildings</t>
  </si>
  <si>
    <t>Non-residential</t>
  </si>
  <si>
    <t xml:space="preserve">Commercial and public buildings, excluding industrial and agriculture. </t>
  </si>
  <si>
    <t>Program Information</t>
  </si>
  <si>
    <t>Data Sources</t>
  </si>
  <si>
    <t>Savings Overlap Assumptions</t>
  </si>
  <si>
    <t>Utility Savings Overlap</t>
  </si>
  <si>
    <t>Demand Forecast Overlap</t>
  </si>
  <si>
    <t>Negligible</t>
  </si>
  <si>
    <t>AAEE Overlap</t>
  </si>
  <si>
    <t>Scenario Assumptions</t>
  </si>
  <si>
    <t>Reference Case</t>
  </si>
  <si>
    <t>Conservative Case</t>
  </si>
  <si>
    <t>Aggressive Case</t>
  </si>
  <si>
    <t>Scenario:</t>
  </si>
  <si>
    <t>All</t>
  </si>
  <si>
    <t xml:space="preserve">Residential </t>
  </si>
  <si>
    <t>Combined</t>
  </si>
  <si>
    <t>First-Year Savings</t>
  </si>
  <si>
    <t>Assumption:</t>
  </si>
  <si>
    <t>No overlap, full savings potential</t>
  </si>
  <si>
    <t>First-Year Savings minus Utility Overlap</t>
  </si>
  <si>
    <t>Decay inputs</t>
  </si>
  <si>
    <t>Note: These weightings are from Prop 39 data.  Feel free to change them if you have program-specific data to support the change.  We can also update the categories and EULs as necessary but we should make that decision as a team, not at the individual program level.  Assumption for decay is that savings decay by 50% after each EUL period (50% decay after 1 EUL period. 75% after 2, 87.5% after 3, etc.).  Decay maxes out at 93.75% after 4 EUL periods.</t>
  </si>
  <si>
    <t>Incremental Savings by Year</t>
  </si>
  <si>
    <t>Appendix A6 - Local Government Challenge</t>
  </si>
  <si>
    <t>BEARS Worksheet</t>
  </si>
  <si>
    <t>LGC Worksheet</t>
  </si>
  <si>
    <t>Program Term</t>
  </si>
  <si>
    <t>Category</t>
  </si>
  <si>
    <t>Brief Summary of awarded projects scope and project narratives</t>
  </si>
  <si>
    <t>Energy Commission Award Notice</t>
  </si>
  <si>
    <t>Program request for proposal guidelines</t>
  </si>
  <si>
    <t>Published literature on similar climate action plans</t>
  </si>
  <si>
    <t>Methodology for converting GHG emissions to energy savings</t>
  </si>
  <si>
    <t>Interviews with subject matter experts (Energy and Environmental Economics, and others)</t>
  </si>
  <si>
    <t>Information on Climate Action Plan(s) from other, similar cities and jurisdictions in California</t>
  </si>
  <si>
    <t>LGC Conservative</t>
  </si>
  <si>
    <t>See notes on the right.</t>
  </si>
  <si>
    <t>Assume Prop 39 overlap</t>
  </si>
  <si>
    <t>GHG Assumptions</t>
  </si>
  <si>
    <t>LGC</t>
  </si>
  <si>
    <t>Residential &amp; MF</t>
  </si>
  <si>
    <t>Residential %</t>
  </si>
  <si>
    <t>Program funding continues at the same rate every 3 to 4 years, with the same energy savings level across all funded programs.</t>
  </si>
  <si>
    <t>Reduced savings level attributed to non-PV sources; reduced project savings rate from 33% to 25% for most projects.</t>
  </si>
  <si>
    <t>Calculated savings for each funded project that has energy efficiency. PV generation and battery storage, and other non-building energy savings due to transportation, street lighting and other sources are not included.</t>
  </si>
  <si>
    <t>Gas Allocation</t>
  </si>
  <si>
    <t xml:space="preserve">This graph shows the SB 350 electricity savings potential by scenario, for both residential and nonresidential sectors. </t>
  </si>
  <si>
    <t xml:space="preserve">This graph shows the SB 350 natural gas savings potential by scenario, for both residential and nonresidential sectors. </t>
  </si>
  <si>
    <t xml:space="preserve">This tab contains the raw data and processed data that contributed to the analysis. </t>
  </si>
  <si>
    <t>Savings by Sector</t>
  </si>
  <si>
    <t>Electricity Allocation</t>
  </si>
  <si>
    <t xml:space="preserve">This tab contains the sources of greenhouse gas to electricity and gas savings conversion factors.  </t>
  </si>
  <si>
    <t>Proposal submittals for the awarded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</si>
</sst>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quot;$&quot;#,##0"/>
    <numFmt numFmtId="166" formatCode="0.000"/>
    <numFmt numFmtId="167" formatCode="[$-F800]dddd\,\ mmmm\ dd\,\ yyyy"/>
    <numFmt numFmtId="168" formatCode="_(* #,##0.0_);_(* \(#,##0.0\);_(* &quot;-&quot;??_);_(@_)"/>
  </numFmts>
  <fonts count="43" x14ac:knownFonts="1">
    <font>
      <sz val="11"/>
      <color theme="1"/>
      <name val="Calibri"/>
      <family val="2"/>
      <scheme val="minor"/>
    </font>
    <font>
      <sz val="11"/>
      <color theme="1"/>
      <name val="Arial"/>
      <family val="2"/>
    </font>
    <font>
      <sz val="11"/>
      <color theme="1"/>
      <name val="Arial"/>
      <family val="2"/>
    </font>
    <font>
      <b/>
      <sz val="11"/>
      <color theme="1"/>
      <name val="Calibri"/>
      <family val="2"/>
      <scheme val="minor"/>
    </font>
    <font>
      <sz val="10"/>
      <color theme="1"/>
      <name val="Arial"/>
      <family val="2"/>
    </font>
    <font>
      <sz val="11"/>
      <color theme="1"/>
      <name val="Calibri"/>
      <family val="2"/>
      <scheme val="minor"/>
    </font>
    <font>
      <b/>
      <sz val="10"/>
      <name val="Arial"/>
      <family val="2"/>
    </font>
    <font>
      <sz val="8"/>
      <name val="Arial"/>
      <family val="2"/>
    </font>
    <font>
      <b/>
      <sz val="14"/>
      <color theme="1"/>
      <name val="Calibri"/>
      <family val="2"/>
      <scheme val="minor"/>
    </font>
    <font>
      <sz val="11"/>
      <color rgb="FFFF0000"/>
      <name val="Calibri"/>
      <family val="2"/>
      <scheme val="minor"/>
    </font>
    <font>
      <sz val="14"/>
      <color theme="1"/>
      <name val="Calibri"/>
      <family val="2"/>
      <scheme val="minor"/>
    </font>
    <font>
      <b/>
      <sz val="14"/>
      <color rgb="FF0070C0"/>
      <name val="Calibri"/>
      <family val="2"/>
      <scheme val="minor"/>
    </font>
    <font>
      <sz val="9"/>
      <color indexed="81"/>
      <name val="Tahoma"/>
      <family val="2"/>
    </font>
    <font>
      <b/>
      <sz val="9"/>
      <color indexed="81"/>
      <name val="Tahoma"/>
      <family val="2"/>
    </font>
    <font>
      <sz val="16"/>
      <name val="Arial"/>
      <family val="2"/>
    </font>
    <font>
      <sz val="10"/>
      <name val="Arial"/>
      <family val="2"/>
    </font>
    <font>
      <sz val="11"/>
      <color theme="0" tint="-0.499984740745262"/>
      <name val="Calibri"/>
      <family val="2"/>
      <scheme val="minor"/>
    </font>
    <font>
      <b/>
      <sz val="14"/>
      <color rgb="FFFF0000"/>
      <name val="Calibri"/>
      <family val="2"/>
      <scheme val="minor"/>
    </font>
    <font>
      <b/>
      <sz val="11"/>
      <color rgb="FFFF0000"/>
      <name val="Calibri"/>
      <family val="2"/>
      <scheme val="minor"/>
    </font>
    <font>
      <sz val="10"/>
      <color theme="1"/>
      <name val="Calibri"/>
      <family val="2"/>
      <scheme val="minor"/>
    </font>
    <font>
      <b/>
      <sz val="18"/>
      <color theme="1"/>
      <name val="Calibri"/>
      <family val="2"/>
    </font>
    <font>
      <b/>
      <sz val="11"/>
      <color theme="0" tint="-0.499984740745262"/>
      <name val="Calibri"/>
      <family val="2"/>
      <scheme val="minor"/>
    </font>
    <font>
      <sz val="14"/>
      <color theme="1"/>
      <name val="Arial"/>
      <family val="2"/>
    </font>
    <font>
      <sz val="10"/>
      <color theme="0" tint="-0.499984740745262"/>
      <name val="Calibri"/>
      <family val="2"/>
      <scheme val="minor"/>
    </font>
    <font>
      <sz val="12"/>
      <color theme="1"/>
      <name val="Calibri"/>
      <family val="2"/>
      <scheme val="minor"/>
    </font>
    <font>
      <sz val="10"/>
      <name val="Calibri"/>
      <family val="2"/>
      <scheme val="minor"/>
    </font>
    <font>
      <b/>
      <i/>
      <sz val="10"/>
      <name val="Arial"/>
      <family val="2"/>
    </font>
    <font>
      <i/>
      <sz val="10"/>
      <name val="Arial"/>
      <family val="2"/>
    </font>
    <font>
      <b/>
      <sz val="11"/>
      <color theme="1"/>
      <name val="Arial"/>
      <family val="2"/>
    </font>
    <font>
      <sz val="8"/>
      <color rgb="FF000000"/>
      <name val="MS Shell Dlg 2"/>
    </font>
    <font>
      <sz val="9"/>
      <color theme="1"/>
      <name val="Arial"/>
      <family val="2"/>
    </font>
    <font>
      <i/>
      <sz val="11"/>
      <color theme="1"/>
      <name val="Calibri"/>
      <family val="2"/>
      <scheme val="minor"/>
    </font>
    <font>
      <sz val="9"/>
      <color rgb="FF000000"/>
      <name val="MS Shell Dlg 2"/>
    </font>
    <font>
      <b/>
      <i/>
      <sz val="11"/>
      <color theme="1"/>
      <name val="Calibri"/>
      <family val="2"/>
      <scheme val="minor"/>
    </font>
    <font>
      <sz val="11"/>
      <color rgb="FF006100"/>
      <name val="Arial"/>
      <family val="2"/>
    </font>
    <font>
      <sz val="11"/>
      <color rgb="FF006100"/>
      <name val="Calibri"/>
      <family val="2"/>
      <scheme val="minor"/>
    </font>
    <font>
      <sz val="11"/>
      <name val="Calibri"/>
      <family val="2"/>
      <scheme val="minor"/>
    </font>
    <font>
      <sz val="18"/>
      <color theme="1"/>
      <name val="Arial"/>
      <family val="2"/>
    </font>
    <font>
      <b/>
      <sz val="14"/>
      <color theme="1"/>
      <name val="Arial"/>
      <family val="2"/>
    </font>
    <font>
      <b/>
      <i/>
      <sz val="18"/>
      <color theme="1"/>
      <name val="Calibri"/>
      <family val="2"/>
      <scheme val="minor"/>
    </font>
    <font>
      <b/>
      <sz val="11"/>
      <color rgb="FF0070C0"/>
      <name val="Calibri"/>
      <family val="2"/>
      <scheme val="minor"/>
    </font>
    <font>
      <u/>
      <sz val="9"/>
      <color theme="10"/>
      <name val="Calibri"/>
      <family val="2"/>
      <scheme val="minor"/>
    </font>
    <font>
      <b/>
      <i/>
      <sz val="11"/>
      <color rgb="FFFF0000"/>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rgb="FFC6EFCE"/>
      </patternFill>
    </fill>
    <fill>
      <patternFill patternType="solid">
        <fgColor theme="0" tint="-4.9989318521683403E-2"/>
        <bgColor indexed="64"/>
      </patternFill>
    </fill>
    <fill>
      <patternFill patternType="solid">
        <fgColor rgb="FFFF0000"/>
        <bgColor indexed="64"/>
      </patternFill>
    </fill>
    <fill>
      <patternFill patternType="solid">
        <fgColor theme="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medium">
        <color indexed="64"/>
      </bottom>
      <diagonal/>
    </border>
  </borders>
  <cellStyleXfs count="19">
    <xf numFmtId="0" fontId="0" fillId="0" borderId="0"/>
    <xf numFmtId="44" fontId="5" fillId="0" borderId="0" applyFont="0" applyFill="0" applyBorder="0" applyAlignment="0" applyProtection="0"/>
    <xf numFmtId="43" fontId="15" fillId="0" borderId="0" applyFont="0" applyFill="0" applyBorder="0" applyAlignment="0" applyProtection="0">
      <alignment wrapText="1"/>
    </xf>
    <xf numFmtId="44" fontId="15" fillId="0" borderId="0" applyFont="0" applyFill="0" applyBorder="0" applyAlignment="0" applyProtection="0">
      <alignment wrapText="1"/>
    </xf>
    <xf numFmtId="43" fontId="15" fillId="0" borderId="0" applyFont="0" applyFill="0" applyBorder="0" applyAlignment="0" applyProtection="0">
      <alignment wrapText="1"/>
    </xf>
    <xf numFmtId="0" fontId="15" fillId="0" borderId="0">
      <alignment wrapText="1"/>
    </xf>
    <xf numFmtId="9" fontId="5" fillId="0" borderId="0" applyFont="0" applyFill="0" applyBorder="0" applyAlignment="0" applyProtection="0"/>
    <xf numFmtId="0" fontId="15" fillId="0" borderId="0"/>
    <xf numFmtId="0" fontId="15" fillId="0" borderId="0"/>
    <xf numFmtId="0" fontId="34" fillId="8" borderId="0" applyNumberFormat="0" applyBorder="0" applyAlignment="0" applyProtection="0"/>
    <xf numFmtId="43" fontId="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41" fillId="0" borderId="0" applyNumberFormat="0" applyFill="0" applyBorder="0" applyAlignment="0" applyProtection="0"/>
    <xf numFmtId="0" fontId="15" fillId="0" borderId="0"/>
    <xf numFmtId="0" fontId="5" fillId="0" borderId="0"/>
    <xf numFmtId="0" fontId="5" fillId="0" borderId="0"/>
    <xf numFmtId="9" fontId="15" fillId="0" borderId="0" applyFont="0" applyFill="0" applyBorder="0" applyAlignment="0" applyProtection="0"/>
    <xf numFmtId="9" fontId="15" fillId="0" borderId="0" applyFont="0" applyFill="0" applyBorder="0" applyAlignment="0" applyProtection="0"/>
  </cellStyleXfs>
  <cellXfs count="292">
    <xf numFmtId="0" fontId="0" fillId="0" borderId="0" xfId="0"/>
    <xf numFmtId="0" fontId="3" fillId="0" borderId="0" xfId="0" applyFont="1"/>
    <xf numFmtId="0" fontId="0" fillId="0" borderId="0" xfId="0" applyFont="1"/>
    <xf numFmtId="0" fontId="0" fillId="0" borderId="0" xfId="0" applyBorder="1"/>
    <xf numFmtId="0" fontId="0" fillId="0" borderId="0" xfId="0" applyAlignment="1">
      <alignment wrapText="1"/>
    </xf>
    <xf numFmtId="0" fontId="8" fillId="0" borderId="0" xfId="0" applyFont="1"/>
    <xf numFmtId="0" fontId="4" fillId="0" borderId="0" xfId="0" applyFont="1" applyAlignment="1">
      <alignment horizontal="left"/>
    </xf>
    <xf numFmtId="0" fontId="0" fillId="0" borderId="0" xfId="0" applyFont="1" applyFill="1" applyBorder="1"/>
    <xf numFmtId="0" fontId="10" fillId="0" borderId="0" xfId="0" applyFont="1"/>
    <xf numFmtId="0" fontId="14" fillId="0" borderId="0" xfId="0" applyFont="1" applyFill="1" applyBorder="1" applyAlignment="1"/>
    <xf numFmtId="0" fontId="15" fillId="0" borderId="0" xfId="0" applyNumberFormat="1" applyFont="1" applyFill="1" applyBorder="1" applyAlignment="1">
      <alignment horizontal="center"/>
    </xf>
    <xf numFmtId="0" fontId="15" fillId="0" borderId="0" xfId="0" applyFont="1" applyFill="1" applyBorder="1" applyAlignment="1"/>
    <xf numFmtId="0" fontId="6" fillId="0" borderId="0" xfId="0" applyFont="1" applyFill="1" applyBorder="1" applyAlignment="1"/>
    <xf numFmtId="0" fontId="6" fillId="0" borderId="0" xfId="0" applyFont="1" applyFill="1" applyBorder="1" applyAlignment="1">
      <alignment horizontal="center" wrapText="1"/>
    </xf>
    <xf numFmtId="0" fontId="15" fillId="4" borderId="0" xfId="0" applyFont="1" applyFill="1" applyBorder="1" applyAlignment="1"/>
    <xf numFmtId="0" fontId="15" fillId="0" borderId="1" xfId="0" applyNumberFormat="1" applyFont="1" applyFill="1" applyBorder="1" applyAlignment="1">
      <alignment horizontal="center"/>
    </xf>
    <xf numFmtId="0" fontId="3" fillId="0" borderId="0" xfId="0" applyFont="1" applyAlignment="1"/>
    <xf numFmtId="0" fontId="6" fillId="3" borderId="1" xfId="0" applyNumberFormat="1" applyFont="1" applyFill="1" applyBorder="1" applyAlignment="1">
      <alignment horizontal="center" wrapText="1"/>
    </xf>
    <xf numFmtId="0" fontId="15" fillId="0" borderId="0" xfId="0" applyNumberFormat="1" applyFont="1" applyFill="1" applyAlignment="1">
      <alignment horizontal="center"/>
    </xf>
    <xf numFmtId="0" fontId="15" fillId="0" borderId="1" xfId="0" applyNumberFormat="1" applyFont="1" applyFill="1" applyBorder="1" applyAlignment="1">
      <alignment horizontal="center" wrapText="1"/>
    </xf>
    <xf numFmtId="0" fontId="15" fillId="0" borderId="0" xfId="0" applyFont="1" applyAlignment="1">
      <alignment horizontal="center" wrapText="1"/>
    </xf>
    <xf numFmtId="0" fontId="15" fillId="0" borderId="1" xfId="0" applyFont="1" applyBorder="1" applyAlignment="1">
      <alignment horizontal="center" wrapText="1"/>
    </xf>
    <xf numFmtId="0" fontId="15" fillId="0" borderId="1" xfId="0" applyNumberFormat="1" applyFont="1" applyFill="1" applyBorder="1" applyAlignment="1">
      <alignment horizontal="center" vertical="center"/>
    </xf>
    <xf numFmtId="0" fontId="15" fillId="0" borderId="1" xfId="0" applyFont="1" applyFill="1" applyBorder="1" applyAlignment="1">
      <alignment horizontal="center" wrapText="1"/>
    </xf>
    <xf numFmtId="0" fontId="15" fillId="0" borderId="0" xfId="0" applyNumberFormat="1" applyFont="1" applyFill="1" applyBorder="1" applyAlignment="1">
      <alignment horizontal="center" vertical="center"/>
    </xf>
    <xf numFmtId="0" fontId="15" fillId="0" borderId="5" xfId="0" applyNumberFormat="1" applyFont="1" applyFill="1" applyBorder="1" applyAlignment="1">
      <alignment horizontal="center"/>
    </xf>
    <xf numFmtId="0" fontId="15" fillId="0" borderId="1" xfId="5" applyNumberFormat="1" applyFont="1" applyFill="1" applyBorder="1" applyAlignment="1">
      <alignment horizontal="center"/>
    </xf>
    <xf numFmtId="0" fontId="15" fillId="0" borderId="0" xfId="5" applyFont="1" applyAlignment="1">
      <alignment horizontal="center" wrapText="1"/>
    </xf>
    <xf numFmtId="0" fontId="15" fillId="0" borderId="1" xfId="5" applyFont="1" applyBorder="1" applyAlignment="1">
      <alignment horizontal="center" wrapText="1"/>
    </xf>
    <xf numFmtId="0" fontId="15" fillId="0" borderId="0" xfId="5" applyNumberFormat="1" applyFont="1" applyFill="1" applyAlignment="1">
      <alignment horizontal="center"/>
    </xf>
    <xf numFmtId="0" fontId="7" fillId="0" borderId="7" xfId="5" applyNumberFormat="1" applyFont="1" applyFill="1" applyBorder="1" applyAlignment="1">
      <alignment horizontal="left"/>
    </xf>
    <xf numFmtId="0" fontId="15" fillId="0" borderId="0" xfId="5">
      <alignment wrapText="1"/>
    </xf>
    <xf numFmtId="0" fontId="15" fillId="4" borderId="1" xfId="5" applyNumberFormat="1" applyFont="1" applyFill="1" applyBorder="1" applyAlignment="1">
      <alignment horizontal="center"/>
    </xf>
    <xf numFmtId="0" fontId="15" fillId="0" borderId="1" xfId="5" applyFont="1" applyFill="1" applyBorder="1" applyAlignment="1">
      <alignment horizontal="center" wrapText="1"/>
    </xf>
    <xf numFmtId="0" fontId="15" fillId="0" borderId="1" xfId="5" applyNumberFormat="1" applyFont="1" applyFill="1" applyBorder="1" applyAlignment="1">
      <alignment horizontal="center" vertical="center"/>
    </xf>
    <xf numFmtId="0" fontId="15" fillId="0" borderId="5" xfId="5" applyNumberFormat="1" applyFont="1" applyFill="1" applyBorder="1" applyAlignment="1">
      <alignment horizontal="center"/>
    </xf>
    <xf numFmtId="0" fontId="15" fillId="0" borderId="5" xfId="5" applyFont="1" applyFill="1" applyBorder="1" applyAlignment="1">
      <alignment horizontal="center" wrapText="1"/>
    </xf>
    <xf numFmtId="0" fontId="7" fillId="0" borderId="0" xfId="5" applyNumberFormat="1" applyFont="1" applyFill="1" applyBorder="1" applyAlignment="1">
      <alignment horizontal="left"/>
    </xf>
    <xf numFmtId="0" fontId="15" fillId="0" borderId="0" xfId="5" applyFont="1" applyFill="1" applyAlignment="1">
      <alignment horizontal="center" wrapText="1"/>
    </xf>
    <xf numFmtId="0" fontId="0" fillId="0" borderId="0" xfId="0" applyFont="1" applyBorder="1"/>
    <xf numFmtId="0" fontId="0" fillId="0" borderId="0" xfId="0" applyFont="1" applyFill="1" applyBorder="1" applyAlignment="1">
      <alignment horizontal="center"/>
    </xf>
    <xf numFmtId="164" fontId="0" fillId="0" borderId="0" xfId="0" applyNumberFormat="1" applyFont="1" applyFill="1" applyBorder="1"/>
    <xf numFmtId="0" fontId="21" fillId="0" borderId="11" xfId="0" applyFont="1" applyBorder="1" applyAlignment="1">
      <alignment horizontal="left"/>
    </xf>
    <xf numFmtId="0" fontId="22" fillId="0" borderId="0" xfId="0" applyFont="1" applyAlignment="1">
      <alignment horizontal="left"/>
    </xf>
    <xf numFmtId="0" fontId="23" fillId="0" borderId="0" xfId="0" applyFont="1" applyBorder="1"/>
    <xf numFmtId="0" fontId="3" fillId="0" borderId="15" xfId="0" applyFont="1" applyBorder="1"/>
    <xf numFmtId="0" fontId="0" fillId="0" borderId="15" xfId="0" applyFont="1" applyBorder="1"/>
    <xf numFmtId="0" fontId="0" fillId="0" borderId="15" xfId="0" applyBorder="1"/>
    <xf numFmtId="0" fontId="0" fillId="0" borderId="16" xfId="0" applyBorder="1"/>
    <xf numFmtId="0" fontId="3" fillId="0" borderId="0" xfId="0" applyFont="1" applyBorder="1"/>
    <xf numFmtId="0" fontId="0" fillId="0" borderId="18" xfId="0" applyBorder="1"/>
    <xf numFmtId="0" fontId="0" fillId="0" borderId="17" xfId="0" applyBorder="1"/>
    <xf numFmtId="0" fontId="8" fillId="0" borderId="0" xfId="0" applyFont="1" applyFill="1" applyBorder="1"/>
    <xf numFmtId="0" fontId="0" fillId="0" borderId="17" xfId="0" applyFont="1" applyFill="1" applyBorder="1"/>
    <xf numFmtId="0" fontId="0" fillId="0" borderId="19" xfId="0" applyBorder="1"/>
    <xf numFmtId="0" fontId="0" fillId="0" borderId="20" xfId="0" applyBorder="1"/>
    <xf numFmtId="0" fontId="0" fillId="0" borderId="21" xfId="0" applyBorder="1"/>
    <xf numFmtId="0" fontId="0" fillId="0" borderId="17" xfId="0" applyFont="1" applyBorder="1"/>
    <xf numFmtId="0" fontId="18" fillId="0" borderId="0" xfId="0" applyFont="1" applyFill="1" applyBorder="1" applyAlignment="1">
      <alignment horizontal="center"/>
    </xf>
    <xf numFmtId="164" fontId="18" fillId="0" borderId="0" xfId="0" applyNumberFormat="1" applyFont="1" applyFill="1" applyBorder="1"/>
    <xf numFmtId="0" fontId="11" fillId="0" borderId="14" xfId="0" applyFont="1" applyBorder="1"/>
    <xf numFmtId="0" fontId="24" fillId="0" borderId="0" xfId="0" applyFont="1" applyFill="1" applyBorder="1" applyAlignment="1">
      <alignment horizontal="left" vertical="top"/>
    </xf>
    <xf numFmtId="0" fontId="19" fillId="0" borderId="0" xfId="0" applyFont="1" applyBorder="1" applyAlignment="1">
      <alignment horizontal="right"/>
    </xf>
    <xf numFmtId="0" fontId="17" fillId="0" borderId="0" xfId="0" applyFont="1"/>
    <xf numFmtId="0" fontId="16" fillId="0" borderId="0" xfId="0" applyFont="1"/>
    <xf numFmtId="0" fontId="16" fillId="0" borderId="0" xfId="0" applyFont="1" applyFill="1" applyBorder="1"/>
    <xf numFmtId="0" fontId="16" fillId="0" borderId="0" xfId="0" applyFont="1" applyFill="1"/>
    <xf numFmtId="0" fontId="16" fillId="0" borderId="0" xfId="0" applyFont="1" applyFill="1" applyBorder="1" applyAlignment="1">
      <alignment horizontal="left"/>
    </xf>
    <xf numFmtId="0" fontId="16" fillId="0" borderId="0" xfId="0" applyFont="1" applyBorder="1"/>
    <xf numFmtId="0" fontId="25" fillId="0" borderId="0" xfId="0" applyFont="1"/>
    <xf numFmtId="0" fontId="25" fillId="0" borderId="0" xfId="0" applyFont="1" applyAlignment="1">
      <alignment wrapText="1"/>
    </xf>
    <xf numFmtId="2" fontId="25" fillId="0" borderId="0" xfId="0" applyNumberFormat="1" applyFont="1"/>
    <xf numFmtId="2" fontId="15" fillId="0" borderId="0" xfId="0" applyNumberFormat="1" applyFont="1" applyFill="1" applyBorder="1" applyAlignment="1"/>
    <xf numFmtId="2" fontId="15" fillId="4" borderId="0" xfId="0" applyNumberFormat="1" applyFont="1" applyFill="1" applyBorder="1" applyAlignment="1"/>
    <xf numFmtId="164" fontId="15" fillId="0" borderId="0" xfId="0" applyNumberFormat="1" applyFont="1" applyFill="1" applyBorder="1" applyAlignment="1"/>
    <xf numFmtId="164" fontId="15" fillId="4" borderId="0" xfId="0" applyNumberFormat="1" applyFont="1" applyFill="1" applyBorder="1" applyAlignment="1"/>
    <xf numFmtId="0" fontId="25" fillId="0" borderId="0" xfId="0" applyFont="1" applyAlignment="1">
      <alignment horizontal="right"/>
    </xf>
    <xf numFmtId="1" fontId="15" fillId="0" borderId="0" xfId="0" applyNumberFormat="1" applyFont="1" applyFill="1" applyBorder="1" applyAlignment="1"/>
    <xf numFmtId="1" fontId="15" fillId="4" borderId="0" xfId="0" applyNumberFormat="1" applyFont="1" applyFill="1" applyBorder="1" applyAlignment="1"/>
    <xf numFmtId="0" fontId="6" fillId="0" borderId="0" xfId="0" applyFont="1" applyFill="1" applyBorder="1" applyAlignment="1">
      <alignment vertical="center"/>
    </xf>
    <xf numFmtId="0" fontId="26" fillId="0" borderId="0" xfId="0" applyFont="1" applyFill="1" applyBorder="1" applyAlignment="1"/>
    <xf numFmtId="1" fontId="15" fillId="0" borderId="6" xfId="0" applyNumberFormat="1" applyFont="1" applyFill="1" applyBorder="1" applyAlignment="1"/>
    <xf numFmtId="1" fontId="15" fillId="0" borderId="7" xfId="0" applyNumberFormat="1" applyFont="1" applyFill="1" applyBorder="1" applyAlignment="1"/>
    <xf numFmtId="1" fontId="15" fillId="0" borderId="8" xfId="0" applyNumberFormat="1" applyFont="1" applyFill="1" applyBorder="1" applyAlignment="1"/>
    <xf numFmtId="1" fontId="15" fillId="0" borderId="2" xfId="0" applyNumberFormat="1" applyFont="1" applyFill="1" applyBorder="1" applyAlignment="1"/>
    <xf numFmtId="1" fontId="15" fillId="0" borderId="9" xfId="0" applyNumberFormat="1" applyFont="1" applyFill="1" applyBorder="1" applyAlignment="1"/>
    <xf numFmtId="1" fontId="15" fillId="0" borderId="4" xfId="0" applyNumberFormat="1" applyFont="1" applyFill="1" applyBorder="1" applyAlignment="1"/>
    <xf numFmtId="1" fontId="15" fillId="0" borderId="3" xfId="0" applyNumberFormat="1" applyFont="1" applyFill="1" applyBorder="1" applyAlignment="1"/>
    <xf numFmtId="1" fontId="15" fillId="0" borderId="10" xfId="0" applyNumberFormat="1" applyFont="1" applyFill="1" applyBorder="1" applyAlignment="1"/>
    <xf numFmtId="10" fontId="15" fillId="0" borderId="0" xfId="0" applyNumberFormat="1" applyFont="1" applyFill="1" applyBorder="1" applyAlignment="1"/>
    <xf numFmtId="9" fontId="15" fillId="0" borderId="0" xfId="0" applyNumberFormat="1" applyFont="1" applyFill="1" applyBorder="1" applyAlignment="1"/>
    <xf numFmtId="2" fontId="0" fillId="0" borderId="0" xfId="0" applyNumberFormat="1"/>
    <xf numFmtId="0" fontId="27" fillId="0" borderId="0" xfId="0" applyFont="1" applyFill="1" applyBorder="1" applyAlignment="1"/>
    <xf numFmtId="9" fontId="6" fillId="0" borderId="0" xfId="0" applyNumberFormat="1" applyFont="1" applyFill="1" applyBorder="1" applyAlignment="1"/>
    <xf numFmtId="164" fontId="6" fillId="0" borderId="0" xfId="0" applyNumberFormat="1" applyFont="1" applyFill="1" applyBorder="1" applyAlignment="1"/>
    <xf numFmtId="3" fontId="0" fillId="0" borderId="0" xfId="0" applyNumberFormat="1"/>
    <xf numFmtId="2" fontId="28" fillId="0" borderId="0" xfId="0" applyNumberFormat="1" applyFont="1"/>
    <xf numFmtId="0" fontId="29" fillId="0" borderId="0" xfId="0" applyFont="1"/>
    <xf numFmtId="0" fontId="32" fillId="0" borderId="0" xfId="0" applyFont="1"/>
    <xf numFmtId="2" fontId="18" fillId="0" borderId="0" xfId="0" applyNumberFormat="1" applyFont="1" applyFill="1" applyBorder="1"/>
    <xf numFmtId="0" fontId="15" fillId="7" borderId="1" xfId="0" applyNumberFormat="1" applyFont="1" applyFill="1" applyBorder="1" applyAlignment="1">
      <alignment horizontal="center"/>
    </xf>
    <xf numFmtId="0" fontId="15" fillId="7" borderId="0" xfId="0" applyNumberFormat="1" applyFont="1" applyFill="1" applyAlignment="1">
      <alignment horizontal="center"/>
    </xf>
    <xf numFmtId="0" fontId="0" fillId="7" borderId="0" xfId="0" applyFill="1"/>
    <xf numFmtId="0" fontId="0" fillId="7" borderId="0" xfId="0" applyFill="1" applyAlignment="1">
      <alignment wrapText="1"/>
    </xf>
    <xf numFmtId="0" fontId="33" fillId="7" borderId="0" xfId="0" applyFont="1" applyFill="1"/>
    <xf numFmtId="0" fontId="3" fillId="7" borderId="0" xfId="0" applyFont="1" applyFill="1"/>
    <xf numFmtId="3" fontId="0" fillId="7" borderId="0" xfId="0" applyNumberFormat="1" applyFill="1" applyAlignment="1">
      <alignment wrapText="1"/>
    </xf>
    <xf numFmtId="0" fontId="0" fillId="9" borderId="0" xfId="0" applyFill="1"/>
    <xf numFmtId="0" fontId="0" fillId="0" borderId="2" xfId="0" applyBorder="1"/>
    <xf numFmtId="0" fontId="0" fillId="0" borderId="4" xfId="0" applyBorder="1"/>
    <xf numFmtId="0" fontId="0" fillId="0" borderId="3" xfId="0" applyBorder="1"/>
    <xf numFmtId="0" fontId="18" fillId="0" borderId="0" xfId="0" applyFont="1" applyBorder="1"/>
    <xf numFmtId="0" fontId="31" fillId="0" borderId="0" xfId="0" applyFont="1" applyFill="1"/>
    <xf numFmtId="0" fontId="0" fillId="0" borderId="0" xfId="0" applyFont="1" applyFill="1"/>
    <xf numFmtId="0" fontId="0" fillId="6" borderId="0" xfId="0" applyFont="1" applyFill="1"/>
    <xf numFmtId="11" fontId="0" fillId="0" borderId="0" xfId="0" applyNumberFormat="1" applyFont="1"/>
    <xf numFmtId="9" fontId="0" fillId="0" borderId="0" xfId="0" applyNumberFormat="1" applyFont="1"/>
    <xf numFmtId="2" fontId="18" fillId="0" borderId="0" xfId="0" applyNumberFormat="1" applyFont="1"/>
    <xf numFmtId="2" fontId="18" fillId="0" borderId="7" xfId="0" applyNumberFormat="1" applyFont="1" applyFill="1" applyBorder="1"/>
    <xf numFmtId="2" fontId="18" fillId="0" borderId="8" xfId="0" applyNumberFormat="1" applyFont="1" applyFill="1" applyBorder="1"/>
    <xf numFmtId="2" fontId="18" fillId="0" borderId="9" xfId="0" applyNumberFormat="1" applyFont="1" applyFill="1" applyBorder="1"/>
    <xf numFmtId="2" fontId="18" fillId="0" borderId="3" xfId="0" applyNumberFormat="1" applyFont="1" applyFill="1" applyBorder="1"/>
    <xf numFmtId="2" fontId="18" fillId="0" borderId="10" xfId="0" applyNumberFormat="1" applyFont="1" applyFill="1" applyBorder="1"/>
    <xf numFmtId="0" fontId="3" fillId="0" borderId="6" xfId="0" applyFont="1" applyBorder="1"/>
    <xf numFmtId="0" fontId="0" fillId="0" borderId="0" xfId="0" applyFill="1"/>
    <xf numFmtId="0" fontId="0" fillId="0" borderId="0" xfId="0" applyFill="1" applyAlignment="1">
      <alignment wrapText="1"/>
    </xf>
    <xf numFmtId="0" fontId="3" fillId="0" borderId="0" xfId="0" applyFont="1" applyFill="1" applyAlignment="1">
      <alignment wrapText="1"/>
    </xf>
    <xf numFmtId="9" fontId="0" fillId="0" borderId="0" xfId="0" applyNumberFormat="1" applyFill="1"/>
    <xf numFmtId="9" fontId="0" fillId="0" borderId="0" xfId="0" applyNumberFormat="1" applyFill="1" applyAlignment="1">
      <alignment wrapText="1"/>
    </xf>
    <xf numFmtId="1" fontId="30" fillId="0" borderId="0" xfId="0" applyNumberFormat="1" applyFont="1" applyFill="1"/>
    <xf numFmtId="1" fontId="0" fillId="0" borderId="0" xfId="0" applyNumberFormat="1" applyFill="1"/>
    <xf numFmtId="0" fontId="0" fillId="0" borderId="1" xfId="0" applyBorder="1"/>
    <xf numFmtId="10" fontId="9" fillId="0" borderId="1" xfId="6" applyNumberFormat="1" applyFont="1" applyBorder="1"/>
    <xf numFmtId="0" fontId="36" fillId="0" borderId="1" xfId="0" applyFont="1" applyBorder="1"/>
    <xf numFmtId="166" fontId="9" fillId="0" borderId="1" xfId="0" applyNumberFormat="1" applyFont="1" applyBorder="1"/>
    <xf numFmtId="166" fontId="0" fillId="0" borderId="1" xfId="0" applyNumberFormat="1" applyBorder="1"/>
    <xf numFmtId="0" fontId="31" fillId="0" borderId="0" xfId="0" applyFont="1"/>
    <xf numFmtId="0" fontId="15" fillId="0" borderId="26" xfId="0" applyFont="1" applyFill="1" applyBorder="1" applyAlignment="1">
      <alignment horizontal="center" wrapText="1"/>
    </xf>
    <xf numFmtId="0" fontId="0" fillId="12" borderId="6" xfId="0" applyFill="1" applyBorder="1"/>
    <xf numFmtId="0" fontId="0" fillId="12" borderId="7" xfId="0" applyFill="1" applyBorder="1"/>
    <xf numFmtId="0" fontId="0" fillId="12" borderId="8" xfId="0" applyFill="1" applyBorder="1"/>
    <xf numFmtId="0" fontId="0" fillId="12" borderId="4" xfId="0" applyFill="1" applyBorder="1" applyAlignment="1">
      <alignment wrapText="1"/>
    </xf>
    <xf numFmtId="0" fontId="0" fillId="12" borderId="3" xfId="0" applyFill="1" applyBorder="1" applyAlignment="1">
      <alignment wrapText="1"/>
    </xf>
    <xf numFmtId="0" fontId="0" fillId="12" borderId="10" xfId="0" applyFill="1" applyBorder="1" applyAlignment="1">
      <alignment wrapText="1"/>
    </xf>
    <xf numFmtId="3" fontId="0" fillId="0" borderId="0" xfId="0" applyNumberFormat="1" applyFill="1"/>
    <xf numFmtId="0" fontId="35" fillId="0" borderId="0" xfId="9" applyFont="1" applyFill="1" applyAlignment="1">
      <alignment wrapText="1"/>
    </xf>
    <xf numFmtId="164" fontId="0" fillId="0" borderId="0" xfId="0" applyNumberFormat="1" applyFill="1"/>
    <xf numFmtId="0" fontId="5" fillId="0" borderId="0" xfId="0" applyFont="1" applyFill="1" applyAlignment="1">
      <alignment wrapText="1"/>
    </xf>
    <xf numFmtId="3" fontId="0" fillId="0" borderId="0" xfId="0" applyNumberFormat="1" applyFont="1" applyFill="1"/>
    <xf numFmtId="1" fontId="0" fillId="0" borderId="0" xfId="0" applyNumberFormat="1" applyFont="1" applyFill="1"/>
    <xf numFmtId="3" fontId="30" fillId="0" borderId="0" xfId="0" applyNumberFormat="1" applyFont="1" applyFill="1"/>
    <xf numFmtId="0" fontId="15" fillId="2" borderId="1" xfId="0" applyNumberFormat="1" applyFont="1" applyFill="1" applyBorder="1" applyAlignment="1">
      <alignment horizontal="center"/>
    </xf>
    <xf numFmtId="0" fontId="15" fillId="2" borderId="1" xfId="0" applyFont="1" applyFill="1" applyBorder="1" applyAlignment="1">
      <alignment horizontal="center" wrapText="1"/>
    </xf>
    <xf numFmtId="0" fontId="0" fillId="2" borderId="0" xfId="0" applyFill="1"/>
    <xf numFmtId="9" fontId="0" fillId="2" borderId="0" xfId="0" applyNumberFormat="1" applyFill="1"/>
    <xf numFmtId="9" fontId="0" fillId="2" borderId="0" xfId="0" applyNumberFormat="1" applyFill="1" applyAlignment="1">
      <alignment wrapText="1"/>
    </xf>
    <xf numFmtId="0" fontId="0" fillId="2" borderId="0" xfId="0" applyFill="1" applyAlignment="1">
      <alignment wrapText="1"/>
    </xf>
    <xf numFmtId="0" fontId="5" fillId="2" borderId="0" xfId="0" applyFont="1" applyFill="1" applyAlignment="1">
      <alignment wrapText="1"/>
    </xf>
    <xf numFmtId="0" fontId="7" fillId="2" borderId="7" xfId="0" applyNumberFormat="1" applyFont="1" applyFill="1" applyBorder="1" applyAlignment="1">
      <alignment horizontal="left" wrapText="1"/>
    </xf>
    <xf numFmtId="0" fontId="0" fillId="7" borderId="0" xfId="0" applyFill="1" applyAlignment="1">
      <alignment horizontal="center"/>
    </xf>
    <xf numFmtId="0" fontId="0" fillId="0" borderId="0" xfId="0" applyFill="1" applyAlignment="1">
      <alignment horizontal="right"/>
    </xf>
    <xf numFmtId="0" fontId="0" fillId="12" borderId="0" xfId="0" applyFill="1" applyAlignment="1">
      <alignment horizontal="center"/>
    </xf>
    <xf numFmtId="0" fontId="0" fillId="0" borderId="3" xfId="0" applyFill="1" applyBorder="1" applyAlignment="1">
      <alignment wrapText="1"/>
    </xf>
    <xf numFmtId="0" fontId="0" fillId="12" borderId="0" xfId="0" applyFill="1" applyAlignment="1">
      <alignment horizontal="center"/>
    </xf>
    <xf numFmtId="0" fontId="20" fillId="0" borderId="0" xfId="0" applyFont="1" applyFill="1" applyBorder="1" applyAlignment="1">
      <alignment horizontal="left"/>
    </xf>
    <xf numFmtId="9" fontId="0" fillId="5" borderId="0" xfId="0" applyNumberFormat="1" applyFill="1"/>
    <xf numFmtId="2" fontId="28" fillId="5" borderId="0" xfId="0" applyNumberFormat="1" applyFont="1" applyFill="1"/>
    <xf numFmtId="0" fontId="37" fillId="4" borderId="0" xfId="0" applyFont="1" applyFill="1" applyAlignment="1">
      <alignment horizontal="left"/>
    </xf>
    <xf numFmtId="0" fontId="2" fillId="4" borderId="0" xfId="0" applyFont="1" applyFill="1"/>
    <xf numFmtId="0" fontId="38" fillId="4" borderId="0" xfId="0" applyFont="1" applyFill="1" applyAlignment="1">
      <alignment horizontal="left"/>
    </xf>
    <xf numFmtId="167" fontId="2" fillId="4" borderId="0" xfId="0" applyNumberFormat="1" applyFont="1" applyFill="1" applyAlignment="1">
      <alignment horizontal="left"/>
    </xf>
    <xf numFmtId="0" fontId="2" fillId="0" borderId="1" xfId="0" applyFont="1" applyBorder="1" applyAlignment="1">
      <alignment vertical="center" wrapText="1"/>
    </xf>
    <xf numFmtId="0" fontId="2" fillId="0" borderId="1" xfId="0" applyFont="1" applyBorder="1" applyAlignment="1">
      <alignment wrapText="1"/>
    </xf>
    <xf numFmtId="0" fontId="2" fillId="0" borderId="0" xfId="0" applyFont="1" applyBorder="1" applyAlignment="1">
      <alignment vertical="center" wrapText="1"/>
    </xf>
    <xf numFmtId="0" fontId="2" fillId="0" borderId="0" xfId="0" applyFont="1" applyBorder="1" applyAlignment="1">
      <alignment wrapText="1"/>
    </xf>
    <xf numFmtId="0" fontId="0" fillId="0" borderId="1" xfId="0" applyFont="1" applyBorder="1" applyAlignment="1">
      <alignment vertical="center" wrapText="1"/>
    </xf>
    <xf numFmtId="0" fontId="0" fillId="0" borderId="1" xfId="0" applyFont="1" applyBorder="1" applyAlignment="1">
      <alignment wrapText="1"/>
    </xf>
    <xf numFmtId="0" fontId="0" fillId="4" borderId="0" xfId="0" applyFont="1" applyFill="1" applyBorder="1"/>
    <xf numFmtId="0" fontId="0" fillId="4" borderId="1"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1" xfId="0" applyFont="1" applyFill="1" applyBorder="1" applyAlignment="1">
      <alignment vertical="center" wrapText="1"/>
    </xf>
    <xf numFmtId="9" fontId="0" fillId="4" borderId="1" xfId="0" applyNumberFormat="1" applyFont="1" applyFill="1" applyBorder="1" applyAlignment="1">
      <alignment horizontal="left" wrapText="1"/>
    </xf>
    <xf numFmtId="0" fontId="0" fillId="4" borderId="0" xfId="0" applyFont="1" applyFill="1" applyBorder="1" applyAlignment="1">
      <alignment vertical="center" wrapText="1"/>
    </xf>
    <xf numFmtId="0" fontId="0" fillId="4" borderId="0" xfId="0" applyFont="1" applyFill="1" applyBorder="1" applyAlignment="1">
      <alignment horizontal="left" wrapText="1"/>
    </xf>
    <xf numFmtId="0" fontId="8" fillId="13" borderId="12" xfId="0" applyFont="1" applyFill="1" applyBorder="1"/>
    <xf numFmtId="0" fontId="8" fillId="13" borderId="25" xfId="0" applyFont="1" applyFill="1" applyBorder="1"/>
    <xf numFmtId="0" fontId="8" fillId="13" borderId="25" xfId="0" applyFont="1" applyFill="1" applyBorder="1" applyAlignment="1">
      <alignment horizontal="center"/>
    </xf>
    <xf numFmtId="0" fontId="8" fillId="13" borderId="13" xfId="0" applyFont="1" applyFill="1" applyBorder="1"/>
    <xf numFmtId="0" fontId="10" fillId="0" borderId="0" xfId="0" applyFont="1" applyBorder="1"/>
    <xf numFmtId="168" fontId="8" fillId="0" borderId="14" xfId="10" applyNumberFormat="1" applyFont="1" applyFill="1" applyBorder="1"/>
    <xf numFmtId="168" fontId="8" fillId="0" borderId="15" xfId="10" applyNumberFormat="1" applyFont="1" applyFill="1" applyBorder="1"/>
    <xf numFmtId="168" fontId="0" fillId="0" borderId="0" xfId="10" applyNumberFormat="1" applyFont="1" applyFill="1" applyBorder="1"/>
    <xf numFmtId="168" fontId="0" fillId="0" borderId="18" xfId="10" applyNumberFormat="1" applyFont="1" applyFill="1" applyBorder="1"/>
    <xf numFmtId="0" fontId="40" fillId="0" borderId="0" xfId="0" applyFont="1" applyFill="1" applyBorder="1"/>
    <xf numFmtId="0" fontId="0" fillId="0" borderId="17" xfId="0" applyFill="1" applyBorder="1"/>
    <xf numFmtId="0" fontId="0" fillId="0" borderId="0" xfId="0" applyFill="1" applyBorder="1"/>
    <xf numFmtId="168" fontId="0" fillId="0" borderId="17" xfId="10" applyNumberFormat="1" applyFont="1" applyFill="1" applyBorder="1"/>
    <xf numFmtId="168" fontId="0" fillId="0" borderId="0" xfId="10" applyNumberFormat="1" applyFont="1" applyFill="1" applyBorder="1" applyAlignment="1">
      <alignment horizontal="center"/>
    </xf>
    <xf numFmtId="168" fontId="8" fillId="0" borderId="17" xfId="10" applyNumberFormat="1" applyFont="1" applyFill="1" applyBorder="1"/>
    <xf numFmtId="168" fontId="8" fillId="0" borderId="0" xfId="10" applyNumberFormat="1" applyFont="1" applyFill="1" applyBorder="1"/>
    <xf numFmtId="168" fontId="8" fillId="0" borderId="0" xfId="10" applyNumberFormat="1" applyFont="1" applyFill="1" applyBorder="1" applyAlignment="1">
      <alignment horizontal="center"/>
    </xf>
    <xf numFmtId="0" fontId="0" fillId="0" borderId="19" xfId="0" applyFill="1" applyBorder="1"/>
    <xf numFmtId="0" fontId="0" fillId="0" borderId="20" xfId="0" applyFill="1" applyBorder="1"/>
    <xf numFmtId="168" fontId="0" fillId="0" borderId="20" xfId="10" applyNumberFormat="1" applyFont="1" applyFill="1" applyBorder="1" applyAlignment="1">
      <alignment horizontal="center"/>
    </xf>
    <xf numFmtId="168" fontId="0" fillId="0" borderId="20" xfId="10" applyNumberFormat="1" applyFont="1" applyFill="1" applyBorder="1"/>
    <xf numFmtId="168" fontId="0" fillId="0" borderId="21" xfId="10" applyNumberFormat="1" applyFont="1" applyFill="1" applyBorder="1"/>
    <xf numFmtId="168" fontId="0" fillId="0" borderId="0" xfId="10" applyNumberFormat="1" applyFont="1" applyBorder="1"/>
    <xf numFmtId="168" fontId="8" fillId="14" borderId="12" xfId="10" applyNumberFormat="1" applyFont="1" applyFill="1" applyBorder="1"/>
    <xf numFmtId="168" fontId="8" fillId="14" borderId="15" xfId="10" applyNumberFormat="1" applyFont="1" applyFill="1" applyBorder="1"/>
    <xf numFmtId="168" fontId="8" fillId="14" borderId="15" xfId="10" applyNumberFormat="1" applyFont="1" applyFill="1" applyBorder="1" applyAlignment="1">
      <alignment horizontal="center"/>
    </xf>
    <xf numFmtId="0" fontId="8" fillId="14" borderId="15" xfId="10" applyNumberFormat="1" applyFont="1" applyFill="1" applyBorder="1"/>
    <xf numFmtId="0" fontId="8" fillId="14" borderId="16" xfId="10" applyNumberFormat="1" applyFont="1" applyFill="1" applyBorder="1"/>
    <xf numFmtId="0" fontId="8" fillId="0" borderId="14" xfId="0" applyFont="1" applyFill="1" applyBorder="1"/>
    <xf numFmtId="0" fontId="8" fillId="0" borderId="15" xfId="0" applyFont="1" applyFill="1" applyBorder="1"/>
    <xf numFmtId="0" fontId="0" fillId="0" borderId="0" xfId="0" applyFill="1" applyBorder="1" applyAlignment="1">
      <alignment horizontal="center"/>
    </xf>
    <xf numFmtId="0" fontId="8" fillId="0" borderId="17" xfId="0" applyFont="1" applyFill="1" applyBorder="1"/>
    <xf numFmtId="0" fontId="8" fillId="0" borderId="0" xfId="0" applyFont="1" applyFill="1" applyBorder="1" applyAlignment="1">
      <alignment horizontal="center"/>
    </xf>
    <xf numFmtId="0" fontId="0" fillId="0" borderId="20" xfId="0" applyFill="1" applyBorder="1" applyAlignment="1">
      <alignment horizontal="center"/>
    </xf>
    <xf numFmtId="168" fontId="8" fillId="15" borderId="12" xfId="10" applyNumberFormat="1" applyFont="1" applyFill="1" applyBorder="1"/>
    <xf numFmtId="168" fontId="8" fillId="15" borderId="15" xfId="10" applyNumberFormat="1" applyFont="1" applyFill="1" applyBorder="1"/>
    <xf numFmtId="168" fontId="8" fillId="15" borderId="15" xfId="10" applyNumberFormat="1" applyFont="1" applyFill="1" applyBorder="1" applyAlignment="1">
      <alignment horizontal="center"/>
    </xf>
    <xf numFmtId="0" fontId="8" fillId="15" borderId="15" xfId="10" applyNumberFormat="1" applyFont="1" applyFill="1" applyBorder="1"/>
    <xf numFmtId="0" fontId="8" fillId="15" borderId="16" xfId="10" applyNumberFormat="1" applyFont="1" applyFill="1" applyBorder="1"/>
    <xf numFmtId="0" fontId="0" fillId="10" borderId="0" xfId="0" applyFill="1" applyBorder="1"/>
    <xf numFmtId="9" fontId="0" fillId="0" borderId="0" xfId="0" applyNumberFormat="1" applyBorder="1"/>
    <xf numFmtId="0" fontId="0" fillId="11" borderId="0" xfId="0" applyFill="1" applyBorder="1"/>
    <xf numFmtId="0" fontId="0" fillId="12" borderId="0" xfId="0" applyFill="1" applyBorder="1"/>
    <xf numFmtId="0" fontId="3" fillId="0" borderId="17" xfId="0" applyFont="1" applyBorder="1" applyAlignment="1">
      <alignment horizontal="center"/>
    </xf>
    <xf numFmtId="0" fontId="3" fillId="0" borderId="0" xfId="0" applyFont="1" applyFill="1" applyBorder="1"/>
    <xf numFmtId="0" fontId="19" fillId="0" borderId="18" xfId="0" applyFont="1" applyBorder="1"/>
    <xf numFmtId="0" fontId="19" fillId="0" borderId="0" xfId="0" applyFont="1" applyBorder="1"/>
    <xf numFmtId="0" fontId="19" fillId="0" borderId="0" xfId="0" applyFont="1"/>
    <xf numFmtId="0" fontId="0" fillId="0" borderId="17" xfId="0" applyFont="1" applyFill="1" applyBorder="1" applyAlignment="1">
      <alignment horizontal="center"/>
    </xf>
    <xf numFmtId="0" fontId="40" fillId="0" borderId="0" xfId="0" applyFont="1" applyBorder="1"/>
    <xf numFmtId="0" fontId="0" fillId="0" borderId="19" xfId="0" applyFont="1" applyFill="1" applyBorder="1" applyAlignment="1">
      <alignment horizontal="center"/>
    </xf>
    <xf numFmtId="164" fontId="0" fillId="0" borderId="20" xfId="0" applyNumberFormat="1" applyFont="1" applyFill="1" applyBorder="1"/>
    <xf numFmtId="9" fontId="9" fillId="0" borderId="0" xfId="0" applyNumberFormat="1" applyFont="1" applyBorder="1"/>
    <xf numFmtId="0" fontId="0" fillId="0" borderId="22" xfId="0" applyBorder="1"/>
    <xf numFmtId="0" fontId="0" fillId="0" borderId="23" xfId="0" applyBorder="1"/>
    <xf numFmtId="0" fontId="0" fillId="0" borderId="27" xfId="0" applyBorder="1"/>
    <xf numFmtId="0" fontId="3" fillId="0" borderId="17" xfId="0" applyFont="1" applyBorder="1"/>
    <xf numFmtId="166" fontId="0" fillId="0" borderId="0" xfId="0" applyNumberFormat="1" applyBorder="1"/>
    <xf numFmtId="0" fontId="0" fillId="12" borderId="17" xfId="0" applyFill="1" applyBorder="1"/>
    <xf numFmtId="164" fontId="0" fillId="12" borderId="0" xfId="0" applyNumberFormat="1" applyFill="1" applyBorder="1"/>
    <xf numFmtId="0" fontId="3" fillId="0" borderId="17" xfId="0" applyFont="1" applyFill="1" applyBorder="1" applyAlignment="1">
      <alignment horizontal="center"/>
    </xf>
    <xf numFmtId="0" fontId="3" fillId="0" borderId="19" xfId="0" applyFont="1" applyFill="1" applyBorder="1" applyAlignment="1">
      <alignment horizontal="center"/>
    </xf>
    <xf numFmtId="164" fontId="9" fillId="0" borderId="20" xfId="0" applyNumberFormat="1" applyFont="1" applyFill="1" applyBorder="1"/>
    <xf numFmtId="166" fontId="0" fillId="12" borderId="0" xfId="0" applyNumberFormat="1" applyFill="1" applyBorder="1"/>
    <xf numFmtId="164" fontId="9" fillId="0" borderId="0" xfId="0" applyNumberFormat="1" applyFont="1" applyFill="1" applyBorder="1"/>
    <xf numFmtId="0" fontId="40" fillId="0" borderId="14" xfId="0" applyFont="1" applyBorder="1"/>
    <xf numFmtId="168" fontId="9" fillId="0" borderId="0" xfId="10" applyNumberFormat="1" applyFont="1" applyFill="1" applyBorder="1"/>
    <xf numFmtId="168" fontId="9" fillId="0" borderId="20" xfId="10" applyNumberFormat="1" applyFont="1" applyFill="1" applyBorder="1"/>
    <xf numFmtId="0" fontId="0" fillId="0" borderId="18" xfId="0" applyFont="1" applyBorder="1"/>
    <xf numFmtId="0" fontId="0" fillId="0" borderId="21" xfId="0" applyFont="1" applyBorder="1"/>
    <xf numFmtId="0" fontId="0" fillId="0" borderId="16" xfId="0" applyFont="1" applyBorder="1"/>
    <xf numFmtId="0" fontId="9" fillId="0" borderId="0" xfId="0" applyFont="1" applyBorder="1"/>
    <xf numFmtId="0" fontId="0" fillId="0" borderId="0" xfId="0" applyAlignment="1">
      <alignment horizontal="right"/>
    </xf>
    <xf numFmtId="9" fontId="28" fillId="0" borderId="0" xfId="6" applyFont="1"/>
    <xf numFmtId="0" fontId="42" fillId="0" borderId="0" xfId="0" applyFont="1"/>
    <xf numFmtId="0" fontId="1" fillId="0" borderId="1" xfId="0" applyFont="1" applyBorder="1" applyAlignment="1">
      <alignment vertical="center" wrapText="1"/>
    </xf>
    <xf numFmtId="0" fontId="1" fillId="0" borderId="1" xfId="0" applyFont="1" applyBorder="1" applyAlignment="1">
      <alignment wrapText="1"/>
    </xf>
    <xf numFmtId="165" fontId="0" fillId="4" borderId="0" xfId="1" applyNumberFormat="1" applyFont="1" applyFill="1" applyBorder="1" applyAlignment="1">
      <alignment horizontal="left" wrapText="1"/>
    </xf>
    <xf numFmtId="0" fontId="0" fillId="4" borderId="1" xfId="0" applyFont="1" applyFill="1" applyBorder="1" applyAlignment="1">
      <alignment horizontal="left" wrapText="1"/>
    </xf>
    <xf numFmtId="9" fontId="0" fillId="4" borderId="1" xfId="0" applyNumberFormat="1" applyFont="1" applyFill="1" applyBorder="1"/>
    <xf numFmtId="0" fontId="3" fillId="4" borderId="26" xfId="0" applyFont="1" applyFill="1" applyBorder="1" applyAlignment="1">
      <alignment vertical="center" wrapText="1"/>
    </xf>
    <xf numFmtId="0" fontId="0" fillId="4" borderId="26" xfId="0" applyFont="1" applyFill="1" applyBorder="1" applyAlignment="1">
      <alignment horizontal="left" vertical="center" wrapText="1"/>
    </xf>
    <xf numFmtId="0" fontId="3" fillId="4" borderId="1" xfId="0" applyFont="1" applyFill="1" applyBorder="1"/>
    <xf numFmtId="0" fontId="0" fillId="0" borderId="1" xfId="0" applyFont="1" applyBorder="1" applyAlignment="1">
      <alignment horizontal="left"/>
    </xf>
    <xf numFmtId="0" fontId="28" fillId="0" borderId="26" xfId="0" applyFont="1" applyBorder="1" applyAlignment="1">
      <alignment horizontal="center" vertical="center" wrapText="1"/>
    </xf>
    <xf numFmtId="0" fontId="28" fillId="0" borderId="24" xfId="0" applyFont="1" applyBorder="1" applyAlignment="1">
      <alignment horizontal="center" vertical="center" wrapText="1"/>
    </xf>
    <xf numFmtId="0" fontId="0" fillId="4" borderId="26" xfId="0" applyFont="1" applyFill="1" applyBorder="1" applyAlignment="1">
      <alignment horizontal="left" vertical="center" wrapText="1"/>
    </xf>
    <xf numFmtId="0" fontId="0" fillId="4" borderId="24"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0" borderId="26" xfId="0" applyFont="1" applyBorder="1" applyAlignment="1">
      <alignment horizontal="left" vertical="center" wrapText="1"/>
    </xf>
    <xf numFmtId="0" fontId="3" fillId="0" borderId="24" xfId="0" applyFont="1" applyBorder="1" applyAlignment="1">
      <alignment horizontal="left" vertical="center" wrapText="1"/>
    </xf>
    <xf numFmtId="168" fontId="39" fillId="15" borderId="12" xfId="10" applyNumberFormat="1" applyFont="1" applyFill="1" applyBorder="1" applyAlignment="1">
      <alignment horizontal="center"/>
    </xf>
    <xf numFmtId="168" fontId="39" fillId="15" borderId="25" xfId="10" applyNumberFormat="1" applyFont="1" applyFill="1" applyBorder="1" applyAlignment="1">
      <alignment horizontal="center"/>
    </xf>
    <xf numFmtId="168" fontId="39" fillId="15" borderId="13" xfId="10" applyNumberFormat="1" applyFont="1" applyFill="1" applyBorder="1" applyAlignment="1">
      <alignment horizontal="center"/>
    </xf>
    <xf numFmtId="168" fontId="8" fillId="0" borderId="15" xfId="10" applyNumberFormat="1" applyFont="1" applyFill="1" applyBorder="1" applyAlignment="1">
      <alignment horizontal="center"/>
    </xf>
    <xf numFmtId="168" fontId="8" fillId="0" borderId="16" xfId="10" applyNumberFormat="1" applyFont="1" applyFill="1" applyBorder="1" applyAlignment="1">
      <alignment horizontal="center"/>
    </xf>
    <xf numFmtId="168" fontId="8" fillId="0" borderId="0" xfId="10" applyNumberFormat="1" applyFont="1" applyFill="1" applyBorder="1" applyAlignment="1">
      <alignment horizontal="center"/>
    </xf>
    <xf numFmtId="168" fontId="8" fillId="0" borderId="18" xfId="10" applyNumberFormat="1" applyFont="1" applyFill="1" applyBorder="1" applyAlignment="1">
      <alignment horizontal="center"/>
    </xf>
    <xf numFmtId="0" fontId="39" fillId="13" borderId="12" xfId="0" applyFont="1" applyFill="1" applyBorder="1" applyAlignment="1">
      <alignment horizontal="center"/>
    </xf>
    <xf numFmtId="0" fontId="39" fillId="13" borderId="25" xfId="0" applyFont="1" applyFill="1" applyBorder="1" applyAlignment="1">
      <alignment horizontal="center"/>
    </xf>
    <xf numFmtId="0" fontId="39" fillId="13" borderId="13" xfId="0" applyFont="1" applyFill="1" applyBorder="1" applyAlignment="1">
      <alignment horizontal="center"/>
    </xf>
    <xf numFmtId="168" fontId="39" fillId="14" borderId="12" xfId="10" applyNumberFormat="1" applyFont="1" applyFill="1" applyBorder="1" applyAlignment="1">
      <alignment horizontal="center"/>
    </xf>
    <xf numFmtId="168" fontId="39" fillId="14" borderId="25" xfId="10" applyNumberFormat="1" applyFont="1" applyFill="1" applyBorder="1" applyAlignment="1">
      <alignment horizontal="center"/>
    </xf>
    <xf numFmtId="168" fontId="39" fillId="14" borderId="13" xfId="10" applyNumberFormat="1" applyFont="1" applyFill="1" applyBorder="1" applyAlignment="1">
      <alignment horizontal="center"/>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12" borderId="0" xfId="0" applyFill="1" applyAlignment="1">
      <alignment horizontal="center"/>
    </xf>
  </cellXfs>
  <cellStyles count="19">
    <cellStyle name="Comma" xfId="10" builtinId="3"/>
    <cellStyle name="Comma 2" xfId="2"/>
    <cellStyle name="Comma 2 2" xfId="4"/>
    <cellStyle name="Currency" xfId="1" builtinId="4"/>
    <cellStyle name="Currency 2" xfId="3"/>
    <cellStyle name="Currency 2 2" xfId="11"/>
    <cellStyle name="Currency 2 3" xfId="12"/>
    <cellStyle name="Good" xfId="9" builtinId="26"/>
    <cellStyle name="Hyperlink 2" xfId="13"/>
    <cellStyle name="Normal" xfId="0" builtinId="0"/>
    <cellStyle name="Normal 11" xfId="14"/>
    <cellStyle name="Normal 2" xfId="5"/>
    <cellStyle name="Normal 2 2" xfId="7"/>
    <cellStyle name="Normal 3" xfId="15"/>
    <cellStyle name="Normal 5 2 2 2" xfId="16"/>
    <cellStyle name="Normal 6" xfId="8"/>
    <cellStyle name="Percent" xfId="6" builtinId="5"/>
    <cellStyle name="Percent 2" xfId="17"/>
    <cellStyle name="Percent 2 2" xfId="18"/>
  </cellStyles>
  <dxfs count="0"/>
  <tableStyles count="0" defaultTableStyle="TableStyleMedium2" defaultPivotStyle="PivotStyleLight16"/>
  <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1.xml"/><Relationship Id="rId18" Type="http://schemas.openxmlformats.org/officeDocument/2006/relationships/externalLink" Target="externalLinks/externalLink5.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externalLink" Target="externalLinks/externalLink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'SB 350 Potential'!$E$37</c:f>
              <c:strCache>
                <c:ptCount val="1"/>
                <c:pt idx="0">
                  <c:v>Conservative</c:v>
                </c:pt>
              </c:strCache>
            </c:strRef>
          </c:tx>
          <c:marker>
            <c:symbol val="none"/>
          </c:marker>
          <c:cat>
            <c:numRef>
              <c:f>'SB 350 Potential'!$G$35:$U$35</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'SB 350 Potential'!$G$37:$U$37</c:f>
              <c:numCache>
                <c:formatCode>_(* #,##0.0_);_(* \(#,##0.0\);_(* "-"??_);_(@_)</c:formatCode>
                <c:ptCount val="11"/>
                <c:pt idx="0">
                  <c:v>0</c:v>
                </c:pt>
                <c:pt idx="1">
                  <c:v>0</c:v>
                </c:pt>
                <c:pt idx="2">
                  <c:v>2.4080636055310327</c:v>
                </c:pt>
                <c:pt idx="3">
                  <c:v>4.8161272110620654</c:v>
                </c:pt>
                <c:pt idx="4">
                  <c:v>7.2241908165930981</c:v>
                </c:pt>
                <c:pt idx="5">
                  <c:v>9.5287076870862961</c:v>
                </c:pt>
                <c:pt idx="6">
                  <c:v>11.833224557579495</c:v>
                </c:pt>
                <c:pt idx="7">
                  <c:v>14.137741428072694</c:v>
                </c:pt>
                <c:pt idx="8">
                  <c:v>16.390484931046977</c:v>
                </c:pt>
                <c:pt idx="9">
                  <c:v>18.643228434021257</c:v>
                </c:pt>
                <c:pt idx="10">
                  <c:v>20.799649392774299</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'SB 350 Potential'!$G$38:$U$38</c:f>
              <c:numCache>
                <c:formatCode>_(* #,##0.0_);_(* \(#,##0.0\);_(* "-"??_);_(@_)</c:formatCode>
                <c:ptCount val="11"/>
                <c:pt idx="0">
                  <c:v>0</c:v>
                </c:pt>
                <c:pt idx="1">
                  <c:v>0</c:v>
                </c:pt>
                <c:pt idx="2">
                  <c:v>4.4373115401321046</c:v>
                </c:pt>
                <c:pt idx="3">
                  <c:v>8.8746230802642092</c:v>
                </c:pt>
                <c:pt idx="4">
                  <c:v>13.311934620396315</c:v>
                </c:pt>
                <c:pt idx="5">
                  <c:v>17.558441764302735</c:v>
                </c:pt>
                <c:pt idx="6">
                  <c:v>21.804948908209159</c:v>
                </c:pt>
                <c:pt idx="7">
                  <c:v>26.051456052115583</c:v>
                </c:pt>
                <c:pt idx="8">
                  <c:v>30.202560997909167</c:v>
                </c:pt>
                <c:pt idx="9">
                  <c:v>34.353665943702751</c:v>
                </c:pt>
                <c:pt idx="10">
                  <c:v>38.327278427891052</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'SB 350 Potential'!$G$39:$U$39</c:f>
              <c:numCache>
                <c:formatCode>_(* #,##0.0_);_(* \(#,##0.0\);_(* "-"??_);_(@_)</c:formatCode>
                <c:ptCount val="11"/>
                <c:pt idx="0">
                  <c:v>0</c:v>
                </c:pt>
                <c:pt idx="1">
                  <c:v>0</c:v>
                </c:pt>
                <c:pt idx="2">
                  <c:v>4.4373115401321046</c:v>
                </c:pt>
                <c:pt idx="3">
                  <c:v>8.8746230802642092</c:v>
                </c:pt>
                <c:pt idx="4">
                  <c:v>13.311934620396315</c:v>
                </c:pt>
                <c:pt idx="5">
                  <c:v>21.345316288077466</c:v>
                </c:pt>
                <c:pt idx="6">
                  <c:v>29.378697955758621</c:v>
                </c:pt>
                <c:pt idx="7">
                  <c:v>37.41207962343978</c:v>
                </c:pt>
                <c:pt idx="8">
                  <c:v>48.974098012260505</c:v>
                </c:pt>
                <c:pt idx="9">
                  <c:v>60.53611640108123</c:v>
                </c:pt>
                <c:pt idx="10">
                  <c:v>71.92064232829668</c:v>
                </c:pt>
              </c:numCache>
            </c:numRef>
          </c:val>
          <c:smooth val="0"/>
        </c:ser>
        <c:dLbls>
          <c:showLegendKey val="0"/>
          <c:showVal val="0"/>
          <c:showCatName val="0"/>
          <c:showSerName val="0"/>
          <c:showPercent val="0"/>
          <c:showBubbleSize val="0"/>
        </c:dLbls>
        <c:marker val="1"/>
        <c:smooth val="0"/>
        <c:axId val="69305088"/>
        <c:axId val="69313664"/>
      </c:lineChart>
      <c:catAx>
        <c:axId val="69305088"/>
        <c:scaling>
          <c:orientation val="minMax"/>
        </c:scaling>
        <c:delete val="0"/>
        <c:axPos val="b"/>
        <c:numFmt formatCode="General" sourceLinked="1"/>
        <c:majorTickMark val="none"/>
        <c:minorTickMark val="none"/>
        <c:tickLblPos val="nextTo"/>
        <c:crossAx val="69313664"/>
        <c:crosses val="autoZero"/>
        <c:auto val="1"/>
        <c:lblAlgn val="ctr"/>
        <c:lblOffset val="100"/>
        <c:noMultiLvlLbl val="0"/>
      </c:catAx>
      <c:valAx>
        <c:axId val="69313664"/>
        <c:scaling>
          <c:orientation val="minMax"/>
        </c:scaling>
        <c:delete val="0"/>
        <c:axPos val="l"/>
        <c:majorGridlines/>
        <c:title>
          <c:tx>
            <c:rich>
              <a:bodyPr rot="-5400000" vert="horz"/>
              <a:lstStyle/>
              <a:p>
                <a:pPr>
                  <a:defRPr sz="1200"/>
                </a:pPr>
                <a:r>
                  <a:rPr lang="en-US" sz="1200"/>
                  <a:t>Electricity Savings (GWh)</a:t>
                </a:r>
              </a:p>
            </c:rich>
          </c:tx>
          <c:layout/>
          <c:overlay val="0"/>
        </c:title>
        <c:numFmt formatCode="_(* #,##0.0_);_(* \(#,##0.0\);_(* &quot;-&quot;??_);_(@_)" sourceLinked="1"/>
        <c:majorTickMark val="none"/>
        <c:minorTickMark val="none"/>
        <c:tickLblPos val="nextTo"/>
        <c:crossAx val="69305088"/>
        <c:crosses val="autoZero"/>
        <c:crossBetween val="between"/>
      </c:valAx>
      <c:dTable>
        <c:showHorzBorder val="1"/>
        <c:showVertBorder val="1"/>
        <c:showOutline val="1"/>
        <c:showKeys val="1"/>
      </c:dTable>
    </c:plotArea>
    <c:legend>
      <c:legendPos val="r"/>
      <c:layout/>
      <c:overlay val="0"/>
    </c:legend>
    <c:plotVisOnly val="1"/>
    <c:dispBlanksAs val="zero"/>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'SB 350 Potential'!$E$42</c:f>
              <c:strCache>
                <c:ptCount val="1"/>
                <c:pt idx="0">
                  <c:v>Conservative</c:v>
                </c:pt>
              </c:strCache>
            </c:strRef>
          </c:tx>
          <c:marker>
            <c:symbol val="none"/>
          </c:marker>
          <c:cat>
            <c:numRef>
              <c:f>'SB 350 Potential'!$G$35:$U$35</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'SB 350 Potential'!$G$42:$U$42</c:f>
              <c:numCache>
                <c:formatCode>_(* #,##0.0_);_(* \(#,##0.0\);_(* "-"??_);_(@_)</c:formatCode>
                <c:ptCount val="11"/>
                <c:pt idx="0">
                  <c:v>0</c:v>
                </c:pt>
                <c:pt idx="1">
                  <c:v>0</c:v>
                </c:pt>
                <c:pt idx="2">
                  <c:v>0.11460689969878939</c:v>
                </c:pt>
                <c:pt idx="3">
                  <c:v>0.22921379939757877</c:v>
                </c:pt>
                <c:pt idx="4">
                  <c:v>0.34382069909636814</c:v>
                </c:pt>
                <c:pt idx="5">
                  <c:v>0.45349950210810963</c:v>
                </c:pt>
                <c:pt idx="6">
                  <c:v>0.56317830511985101</c:v>
                </c:pt>
                <c:pt idx="7">
                  <c:v>0.6728571081315925</c:v>
                </c:pt>
                <c:pt idx="8">
                  <c:v>0.78007186279980989</c:v>
                </c:pt>
                <c:pt idx="9">
                  <c:v>0.88728661746802728</c:v>
                </c:pt>
                <c:pt idx="10">
                  <c:v>0.98991709614829326</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'SB 350 Potential'!$G$43:$U$43</c:f>
              <c:numCache>
                <c:formatCode>_(* #,##0.0_);_(* \(#,##0.0\);_(* "-"??_);_(@_)</c:formatCode>
                <c:ptCount val="11"/>
                <c:pt idx="0">
                  <c:v>0</c:v>
                </c:pt>
                <c:pt idx="1">
                  <c:v>0</c:v>
                </c:pt>
                <c:pt idx="2">
                  <c:v>0.15433375474924435</c:v>
                </c:pt>
                <c:pt idx="3">
                  <c:v>0.3086675094984887</c:v>
                </c:pt>
                <c:pt idx="4">
                  <c:v>0.46300126424773302</c:v>
                </c:pt>
                <c:pt idx="5">
                  <c:v>0.61069866754275992</c:v>
                </c:pt>
                <c:pt idx="6">
                  <c:v>0.75839607083778682</c:v>
                </c:pt>
                <c:pt idx="7">
                  <c:v>0.90609347413281371</c:v>
                </c:pt>
                <c:pt idx="8">
                  <c:v>1.0504727017007318</c:v>
                </c:pt>
                <c:pt idx="9">
                  <c:v>1.1948519292686499</c:v>
                </c:pt>
                <c:pt idx="10">
                  <c:v>1.3330578066465981</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'SB 350 Potential'!$G$44:$U$44</c:f>
              <c:numCache>
                <c:formatCode>_(* #,##0.0_);_(* \(#,##0.0\);_(* "-"??_);_(@_)</c:formatCode>
                <c:ptCount val="11"/>
                <c:pt idx="0">
                  <c:v>0</c:v>
                </c:pt>
                <c:pt idx="1">
                  <c:v>0</c:v>
                </c:pt>
                <c:pt idx="2">
                  <c:v>0.15433375474924435</c:v>
                </c:pt>
                <c:pt idx="3">
                  <c:v>0.3086675094984887</c:v>
                </c:pt>
                <c:pt idx="4">
                  <c:v>0.46300126424773302</c:v>
                </c:pt>
                <c:pt idx="5">
                  <c:v>0.75116983748420196</c:v>
                </c:pt>
                <c:pt idx="6">
                  <c:v>1.0393384107206711</c:v>
                </c:pt>
                <c:pt idx="7">
                  <c:v>1.3275069839571401</c:v>
                </c:pt>
                <c:pt idx="8">
                  <c:v>1.7467882911004602</c:v>
                </c:pt>
                <c:pt idx="9">
                  <c:v>2.1660695982437801</c:v>
                </c:pt>
                <c:pt idx="10">
                  <c:v>2.5791775551971305</c:v>
                </c:pt>
              </c:numCache>
            </c:numRef>
          </c:val>
          <c:smooth val="0"/>
        </c:ser>
        <c:dLbls>
          <c:showLegendKey val="0"/>
          <c:showVal val="0"/>
          <c:showCatName val="0"/>
          <c:showSerName val="0"/>
          <c:showPercent val="0"/>
          <c:showBubbleSize val="0"/>
        </c:dLbls>
        <c:marker val="1"/>
        <c:smooth val="0"/>
        <c:axId val="113730688"/>
        <c:axId val="136778496"/>
      </c:lineChart>
      <c:catAx>
        <c:axId val="113730688"/>
        <c:scaling>
          <c:orientation val="minMax"/>
        </c:scaling>
        <c:delete val="0"/>
        <c:axPos val="b"/>
        <c:numFmt formatCode="General" sourceLinked="1"/>
        <c:majorTickMark val="none"/>
        <c:minorTickMark val="none"/>
        <c:tickLblPos val="nextTo"/>
        <c:crossAx val="136778496"/>
        <c:crosses val="autoZero"/>
        <c:auto val="1"/>
        <c:lblAlgn val="ctr"/>
        <c:lblOffset val="100"/>
        <c:noMultiLvlLbl val="0"/>
      </c:catAx>
      <c:valAx>
        <c:axId val="136778496"/>
        <c:scaling>
          <c:orientation val="minMax"/>
        </c:scaling>
        <c:delete val="0"/>
        <c:axPos val="l"/>
        <c:majorGridlines/>
        <c:title>
          <c:tx>
            <c:rich>
              <a:bodyPr rot="-5400000" vert="horz"/>
              <a:lstStyle/>
              <a:p>
                <a:pPr>
                  <a:defRPr sz="1200"/>
                </a:pPr>
                <a:r>
                  <a:rPr lang="en-US" sz="1200"/>
                  <a:t>Gas Savings (MM Therms)</a:t>
                </a:r>
              </a:p>
            </c:rich>
          </c:tx>
          <c:overlay val="0"/>
        </c:title>
        <c:numFmt formatCode="_(* #,##0.0_);_(* \(#,##0.0\);_(* &quot;-&quot;??_);_(@_)" sourceLinked="1"/>
        <c:majorTickMark val="none"/>
        <c:minorTickMark val="none"/>
        <c:tickLblPos val="nextTo"/>
        <c:crossAx val="113730688"/>
        <c:crosses val="autoZero"/>
        <c:crossBetween val="between"/>
      </c:valAx>
      <c:dTable>
        <c:showHorzBorder val="1"/>
        <c:showVertBorder val="1"/>
        <c:showOutline val="1"/>
        <c:showKeys val="1"/>
      </c:dTable>
    </c:plotArea>
    <c:legend>
      <c:legendPos val="r"/>
      <c:overlay val="0"/>
    </c:legend>
    <c:plotVisOnly val="1"/>
    <c:dispBlanksAs val="zero"/>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97971</xdr:colOff>
      <xdr:row>0</xdr:row>
      <xdr:rowOff>0</xdr:rowOff>
    </xdr:from>
    <xdr:to>
      <xdr:col>2</xdr:col>
      <xdr:colOff>1864483</xdr:colOff>
      <xdr:row>4</xdr:row>
      <xdr:rowOff>130628</xdr:rowOff>
    </xdr:to>
    <xdr:pic>
      <xdr:nvPicPr>
        <xdr:cNvPr id="2" name="Picture 1" descr="C:\Users\chgtg4w\AppData\Local\Microsoft\Windows\Temporary Internet Files\Content.Word\Noresco_Standard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571" y="0"/>
          <a:ext cx="3176212" cy="831668"/>
        </a:xfrm>
        <a:prstGeom prst="rect">
          <a:avLst/>
        </a:prstGeom>
        <a:noFill/>
        <a:ln>
          <a:noFill/>
        </a:ln>
      </xdr:spPr>
    </xdr:pic>
    <xdr:clientData/>
  </xdr:twoCellAnchor>
  <xdr:twoCellAnchor>
    <xdr:from>
      <xdr:col>1</xdr:col>
      <xdr:colOff>10885</xdr:colOff>
      <xdr:row>17</xdr:row>
      <xdr:rowOff>65314</xdr:rowOff>
    </xdr:from>
    <xdr:to>
      <xdr:col>3</xdr:col>
      <xdr:colOff>0</xdr:colOff>
      <xdr:row>24</xdr:row>
      <xdr:rowOff>21772</xdr:rowOff>
    </xdr:to>
    <xdr:sp macro="" textlink="">
      <xdr:nvSpPr>
        <xdr:cNvPr id="3" name="Text Box 16"/>
        <xdr:cNvSpPr txBox="1"/>
      </xdr:nvSpPr>
      <xdr:spPr>
        <a:xfrm>
          <a:off x="620485" y="3547654"/>
          <a:ext cx="9018815" cy="1183278"/>
        </a:xfrm>
        <a:prstGeom prst="rect">
          <a:avLst/>
        </a:prstGeom>
        <a:noFill/>
        <a:ln w="3175">
          <a:solidFill>
            <a:schemeClr val="tx1"/>
          </a:solidFill>
        </a:ln>
        <a:effectLst/>
        <a:extLst>
          <a:ext uri="{C572A759-6A51-4108-AA02-DFA0A04FC94B}">
            <ma14:wrappingTextBoxFlag xmlns:lc="http://schemas.openxmlformats.org/drawingml/2006/lockedCanvas" xmlns:w15="http://schemas.microsoft.com/office/word/2012/wordml"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ts val="1500"/>
            </a:lnSpc>
            <a:spcBef>
              <a:spcPts val="0"/>
            </a:spcBef>
            <a:spcAft>
              <a:spcPts val="600"/>
            </a:spcAft>
          </a:pPr>
          <a:r>
            <a:rPr lang="en-US" sz="1600" b="1">
              <a:solidFill>
                <a:srgbClr val="000000"/>
              </a:solidFill>
              <a:effectLst/>
              <a:latin typeface="Arial" panose="020B0604020202020204" pitchFamily="34" charset="0"/>
              <a:ea typeface="MS Mincho"/>
              <a:cs typeface="Arial" panose="020B0604020202020204" pitchFamily="34" charset="0"/>
            </a:rPr>
            <a:t>DISCLAIMER</a:t>
          </a:r>
          <a:endParaRPr lang="en-US" sz="1600">
            <a:solidFill>
              <a:srgbClr val="000000"/>
            </a:solidFill>
            <a:effectLst/>
            <a:latin typeface="Arial" panose="020B0604020202020204" pitchFamily="34" charset="0"/>
            <a:ea typeface="MS Mincho"/>
            <a:cs typeface="Arial" panose="020B0604020202020204" pitchFamily="34" charset="0"/>
          </a:endParaRPr>
        </a:p>
        <a:p>
          <a:pPr marL="0" marR="0" algn="just">
            <a:lnSpc>
              <a:spcPts val="1000"/>
            </a:lnSpc>
            <a:spcBef>
              <a:spcPts val="0"/>
            </a:spcBef>
            <a:spcAft>
              <a:spcPts val="700"/>
            </a:spcAft>
          </a:pPr>
          <a:r>
            <a:rPr lang="en-US" sz="1100" b="0">
              <a:solidFill>
                <a:srgbClr val="000000"/>
              </a:solidFill>
              <a:effectLst/>
              <a:latin typeface="Arial" panose="020B0604020202020204" pitchFamily="34" charset="0"/>
              <a:ea typeface="MS Mincho"/>
              <a:cs typeface="Arial" panose="020B0604020202020204" pitchFamily="34" charset="0"/>
            </a:rPr>
            <a:t>This workbook was prepared as the result of work sponsored by the California Energy Commission. It does not necessarily represent the views of the Energy Commission, its employees, or the State of California. The Energy Commission, the State of California, its employees, contractors, and subcontractors make no warrant, express or implied, and assume no legal liability for the information in this report; nor does any party represent that the uses of this information will not infringe upon privately owned rights. This </a:t>
          </a:r>
          <a:r>
            <a:rPr lang="en-US" sz="1100" b="0">
              <a:effectLst/>
              <a:latin typeface="Arial" panose="020B0604020202020204" pitchFamily="34" charset="0"/>
              <a:ea typeface="+mn-ea"/>
              <a:cs typeface="Arial" panose="020B0604020202020204" pitchFamily="34" charset="0"/>
            </a:rPr>
            <a:t>workbook </a:t>
          </a:r>
          <a:r>
            <a:rPr lang="en-US" sz="1100" b="0">
              <a:solidFill>
                <a:srgbClr val="000000"/>
              </a:solidFill>
              <a:effectLst/>
              <a:latin typeface="Arial" panose="020B0604020202020204" pitchFamily="34" charset="0"/>
              <a:ea typeface="MS Mincho"/>
              <a:cs typeface="Arial" panose="020B0604020202020204" pitchFamily="34" charset="0"/>
            </a:rPr>
            <a:t>has not been approved or disapproved by the California Energy Commission nor has the California Energy Commission passed upon the accuracy or adequacy of the information in this report.</a:t>
          </a:r>
        </a:p>
      </xdr:txBody>
    </xdr:sp>
    <xdr:clientData/>
  </xdr:twoCellAnchor>
  <xdr:twoCellAnchor editAs="oneCell">
    <xdr:from>
      <xdr:col>2</xdr:col>
      <xdr:colOff>4183723</xdr:colOff>
      <xdr:row>0</xdr:row>
      <xdr:rowOff>21770</xdr:rowOff>
    </xdr:from>
    <xdr:to>
      <xdr:col>3</xdr:col>
      <xdr:colOff>218803</xdr:colOff>
      <xdr:row>7</xdr:row>
      <xdr:rowOff>228598</xdr:rowOff>
    </xdr:to>
    <xdr:pic>
      <xdr:nvPicPr>
        <xdr:cNvPr id="4" name="Picture 3" descr="https://fuelcellsworks.com/content/uploads/California-Energy-Commission-20160613.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3023" y="21770"/>
          <a:ext cx="3655080" cy="1433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Electricity</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Gas</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47625</xdr:colOff>
      <xdr:row>2</xdr:row>
      <xdr:rowOff>171450</xdr:rowOff>
    </xdr:from>
    <xdr:to>
      <xdr:col>11</xdr:col>
      <xdr:colOff>333375</xdr:colOff>
      <xdr:row>22</xdr:row>
      <xdr:rowOff>28575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552450"/>
          <a:ext cx="6381750" cy="366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20Data%20Analysis%20-%20AB802%20-%20Phase%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onlycaliforniapgt.navigantconsulting.com/Users/adaftari/Desktop/Other%20Projects%20and%20Folders/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ogram Analysis"/>
      <sheetName val="SB 350 Potential"/>
      <sheetName val="Reference"/>
      <sheetName val="Conservative"/>
      <sheetName val="Aggressive"/>
      <sheetName val="Graph (electricity)"/>
      <sheetName val="Graph (gas)"/>
      <sheetName val="CEC Worksheet"/>
      <sheetName val="CEC Fuel Savings for 350"/>
      <sheetName val="Look-up"/>
      <sheetName val="FS Stick Mid PA"/>
      <sheetName val="FS ADD Mid PA"/>
      <sheetName val="Summary"/>
      <sheetName val="Building Stock Data"/>
      <sheetName val="Benchmarking"/>
    </sheetNames>
    <sheetDataSet>
      <sheetData sheetId="0"/>
      <sheetData sheetId="1"/>
      <sheetData sheetId="2"/>
      <sheetData sheetId="3"/>
      <sheetData sheetId="4"/>
      <sheetData sheetId="5"/>
      <sheetData sheetId="6" refreshError="1"/>
      <sheetData sheetId="7" refreshError="1"/>
      <sheetData sheetId="8"/>
      <sheetData sheetId="9"/>
      <sheetData sheetId="10">
        <row r="4">
          <cell r="A4" t="str">
            <v>Title 24</v>
          </cell>
        </row>
        <row r="5">
          <cell r="A5" t="str">
            <v>Title 20</v>
          </cell>
        </row>
        <row r="6">
          <cell r="A6" t="str">
            <v>Federal Appliances</v>
          </cell>
        </row>
        <row r="7">
          <cell r="A7" t="str">
            <v>Local Government Ordinances</v>
          </cell>
        </row>
        <row r="8">
          <cell r="A8" t="str">
            <v>Air Quality Districts</v>
          </cell>
        </row>
        <row r="9">
          <cell r="A9" t="str">
            <v>Local Government Challenge</v>
          </cell>
        </row>
        <row r="10">
          <cell r="A10" t="str">
            <v>Proposition 39</v>
          </cell>
        </row>
        <row r="11">
          <cell r="A11" t="str">
            <v>GGRF: Low Income Weather</v>
          </cell>
        </row>
        <row r="12">
          <cell r="A12" t="str">
            <v>GGRF: Water-Energy Grant</v>
          </cell>
        </row>
        <row r="13">
          <cell r="A13" t="str">
            <v>DGS EE Retrofit</v>
          </cell>
        </row>
        <row r="14">
          <cell r="A14" t="str">
            <v>ECAA Financing</v>
          </cell>
        </row>
        <row r="15">
          <cell r="A15" t="str">
            <v>PACE Financing</v>
          </cell>
        </row>
        <row r="16">
          <cell r="A16" t="str">
            <v>AB 802</v>
          </cell>
        </row>
        <row r="17">
          <cell r="A17" t="str">
            <v>BRO's</v>
          </cell>
        </row>
        <row r="18">
          <cell r="A18" t="str">
            <v>Energy Asset Rating</v>
          </cell>
        </row>
        <row r="19">
          <cell r="A19" t="str">
            <v>Smart Meter Data Analytics</v>
          </cell>
        </row>
        <row r="20">
          <cell r="A20" t="str">
            <v>Electrification</v>
          </cell>
        </row>
        <row r="23">
          <cell r="B23" t="str">
            <v>Non_Residential</v>
          </cell>
          <cell r="C23" t="str">
            <v>Residential</v>
          </cell>
        </row>
      </sheetData>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8:H48"/>
  <sheetViews>
    <sheetView tabSelected="1" zoomScale="70" zoomScaleNormal="70" workbookViewId="0">
      <selection activeCell="F24" sqref="F24"/>
    </sheetView>
  </sheetViews>
  <sheetFormatPr defaultColWidth="8.88671875" defaultRowHeight="13.8" x14ac:dyDescent="0.25"/>
  <cols>
    <col min="1" max="1" width="8.88671875" style="168"/>
    <col min="2" max="2" width="20.5546875" style="168" customWidth="1"/>
    <col min="3" max="3" width="111.109375" style="168" customWidth="1"/>
    <col min="4" max="16384" width="8.88671875" style="168"/>
  </cols>
  <sheetData>
    <row r="8" spans="2:8" ht="22.8" x14ac:dyDescent="0.4">
      <c r="B8" s="167" t="s">
        <v>404</v>
      </c>
      <c r="H8"/>
    </row>
    <row r="9" spans="2:8" ht="22.8" x14ac:dyDescent="0.4">
      <c r="B9" s="167" t="s">
        <v>405</v>
      </c>
    </row>
    <row r="10" spans="2:8" ht="22.8" x14ac:dyDescent="0.4">
      <c r="B10" s="167" t="s">
        <v>406</v>
      </c>
    </row>
    <row r="11" spans="2:8" ht="22.8" x14ac:dyDescent="0.4">
      <c r="B11" s="167"/>
    </row>
    <row r="12" spans="2:8" ht="17.399999999999999" x14ac:dyDescent="0.3">
      <c r="B12" s="169" t="s">
        <v>25</v>
      </c>
    </row>
    <row r="13" spans="2:8" x14ac:dyDescent="0.25">
      <c r="B13" s="168" t="s">
        <v>407</v>
      </c>
      <c r="C13" s="168" t="s">
        <v>456</v>
      </c>
    </row>
    <row r="14" spans="2:8" x14ac:dyDescent="0.25">
      <c r="B14" s="168" t="s">
        <v>408</v>
      </c>
      <c r="C14" s="168" t="s">
        <v>409</v>
      </c>
    </row>
    <row r="15" spans="2:8" x14ac:dyDescent="0.25">
      <c r="B15" s="168" t="s">
        <v>410</v>
      </c>
      <c r="C15" s="168" t="s">
        <v>411</v>
      </c>
    </row>
    <row r="16" spans="2:8" x14ac:dyDescent="0.25">
      <c r="B16" s="168" t="s">
        <v>412</v>
      </c>
      <c r="C16" s="170">
        <v>42968</v>
      </c>
    </row>
    <row r="27" spans="2:3" ht="27.6" customHeight="1" x14ac:dyDescent="0.25">
      <c r="B27" s="268" t="s">
        <v>413</v>
      </c>
      <c r="C27" s="269"/>
    </row>
    <row r="28" spans="2:3" x14ac:dyDescent="0.25">
      <c r="B28" s="171" t="s">
        <v>414</v>
      </c>
      <c r="C28" s="172" t="s">
        <v>415</v>
      </c>
    </row>
    <row r="29" spans="2:3" x14ac:dyDescent="0.25">
      <c r="B29" s="171" t="s">
        <v>416</v>
      </c>
      <c r="C29" s="172" t="s">
        <v>417</v>
      </c>
    </row>
    <row r="30" spans="2:3" x14ac:dyDescent="0.25">
      <c r="B30" s="171" t="s">
        <v>402</v>
      </c>
      <c r="C30" s="172" t="s">
        <v>418</v>
      </c>
    </row>
    <row r="31" spans="2:3" x14ac:dyDescent="0.25">
      <c r="B31" s="171" t="s">
        <v>401</v>
      </c>
      <c r="C31" s="172" t="s">
        <v>419</v>
      </c>
    </row>
    <row r="32" spans="2:3" x14ac:dyDescent="0.25">
      <c r="B32" s="171" t="s">
        <v>402</v>
      </c>
      <c r="C32" s="172" t="s">
        <v>420</v>
      </c>
    </row>
    <row r="33" spans="2:3" x14ac:dyDescent="0.25">
      <c r="B33" s="171" t="s">
        <v>421</v>
      </c>
      <c r="C33" s="259" t="s">
        <v>479</v>
      </c>
    </row>
    <row r="34" spans="2:3" x14ac:dyDescent="0.25">
      <c r="B34" s="171" t="s">
        <v>422</v>
      </c>
      <c r="C34" s="259" t="s">
        <v>480</v>
      </c>
    </row>
    <row r="35" spans="2:3" x14ac:dyDescent="0.25">
      <c r="B35" s="259" t="s">
        <v>457</v>
      </c>
      <c r="C35" s="260" t="s">
        <v>481</v>
      </c>
    </row>
    <row r="36" spans="2:3" x14ac:dyDescent="0.25">
      <c r="B36" s="259" t="s">
        <v>458</v>
      </c>
      <c r="C36" s="260" t="s">
        <v>481</v>
      </c>
    </row>
    <row r="37" spans="2:3" x14ac:dyDescent="0.25">
      <c r="B37" s="259" t="s">
        <v>468</v>
      </c>
      <c r="C37" s="260" t="s">
        <v>481</v>
      </c>
    </row>
    <row r="38" spans="2:3" x14ac:dyDescent="0.25">
      <c r="B38" s="259" t="s">
        <v>471</v>
      </c>
      <c r="C38" s="260" t="s">
        <v>484</v>
      </c>
    </row>
    <row r="39" spans="2:3" x14ac:dyDescent="0.25">
      <c r="B39" s="173"/>
      <c r="C39" s="174"/>
    </row>
    <row r="41" spans="2:3" ht="27.6" customHeight="1" x14ac:dyDescent="0.25">
      <c r="B41" s="268" t="s">
        <v>423</v>
      </c>
      <c r="C41" s="269" t="s">
        <v>424</v>
      </c>
    </row>
    <row r="42" spans="2:3" x14ac:dyDescent="0.25">
      <c r="B42" s="171" t="s">
        <v>0</v>
      </c>
      <c r="C42" s="172" t="s">
        <v>425</v>
      </c>
    </row>
    <row r="43" spans="2:3" x14ac:dyDescent="0.25">
      <c r="B43" s="171" t="s">
        <v>4</v>
      </c>
      <c r="C43" s="172" t="s">
        <v>426</v>
      </c>
    </row>
    <row r="44" spans="2:3" ht="14.4" x14ac:dyDescent="0.3">
      <c r="B44" s="175" t="s">
        <v>427</v>
      </c>
      <c r="C44" s="176" t="s">
        <v>428</v>
      </c>
    </row>
    <row r="45" spans="2:3" ht="14.4" x14ac:dyDescent="0.3">
      <c r="B45" s="175" t="s">
        <v>472</v>
      </c>
      <c r="C45" s="176" t="s">
        <v>25</v>
      </c>
    </row>
    <row r="46" spans="2:3" ht="28.8" x14ac:dyDescent="0.3">
      <c r="B46" s="175" t="s">
        <v>429</v>
      </c>
      <c r="C46" s="176" t="s">
        <v>430</v>
      </c>
    </row>
    <row r="47" spans="2:3" ht="14.4" x14ac:dyDescent="0.3">
      <c r="B47" s="175" t="s">
        <v>84</v>
      </c>
      <c r="C47" s="176" t="s">
        <v>431</v>
      </c>
    </row>
    <row r="48" spans="2:3" ht="14.4" x14ac:dyDescent="0.3">
      <c r="B48" s="175" t="s">
        <v>432</v>
      </c>
      <c r="C48" s="176" t="s">
        <v>433</v>
      </c>
    </row>
  </sheetData>
  <mergeCells count="2">
    <mergeCell ref="B27:C27"/>
    <mergeCell ref="B41:C4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4:G57"/>
  <sheetViews>
    <sheetView workbookViewId="0">
      <selection activeCell="P32" sqref="P32"/>
    </sheetView>
  </sheetViews>
  <sheetFormatPr defaultRowHeight="14.4" x14ac:dyDescent="0.3"/>
  <sheetData>
    <row r="24" spans="2:7" x14ac:dyDescent="0.3">
      <c r="B24" t="s">
        <v>259</v>
      </c>
    </row>
    <row r="26" spans="2:7" x14ac:dyDescent="0.3">
      <c r="B26" t="s">
        <v>260</v>
      </c>
      <c r="F26">
        <f>3807+19449+7416+9342</f>
        <v>40014</v>
      </c>
      <c r="G26" t="s">
        <v>261</v>
      </c>
    </row>
    <row r="28" spans="2:7" x14ac:dyDescent="0.3">
      <c r="B28" t="s">
        <v>262</v>
      </c>
      <c r="F28" s="95">
        <v>40000</v>
      </c>
      <c r="G28" t="s">
        <v>261</v>
      </c>
    </row>
    <row r="30" spans="2:7" x14ac:dyDescent="0.3">
      <c r="B30" t="s">
        <v>263</v>
      </c>
      <c r="F30">
        <v>74982</v>
      </c>
      <c r="G30" t="s">
        <v>264</v>
      </c>
    </row>
    <row r="32" spans="2:7" x14ac:dyDescent="0.3">
      <c r="B32" t="s">
        <v>265</v>
      </c>
      <c r="F32" s="1">
        <f>F28/F30</f>
        <v>0.53346136406070788</v>
      </c>
      <c r="G32" t="s">
        <v>266</v>
      </c>
    </row>
    <row r="34" spans="2:3" x14ac:dyDescent="0.3">
      <c r="B34" t="s">
        <v>267</v>
      </c>
    </row>
    <row r="36" spans="2:3" x14ac:dyDescent="0.3">
      <c r="B36" s="97" t="s">
        <v>272</v>
      </c>
    </row>
    <row r="40" spans="2:3" x14ac:dyDescent="0.3">
      <c r="B40" t="s">
        <v>63</v>
      </c>
    </row>
    <row r="41" spans="2:3" x14ac:dyDescent="0.3">
      <c r="B41" t="s">
        <v>282</v>
      </c>
    </row>
    <row r="42" spans="2:3" x14ac:dyDescent="0.3">
      <c r="B42" t="s">
        <v>283</v>
      </c>
    </row>
    <row r="43" spans="2:3" x14ac:dyDescent="0.3">
      <c r="B43" t="s">
        <v>284</v>
      </c>
    </row>
    <row r="44" spans="2:3" x14ac:dyDescent="0.3">
      <c r="B44" s="98" t="s">
        <v>288</v>
      </c>
    </row>
    <row r="45" spans="2:3" x14ac:dyDescent="0.3">
      <c r="B45" s="105" t="s">
        <v>293</v>
      </c>
    </row>
    <row r="46" spans="2:3" x14ac:dyDescent="0.3">
      <c r="B46" s="105"/>
    </row>
    <row r="47" spans="2:3" x14ac:dyDescent="0.3">
      <c r="B47" t="s">
        <v>247</v>
      </c>
      <c r="C47" t="s">
        <v>246</v>
      </c>
    </row>
    <row r="48" spans="2:3" x14ac:dyDescent="0.3">
      <c r="B48" t="s">
        <v>249</v>
      </c>
      <c r="C48" t="s">
        <v>248</v>
      </c>
    </row>
    <row r="49" spans="2:4" x14ac:dyDescent="0.3">
      <c r="B49" t="s">
        <v>251</v>
      </c>
      <c r="C49" t="s">
        <v>250</v>
      </c>
      <c r="D49" s="95">
        <v>32226</v>
      </c>
    </row>
    <row r="50" spans="2:4" x14ac:dyDescent="0.3">
      <c r="C50" t="s">
        <v>252</v>
      </c>
      <c r="D50" s="95">
        <v>22639</v>
      </c>
    </row>
    <row r="51" spans="2:4" x14ac:dyDescent="0.3">
      <c r="C51" t="s">
        <v>253</v>
      </c>
      <c r="D51" s="95">
        <v>5109</v>
      </c>
    </row>
    <row r="52" spans="2:4" x14ac:dyDescent="0.3">
      <c r="C52" t="s">
        <v>254</v>
      </c>
      <c r="D52" s="95">
        <v>92147</v>
      </c>
    </row>
    <row r="53" spans="2:4" x14ac:dyDescent="0.3">
      <c r="C53" t="s">
        <v>255</v>
      </c>
      <c r="D53" s="95">
        <v>4926</v>
      </c>
    </row>
    <row r="54" spans="2:4" x14ac:dyDescent="0.3">
      <c r="C54" t="s">
        <v>256</v>
      </c>
      <c r="D54" s="95">
        <v>25768</v>
      </c>
    </row>
    <row r="55" spans="2:4" x14ac:dyDescent="0.3">
      <c r="C55" t="s">
        <v>257</v>
      </c>
      <c r="D55" s="95">
        <v>121096</v>
      </c>
    </row>
    <row r="56" spans="2:4" x14ac:dyDescent="0.3">
      <c r="C56" t="s">
        <v>258</v>
      </c>
      <c r="D56" s="95">
        <v>21132</v>
      </c>
    </row>
    <row r="57" spans="2:4" x14ac:dyDescent="0.3">
      <c r="C57" s="1" t="s">
        <v>286</v>
      </c>
      <c r="D57" s="95">
        <f>SUM(D49:D55)</f>
        <v>303911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6"/>
  <sheetViews>
    <sheetView zoomScaleNormal="100" workbookViewId="0">
      <selection activeCell="G33" sqref="G33"/>
    </sheetView>
  </sheetViews>
  <sheetFormatPr defaultColWidth="8.88671875" defaultRowHeight="14.4" x14ac:dyDescent="0.3"/>
  <cols>
    <col min="1" max="1" width="27.33203125" style="2" bestFit="1" customWidth="1"/>
    <col min="2" max="2" width="22.6640625" style="2" bestFit="1" customWidth="1"/>
    <col min="3" max="3" width="14.33203125" style="2" customWidth="1"/>
    <col min="4" max="4" width="11.33203125" style="2" customWidth="1"/>
    <col min="5" max="5" width="19.88671875" style="2" bestFit="1" customWidth="1"/>
    <col min="6" max="6" width="16.6640625" style="2" customWidth="1"/>
    <col min="7" max="16384" width="8.88671875" style="2"/>
  </cols>
  <sheetData>
    <row r="1" spans="1:9" ht="18" x14ac:dyDescent="0.35">
      <c r="A1" s="63" t="s">
        <v>59</v>
      </c>
      <c r="B1" s="8"/>
      <c r="C1" s="8"/>
      <c r="D1" s="8"/>
    </row>
    <row r="2" spans="1:9" ht="18" x14ac:dyDescent="0.35">
      <c r="A2" s="5"/>
      <c r="B2" s="8"/>
      <c r="C2" s="8"/>
      <c r="D2" s="8"/>
    </row>
    <row r="3" spans="1:9" ht="15" thickBot="1" x14ac:dyDescent="0.35">
      <c r="A3" s="42" t="s">
        <v>90</v>
      </c>
      <c r="B3" s="42" t="s">
        <v>17</v>
      </c>
      <c r="C3" s="42" t="s">
        <v>32</v>
      </c>
      <c r="D3" s="42" t="s">
        <v>1</v>
      </c>
      <c r="E3" s="42" t="s">
        <v>64</v>
      </c>
      <c r="F3" s="42" t="s">
        <v>72</v>
      </c>
    </row>
    <row r="4" spans="1:9" x14ac:dyDescent="0.3">
      <c r="A4" s="64" t="s">
        <v>10</v>
      </c>
      <c r="B4" s="65" t="s">
        <v>9</v>
      </c>
      <c r="C4" s="64" t="s">
        <v>29</v>
      </c>
      <c r="D4" s="65" t="s">
        <v>2</v>
      </c>
      <c r="E4" s="64" t="s">
        <v>65</v>
      </c>
      <c r="F4" s="64"/>
      <c r="H4" s="62"/>
    </row>
    <row r="5" spans="1:9" x14ac:dyDescent="0.3">
      <c r="A5" s="64" t="s">
        <v>11</v>
      </c>
      <c r="B5" s="65" t="s">
        <v>9</v>
      </c>
      <c r="C5" s="64" t="s">
        <v>29</v>
      </c>
      <c r="D5" s="65" t="s">
        <v>5</v>
      </c>
      <c r="E5" s="64" t="s">
        <v>66</v>
      </c>
      <c r="F5" s="64"/>
      <c r="H5" s="62"/>
    </row>
    <row r="6" spans="1:9" x14ac:dyDescent="0.3">
      <c r="A6" s="64" t="s">
        <v>23</v>
      </c>
      <c r="B6" s="65" t="s">
        <v>9</v>
      </c>
      <c r="C6" s="64" t="s">
        <v>29</v>
      </c>
      <c r="D6" s="65" t="s">
        <v>5</v>
      </c>
      <c r="E6" s="64" t="s">
        <v>67</v>
      </c>
      <c r="F6" s="64"/>
      <c r="H6" s="62"/>
    </row>
    <row r="7" spans="1:9" x14ac:dyDescent="0.3">
      <c r="A7" s="64" t="s">
        <v>24</v>
      </c>
      <c r="B7" s="65" t="s">
        <v>9</v>
      </c>
      <c r="C7" s="64" t="s">
        <v>29</v>
      </c>
      <c r="D7" s="64" t="s">
        <v>18</v>
      </c>
      <c r="E7" s="64" t="s">
        <v>67</v>
      </c>
      <c r="F7" s="64"/>
      <c r="H7" s="62"/>
      <c r="I7" s="62"/>
    </row>
    <row r="8" spans="1:9" x14ac:dyDescent="0.3">
      <c r="A8" s="64" t="s">
        <v>12</v>
      </c>
      <c r="B8" s="64" t="s">
        <v>9</v>
      </c>
      <c r="C8" s="64" t="s">
        <v>29</v>
      </c>
      <c r="D8" s="64" t="s">
        <v>18</v>
      </c>
      <c r="E8" s="64" t="s">
        <v>65</v>
      </c>
      <c r="F8" s="64"/>
      <c r="H8" s="62"/>
      <c r="I8" s="62"/>
    </row>
    <row r="9" spans="1:9" x14ac:dyDescent="0.3">
      <c r="A9" s="66" t="s">
        <v>26</v>
      </c>
      <c r="B9" s="66" t="s">
        <v>7</v>
      </c>
      <c r="C9" s="66" t="s">
        <v>29</v>
      </c>
      <c r="D9" s="66" t="s">
        <v>2</v>
      </c>
      <c r="E9" s="64" t="s">
        <v>69</v>
      </c>
      <c r="F9" s="64"/>
      <c r="H9" s="62"/>
      <c r="I9" s="62"/>
    </row>
    <row r="10" spans="1:9" x14ac:dyDescent="0.3">
      <c r="A10" s="64" t="s">
        <v>27</v>
      </c>
      <c r="B10" s="64" t="s">
        <v>7</v>
      </c>
      <c r="C10" s="64" t="s">
        <v>29</v>
      </c>
      <c r="D10" s="64" t="s">
        <v>18</v>
      </c>
      <c r="E10" s="64" t="s">
        <v>70</v>
      </c>
      <c r="F10" s="64"/>
      <c r="H10" s="62"/>
      <c r="I10" s="62"/>
    </row>
    <row r="11" spans="1:9" x14ac:dyDescent="0.3">
      <c r="A11" s="64" t="s">
        <v>40</v>
      </c>
      <c r="B11" s="64" t="s">
        <v>7</v>
      </c>
      <c r="C11" s="64" t="s">
        <v>30</v>
      </c>
      <c r="D11" s="64" t="s">
        <v>19</v>
      </c>
      <c r="E11" s="64" t="s">
        <v>69</v>
      </c>
      <c r="F11" s="64"/>
      <c r="H11" s="62"/>
      <c r="I11" s="62"/>
    </row>
    <row r="12" spans="1:9" x14ac:dyDescent="0.3">
      <c r="A12" s="64" t="s">
        <v>38</v>
      </c>
      <c r="B12" s="64" t="s">
        <v>7</v>
      </c>
      <c r="C12" s="64" t="s">
        <v>29</v>
      </c>
      <c r="D12" s="64" t="s">
        <v>28</v>
      </c>
      <c r="E12" s="64" t="s">
        <v>69</v>
      </c>
      <c r="F12" s="64"/>
      <c r="H12" s="62"/>
      <c r="I12" s="62"/>
    </row>
    <row r="13" spans="1:9" x14ac:dyDescent="0.3">
      <c r="A13" s="64" t="s">
        <v>25</v>
      </c>
      <c r="B13" s="64" t="s">
        <v>7</v>
      </c>
      <c r="C13" s="64" t="s">
        <v>29</v>
      </c>
      <c r="D13" s="64" t="s">
        <v>2</v>
      </c>
      <c r="E13" s="64" t="s">
        <v>68</v>
      </c>
      <c r="F13" s="64"/>
      <c r="H13" s="62"/>
      <c r="I13" s="62"/>
    </row>
    <row r="14" spans="1:9" x14ac:dyDescent="0.3">
      <c r="A14" s="64" t="s">
        <v>39</v>
      </c>
      <c r="B14" s="64" t="s">
        <v>7</v>
      </c>
      <c r="C14" s="64" t="s">
        <v>31</v>
      </c>
      <c r="D14" s="64" t="s">
        <v>20</v>
      </c>
      <c r="E14" s="64" t="s">
        <v>70</v>
      </c>
      <c r="F14" s="64"/>
      <c r="H14" s="62"/>
      <c r="I14" s="62"/>
    </row>
    <row r="15" spans="1:9" x14ac:dyDescent="0.3">
      <c r="A15" s="64" t="s">
        <v>15</v>
      </c>
      <c r="B15" s="64" t="s">
        <v>7</v>
      </c>
      <c r="C15" s="64" t="s">
        <v>29</v>
      </c>
      <c r="D15" s="64" t="s">
        <v>21</v>
      </c>
      <c r="E15" s="64" t="s">
        <v>66</v>
      </c>
      <c r="F15" s="64"/>
      <c r="H15" s="62"/>
      <c r="I15" s="62"/>
    </row>
    <row r="16" spans="1:9" x14ac:dyDescent="0.3">
      <c r="A16" s="64" t="s">
        <v>14</v>
      </c>
      <c r="B16" s="64" t="s">
        <v>22</v>
      </c>
      <c r="C16" s="64" t="s">
        <v>29</v>
      </c>
      <c r="D16" s="64" t="s">
        <v>19</v>
      </c>
      <c r="E16" s="64" t="s">
        <v>65</v>
      </c>
      <c r="F16" s="64"/>
      <c r="H16" s="62"/>
      <c r="I16" s="62"/>
    </row>
    <row r="17" spans="1:9" x14ac:dyDescent="0.3">
      <c r="A17" s="64" t="s">
        <v>8</v>
      </c>
      <c r="B17" s="64" t="s">
        <v>22</v>
      </c>
      <c r="C17" s="64" t="s">
        <v>29</v>
      </c>
      <c r="D17" s="64" t="s">
        <v>19</v>
      </c>
      <c r="E17" s="64" t="s">
        <v>68</v>
      </c>
      <c r="F17" s="64"/>
      <c r="H17" s="62"/>
      <c r="I17" s="62"/>
    </row>
    <row r="18" spans="1:9" x14ac:dyDescent="0.3">
      <c r="A18" s="64" t="s">
        <v>36</v>
      </c>
      <c r="B18" s="64" t="s">
        <v>22</v>
      </c>
      <c r="C18" s="64" t="s">
        <v>29</v>
      </c>
      <c r="D18" s="64" t="s">
        <v>19</v>
      </c>
      <c r="E18" s="64" t="s">
        <v>66</v>
      </c>
      <c r="F18" s="64"/>
      <c r="H18" s="62"/>
      <c r="I18" s="62"/>
    </row>
    <row r="19" spans="1:9" x14ac:dyDescent="0.3">
      <c r="A19" s="64" t="s">
        <v>37</v>
      </c>
      <c r="B19" s="64" t="s">
        <v>22</v>
      </c>
      <c r="C19" s="64" t="s">
        <v>29</v>
      </c>
      <c r="D19" s="64" t="s">
        <v>19</v>
      </c>
      <c r="E19" s="64" t="s">
        <v>71</v>
      </c>
      <c r="F19" s="64"/>
      <c r="H19" s="62"/>
      <c r="I19" s="62"/>
    </row>
    <row r="20" spans="1:9" x14ac:dyDescent="0.3">
      <c r="A20" s="64" t="s">
        <v>13</v>
      </c>
      <c r="B20" s="64" t="s">
        <v>16</v>
      </c>
      <c r="C20" s="64" t="s">
        <v>29</v>
      </c>
      <c r="D20" s="64" t="s">
        <v>19</v>
      </c>
      <c r="E20" s="64" t="s">
        <v>65</v>
      </c>
      <c r="F20" s="64"/>
    </row>
    <row r="21" spans="1:9" x14ac:dyDescent="0.3">
      <c r="A21" s="64"/>
      <c r="B21" s="64"/>
      <c r="C21" s="64"/>
      <c r="D21" s="64"/>
      <c r="E21" s="64"/>
      <c r="F21" s="64"/>
    </row>
    <row r="22" spans="1:9" x14ac:dyDescent="0.3">
      <c r="A22" s="64"/>
      <c r="B22" s="64"/>
      <c r="C22" s="64"/>
      <c r="D22" s="64"/>
      <c r="E22" s="64"/>
      <c r="F22" s="64"/>
    </row>
    <row r="23" spans="1:9" ht="15" thickBot="1" x14ac:dyDescent="0.35">
      <c r="A23" s="42" t="s">
        <v>87</v>
      </c>
      <c r="B23" s="42" t="s">
        <v>89</v>
      </c>
      <c r="C23" s="42" t="s">
        <v>84</v>
      </c>
      <c r="D23" s="64"/>
      <c r="E23" s="64"/>
      <c r="F23" s="64"/>
    </row>
    <row r="24" spans="1:9" x14ac:dyDescent="0.3">
      <c r="A24" s="67" t="s">
        <v>89</v>
      </c>
      <c r="B24" s="44" t="s">
        <v>80</v>
      </c>
      <c r="C24" s="44" t="s">
        <v>58</v>
      </c>
      <c r="D24" s="64"/>
      <c r="E24" s="64"/>
      <c r="F24" s="64"/>
    </row>
    <row r="25" spans="1:9" x14ac:dyDescent="0.3">
      <c r="A25" s="68" t="s">
        <v>84</v>
      </c>
      <c r="B25" s="44" t="s">
        <v>81</v>
      </c>
      <c r="C25" s="44" t="s">
        <v>85</v>
      </c>
      <c r="D25" s="64"/>
      <c r="E25" s="64"/>
      <c r="F25" s="64"/>
    </row>
    <row r="26" spans="1:9" x14ac:dyDescent="0.3">
      <c r="A26" s="68"/>
      <c r="B26" s="44" t="s">
        <v>82</v>
      </c>
      <c r="C26" s="44" t="s">
        <v>86</v>
      </c>
      <c r="D26" s="64"/>
      <c r="E26" s="64"/>
      <c r="F26" s="64"/>
    </row>
    <row r="27" spans="1:9" x14ac:dyDescent="0.3">
      <c r="A27" s="68"/>
      <c r="B27" s="44" t="s">
        <v>77</v>
      </c>
      <c r="C27" s="44"/>
      <c r="D27" s="64"/>
      <c r="E27" s="64"/>
      <c r="F27" s="64"/>
    </row>
    <row r="28" spans="1:9" x14ac:dyDescent="0.3">
      <c r="A28" s="68"/>
      <c r="B28" s="44" t="s">
        <v>83</v>
      </c>
      <c r="C28" s="44"/>
      <c r="D28" s="64"/>
      <c r="E28" s="64"/>
      <c r="F28" s="64"/>
    </row>
    <row r="29" spans="1:9" x14ac:dyDescent="0.3">
      <c r="A29" s="68"/>
      <c r="B29" s="44" t="s">
        <v>73</v>
      </c>
      <c r="C29" s="44"/>
      <c r="D29" s="64"/>
      <c r="E29" s="64"/>
      <c r="F29" s="64"/>
    </row>
    <row r="30" spans="1:9" x14ac:dyDescent="0.3">
      <c r="A30" s="68"/>
      <c r="B30" s="44" t="s">
        <v>78</v>
      </c>
      <c r="C30" s="44"/>
      <c r="D30" s="64"/>
      <c r="E30" s="64"/>
      <c r="F30" s="64"/>
    </row>
    <row r="31" spans="1:9" x14ac:dyDescent="0.3">
      <c r="A31" s="68"/>
      <c r="B31" s="44" t="s">
        <v>74</v>
      </c>
      <c r="C31" s="44"/>
      <c r="D31" s="64"/>
      <c r="E31" s="64"/>
      <c r="F31" s="64"/>
    </row>
    <row r="32" spans="1:9" x14ac:dyDescent="0.3">
      <c r="A32" s="68"/>
      <c r="B32" s="44" t="s">
        <v>75</v>
      </c>
      <c r="C32" s="44"/>
      <c r="D32" s="64"/>
      <c r="E32" s="64"/>
      <c r="F32" s="64"/>
    </row>
    <row r="33" spans="1:6" x14ac:dyDescent="0.3">
      <c r="A33" s="68"/>
      <c r="B33" s="44" t="s">
        <v>79</v>
      </c>
      <c r="C33" s="44"/>
      <c r="D33" s="64"/>
      <c r="E33" s="64"/>
      <c r="F33" s="64"/>
    </row>
    <row r="34" spans="1:6" x14ac:dyDescent="0.3">
      <c r="A34" s="68"/>
      <c r="B34" s="44" t="s">
        <v>76</v>
      </c>
      <c r="C34" s="44"/>
      <c r="D34" s="64"/>
      <c r="E34" s="64"/>
      <c r="F34" s="64"/>
    </row>
    <row r="35" spans="1:6" x14ac:dyDescent="0.3">
      <c r="A35" s="68"/>
      <c r="B35" s="44" t="s">
        <v>88</v>
      </c>
      <c r="C35" s="44"/>
      <c r="D35" s="64"/>
      <c r="E35" s="64"/>
      <c r="F35" s="64"/>
    </row>
    <row r="36" spans="1:6" x14ac:dyDescent="0.3">
      <c r="A36"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B2:E37"/>
  <sheetViews>
    <sheetView zoomScale="70" zoomScaleNormal="70" workbookViewId="0">
      <selection activeCell="C29" sqref="C29"/>
    </sheetView>
  </sheetViews>
  <sheetFormatPr defaultColWidth="8.88671875" defaultRowHeight="14.4" x14ac:dyDescent="0.3"/>
  <cols>
    <col min="1" max="1" width="8.88671875" style="177"/>
    <col min="2" max="2" width="27.33203125" style="182" customWidth="1"/>
    <col min="3" max="3" width="111.109375" style="183" customWidth="1"/>
    <col min="4" max="4" width="18.109375" style="177" customWidth="1"/>
    <col min="5" max="5" width="13.6640625" style="177" customWidth="1"/>
    <col min="6" max="16384" width="8.88671875" style="177"/>
  </cols>
  <sheetData>
    <row r="2" spans="2:5" ht="13.95" customHeight="1" x14ac:dyDescent="0.3">
      <c r="B2" s="274" t="s">
        <v>434</v>
      </c>
      <c r="C2" s="275"/>
    </row>
    <row r="3" spans="2:5" x14ac:dyDescent="0.3">
      <c r="B3" s="178" t="s">
        <v>90</v>
      </c>
      <c r="C3" s="178" t="s">
        <v>25</v>
      </c>
    </row>
    <row r="4" spans="2:5" x14ac:dyDescent="0.3">
      <c r="B4" s="178" t="s">
        <v>460</v>
      </c>
      <c r="C4" s="178" t="str">
        <f>VLOOKUP($C$3, 'Look-up'!$A$4:$D$20, 2, FALSE)</f>
        <v>State Financing</v>
      </c>
    </row>
    <row r="5" spans="2:5" x14ac:dyDescent="0.3">
      <c r="B5" s="178" t="s">
        <v>87</v>
      </c>
      <c r="C5" s="178" t="str">
        <f>VLOOKUP($C$3, 'Look-up'!$A$4:$D$20, 3, FALSE)</f>
        <v>RES, NR</v>
      </c>
    </row>
    <row r="8" spans="2:5" x14ac:dyDescent="0.3">
      <c r="B8" s="274" t="s">
        <v>57</v>
      </c>
      <c r="C8" s="275"/>
    </row>
    <row r="9" spans="2:5" x14ac:dyDescent="0.3">
      <c r="B9" s="178" t="s">
        <v>459</v>
      </c>
      <c r="C9" s="267" t="s">
        <v>91</v>
      </c>
    </row>
    <row r="10" spans="2:5" x14ac:dyDescent="0.3">
      <c r="B10" s="179"/>
      <c r="C10" s="261"/>
      <c r="D10" s="261"/>
      <c r="E10" s="179"/>
    </row>
    <row r="12" spans="2:5" ht="13.95" customHeight="1" x14ac:dyDescent="0.3">
      <c r="B12" s="272" t="s">
        <v>435</v>
      </c>
      <c r="C12" s="273"/>
    </row>
    <row r="13" spans="2:5" x14ac:dyDescent="0.3">
      <c r="B13" s="270" t="s">
        <v>462</v>
      </c>
      <c r="C13" s="271"/>
    </row>
    <row r="14" spans="2:5" x14ac:dyDescent="0.3">
      <c r="B14" s="270" t="s">
        <v>461</v>
      </c>
      <c r="C14" s="271"/>
    </row>
    <row r="15" spans="2:5" x14ac:dyDescent="0.3">
      <c r="B15" s="270" t="s">
        <v>463</v>
      </c>
      <c r="C15" s="271"/>
    </row>
    <row r="16" spans="2:5" x14ac:dyDescent="0.3">
      <c r="B16" s="270" t="s">
        <v>464</v>
      </c>
      <c r="C16" s="271"/>
    </row>
    <row r="17" spans="2:4" x14ac:dyDescent="0.3">
      <c r="B17" s="270" t="s">
        <v>465</v>
      </c>
      <c r="C17" s="271"/>
    </row>
    <row r="18" spans="2:4" x14ac:dyDescent="0.3">
      <c r="B18" s="270" t="s">
        <v>466</v>
      </c>
      <c r="C18" s="271"/>
    </row>
    <row r="19" spans="2:4" x14ac:dyDescent="0.3">
      <c r="B19" s="270" t="s">
        <v>467</v>
      </c>
      <c r="C19" s="271"/>
    </row>
    <row r="20" spans="2:4" x14ac:dyDescent="0.3">
      <c r="B20" s="270" t="s">
        <v>485</v>
      </c>
      <c r="C20" s="271"/>
    </row>
    <row r="23" spans="2:4" x14ac:dyDescent="0.3">
      <c r="B23" s="264" t="s">
        <v>482</v>
      </c>
      <c r="C23" s="266" t="s">
        <v>483</v>
      </c>
      <c r="D23" s="266" t="s">
        <v>478</v>
      </c>
    </row>
    <row r="24" spans="2:4" x14ac:dyDescent="0.3">
      <c r="B24" s="265" t="s">
        <v>84</v>
      </c>
      <c r="C24" s="181">
        <v>0.35</v>
      </c>
      <c r="D24" s="263">
        <v>0.5</v>
      </c>
    </row>
    <row r="25" spans="2:4" x14ac:dyDescent="0.3">
      <c r="B25" s="265" t="s">
        <v>432</v>
      </c>
      <c r="C25" s="181">
        <v>0.65</v>
      </c>
      <c r="D25" s="263">
        <v>0.5</v>
      </c>
    </row>
    <row r="28" spans="2:4" x14ac:dyDescent="0.3">
      <c r="B28" s="272" t="s">
        <v>436</v>
      </c>
      <c r="C28" s="273"/>
    </row>
    <row r="29" spans="2:4" x14ac:dyDescent="0.3">
      <c r="B29" s="180" t="s">
        <v>437</v>
      </c>
      <c r="C29" s="181">
        <v>0.04</v>
      </c>
    </row>
    <row r="30" spans="2:4" x14ac:dyDescent="0.3">
      <c r="B30" s="180" t="s">
        <v>438</v>
      </c>
      <c r="C30" s="181" t="s">
        <v>439</v>
      </c>
    </row>
    <row r="31" spans="2:4" x14ac:dyDescent="0.3">
      <c r="B31" s="180" t="s">
        <v>440</v>
      </c>
      <c r="C31" s="181" t="s">
        <v>439</v>
      </c>
    </row>
    <row r="34" spans="2:3" x14ac:dyDescent="0.3">
      <c r="B34" s="272" t="s">
        <v>441</v>
      </c>
      <c r="C34" s="273"/>
    </row>
    <row r="35" spans="2:3" ht="28.8" x14ac:dyDescent="0.3">
      <c r="B35" s="180" t="s">
        <v>442</v>
      </c>
      <c r="C35" s="262" t="s">
        <v>477</v>
      </c>
    </row>
    <row r="36" spans="2:3" x14ac:dyDescent="0.3">
      <c r="B36" s="180" t="s">
        <v>443</v>
      </c>
      <c r="C36" s="262" t="s">
        <v>476</v>
      </c>
    </row>
    <row r="37" spans="2:3" x14ac:dyDescent="0.3">
      <c r="B37" s="180" t="s">
        <v>444</v>
      </c>
      <c r="C37" s="262" t="s">
        <v>475</v>
      </c>
    </row>
  </sheetData>
  <mergeCells count="13">
    <mergeCell ref="B18:C18"/>
    <mergeCell ref="B19:C19"/>
    <mergeCell ref="B20:C20"/>
    <mergeCell ref="B34:C34"/>
    <mergeCell ref="B2:C2"/>
    <mergeCell ref="B8:C8"/>
    <mergeCell ref="B12:C12"/>
    <mergeCell ref="B28:C28"/>
    <mergeCell ref="B13:C13"/>
    <mergeCell ref="B14:C14"/>
    <mergeCell ref="B15:C15"/>
    <mergeCell ref="B16:C16"/>
    <mergeCell ref="B17:C17"/>
  </mergeCells>
  <dataValidations disablePrompts="1" count="1">
    <dataValidation type="list" allowBlank="1" showInputMessage="1" showErrorMessage="1" sqref="C3">
      <formula1>Programs</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46"/>
  <sheetViews>
    <sheetView topLeftCell="A3" zoomScale="70" zoomScaleNormal="70" workbookViewId="0">
      <selection activeCell="C40" sqref="C40"/>
    </sheetView>
  </sheetViews>
  <sheetFormatPr defaultRowHeight="14.4" x14ac:dyDescent="0.3"/>
  <cols>
    <col min="2" max="2" width="18.44140625" customWidth="1"/>
    <col min="3" max="3" width="26.5546875" customWidth="1"/>
    <col min="4" max="4" width="31" customWidth="1"/>
    <col min="5" max="5" width="19.5546875" customWidth="1"/>
    <col min="6" max="6" width="22.33203125" bestFit="1" customWidth="1"/>
    <col min="7" max="10" width="13.44140625" hidden="1" customWidth="1"/>
    <col min="11" max="11" width="13.44140625" bestFit="1" customWidth="1"/>
    <col min="12" max="21" width="14.6640625" customWidth="1"/>
    <col min="23" max="23" width="14" customWidth="1"/>
    <col min="24" max="24" width="39.109375" customWidth="1"/>
    <col min="25" max="25" width="12.33203125" customWidth="1"/>
  </cols>
  <sheetData>
    <row r="1" spans="2:28" ht="23.4" x14ac:dyDescent="0.45">
      <c r="B1" s="164" t="s">
        <v>33</v>
      </c>
      <c r="C1" s="164" t="str">
        <f>'Program Analysis'!C3</f>
        <v>Local Government Challenge</v>
      </c>
      <c r="D1" s="3"/>
    </row>
    <row r="2" spans="2:28" ht="23.4" x14ac:dyDescent="0.45">
      <c r="B2" s="164" t="s">
        <v>445</v>
      </c>
      <c r="C2" s="164" t="s">
        <v>446</v>
      </c>
      <c r="D2" s="3"/>
    </row>
    <row r="4" spans="2:28" s="2" customFormat="1" ht="15.6" x14ac:dyDescent="0.3">
      <c r="B4" s="61"/>
      <c r="G4" s="16"/>
      <c r="H4" s="16"/>
      <c r="I4" s="16"/>
      <c r="J4" s="16"/>
      <c r="K4" s="16"/>
      <c r="L4" s="16"/>
      <c r="M4" s="16"/>
      <c r="N4" s="16"/>
      <c r="O4" s="16"/>
      <c r="P4" s="16"/>
      <c r="Q4" s="16"/>
      <c r="R4" s="16"/>
      <c r="S4" s="16"/>
      <c r="T4" s="16"/>
      <c r="U4" s="16"/>
    </row>
    <row r="5" spans="2:28" s="2" customFormat="1" ht="15" thickBot="1" x14ac:dyDescent="0.35">
      <c r="G5" s="16"/>
      <c r="H5" s="16"/>
      <c r="I5" s="16"/>
      <c r="J5" s="16"/>
      <c r="K5" s="16"/>
      <c r="L5" s="16"/>
      <c r="M5" s="16"/>
      <c r="N5" s="16"/>
      <c r="O5" s="16"/>
      <c r="P5" s="16"/>
      <c r="Q5" s="16"/>
      <c r="R5" s="16"/>
      <c r="S5" s="16"/>
      <c r="T5" s="16"/>
      <c r="U5" s="16"/>
    </row>
    <row r="6" spans="2:28" ht="24" thickBot="1" x14ac:dyDescent="0.5">
      <c r="B6" s="283" t="s">
        <v>432</v>
      </c>
      <c r="C6" s="284"/>
      <c r="D6" s="284"/>
      <c r="E6" s="284"/>
      <c r="F6" s="284"/>
      <c r="G6" s="284"/>
      <c r="H6" s="284"/>
      <c r="I6" s="284"/>
      <c r="J6" s="284"/>
      <c r="K6" s="284"/>
      <c r="L6" s="284"/>
      <c r="M6" s="284"/>
      <c r="N6" s="284"/>
      <c r="O6" s="284"/>
      <c r="P6" s="284"/>
      <c r="Q6" s="284"/>
      <c r="R6" s="284"/>
      <c r="S6" s="284"/>
      <c r="T6" s="284"/>
      <c r="U6" s="285"/>
      <c r="V6" s="3"/>
      <c r="W6" s="3"/>
    </row>
    <row r="7" spans="2:28" s="8" customFormat="1" ht="18.600000000000001" thickBot="1" x14ac:dyDescent="0.4">
      <c r="B7" s="184" t="s">
        <v>1</v>
      </c>
      <c r="C7" s="185" t="s">
        <v>17</v>
      </c>
      <c r="D7" s="185" t="s">
        <v>3</v>
      </c>
      <c r="E7" s="185" t="s">
        <v>400</v>
      </c>
      <c r="F7" s="186" t="s">
        <v>60</v>
      </c>
      <c r="G7" s="185">
        <v>2015</v>
      </c>
      <c r="H7" s="185">
        <v>2016</v>
      </c>
      <c r="I7" s="185">
        <v>2017</v>
      </c>
      <c r="J7" s="185">
        <v>2018</v>
      </c>
      <c r="K7" s="185">
        <v>2019</v>
      </c>
      <c r="L7" s="185">
        <v>2020</v>
      </c>
      <c r="M7" s="185">
        <v>2021</v>
      </c>
      <c r="N7" s="185">
        <v>2022</v>
      </c>
      <c r="O7" s="185">
        <v>2023</v>
      </c>
      <c r="P7" s="185">
        <v>2024</v>
      </c>
      <c r="Q7" s="185">
        <v>2025</v>
      </c>
      <c r="R7" s="185">
        <v>2026</v>
      </c>
      <c r="S7" s="185">
        <v>2027</v>
      </c>
      <c r="T7" s="185">
        <v>2028</v>
      </c>
      <c r="U7" s="187">
        <v>2029</v>
      </c>
      <c r="V7" s="188"/>
      <c r="W7" s="188"/>
      <c r="Y7"/>
      <c r="AA7" s="43"/>
      <c r="AB7" s="43"/>
    </row>
    <row r="8" spans="2:28" s="8" customFormat="1" ht="18" x14ac:dyDescent="0.35">
      <c r="B8" s="189" t="s">
        <v>61</v>
      </c>
      <c r="C8" s="190"/>
      <c r="D8" s="190"/>
      <c r="E8" s="190"/>
      <c r="F8" s="190"/>
      <c r="G8" s="279" t="s">
        <v>398</v>
      </c>
      <c r="H8" s="279"/>
      <c r="I8" s="279"/>
      <c r="J8" s="279"/>
      <c r="K8" s="279"/>
      <c r="L8" s="279"/>
      <c r="M8" s="279"/>
      <c r="N8" s="279"/>
      <c r="O8" s="279"/>
      <c r="P8" s="279"/>
      <c r="Q8" s="279"/>
      <c r="R8" s="279"/>
      <c r="S8" s="279"/>
      <c r="T8" s="279"/>
      <c r="U8" s="280"/>
      <c r="V8" s="188"/>
      <c r="W8" s="188"/>
      <c r="AA8" s="43"/>
      <c r="AB8" s="43"/>
    </row>
    <row r="9" spans="2:28" ht="14.4" customHeight="1" x14ac:dyDescent="0.3">
      <c r="B9" s="53" t="str">
        <f>VLOOKUP($C$1, 'Look-up'!$A$4:$D$20, 4, FALSE)</f>
        <v>CEC</v>
      </c>
      <c r="C9" s="7" t="str">
        <f>VLOOKUP($C$1, 'Look-up'!$A$4:$D$20, 2, FALSE)</f>
        <v>State Financing</v>
      </c>
      <c r="D9" s="7" t="str">
        <f>VLOOKUP($C$1, 'Look-up'!$A$4:$D$20, 1, FALSE)</f>
        <v>Local Government Challenge</v>
      </c>
      <c r="E9" s="7" t="s">
        <v>401</v>
      </c>
      <c r="F9" s="40" t="s">
        <v>0</v>
      </c>
      <c r="G9" s="191">
        <f>'Program Analysis'!$C$25*Conservative!C$55</f>
        <v>0</v>
      </c>
      <c r="H9" s="191">
        <f>'Program Analysis'!$C$25*Conservative!D$55</f>
        <v>0</v>
      </c>
      <c r="I9" s="191">
        <f>'Program Analysis'!$C$25*Conservative!E$55</f>
        <v>0</v>
      </c>
      <c r="J9" s="191">
        <f>'Program Analysis'!$C$25*Conservative!F$55</f>
        <v>0</v>
      </c>
      <c r="K9" s="191">
        <f>'Program Analysis'!$C$25*Conservative!G$55</f>
        <v>0</v>
      </c>
      <c r="L9" s="191">
        <f>'Program Analysis'!$C$25*Conservative!H$55</f>
        <v>0</v>
      </c>
      <c r="M9" s="191">
        <f>'Program Analysis'!$C$25*Conservative!I$55</f>
        <v>1.5652413435951713</v>
      </c>
      <c r="N9" s="191">
        <f>'Program Analysis'!$C$25*Conservative!J$55</f>
        <v>3.1304826871903426</v>
      </c>
      <c r="O9" s="191">
        <f>'Program Analysis'!$C$25*Conservative!K$55</f>
        <v>4.6957240307855139</v>
      </c>
      <c r="P9" s="191">
        <f>'Program Analysis'!$C$25*Conservative!L$55</f>
        <v>6.193659996606093</v>
      </c>
      <c r="Q9" s="191">
        <f>'Program Analysis'!$C$25*Conservative!M$55</f>
        <v>7.6915959624266721</v>
      </c>
      <c r="R9" s="191">
        <f>'Program Analysis'!$C$25*Conservative!N$55</f>
        <v>9.1895319282472521</v>
      </c>
      <c r="S9" s="191">
        <f>'Program Analysis'!$C$25*Conservative!O$55</f>
        <v>10.653815205180535</v>
      </c>
      <c r="T9" s="191">
        <f>'Program Analysis'!$C$25*Conservative!P$55</f>
        <v>12.118098482113817</v>
      </c>
      <c r="U9" s="192">
        <f>'Program Analysis'!$C$25*Conservative!Q$55</f>
        <v>13.519772105303295</v>
      </c>
      <c r="V9" s="193"/>
      <c r="W9" s="3"/>
      <c r="AA9" s="6"/>
      <c r="AB9" s="6"/>
    </row>
    <row r="10" spans="2:28" x14ac:dyDescent="0.3">
      <c r="B10" s="194" t="str">
        <f t="shared" ref="B10:D11" si="0">B$9</f>
        <v>CEC</v>
      </c>
      <c r="C10" s="195" t="str">
        <f t="shared" si="0"/>
        <v>State Financing</v>
      </c>
      <c r="D10" s="195" t="str">
        <f t="shared" si="0"/>
        <v>Local Government Challenge</v>
      </c>
      <c r="E10" s="195" t="s">
        <v>402</v>
      </c>
      <c r="F10" s="40" t="str">
        <f>F9</f>
        <v>GWh</v>
      </c>
      <c r="G10" s="191">
        <f>'Program Analysis'!$C$25*Reference!C$55</f>
        <v>0</v>
      </c>
      <c r="H10" s="191">
        <f>'Program Analysis'!$C$25*Reference!D$55</f>
        <v>0</v>
      </c>
      <c r="I10" s="191">
        <f>'Program Analysis'!$C$25*Reference!E$55</f>
        <v>0</v>
      </c>
      <c r="J10" s="191">
        <f>'Program Analysis'!$C$25*Reference!F$55</f>
        <v>0</v>
      </c>
      <c r="K10" s="191">
        <f>'Program Analysis'!$C$25*Reference!G$55</f>
        <v>0</v>
      </c>
      <c r="L10" s="191">
        <f>'Program Analysis'!$C$25*Reference!H$55</f>
        <v>0</v>
      </c>
      <c r="M10" s="191">
        <f>'Program Analysis'!$C$25*Reference!I$55</f>
        <v>2.8842525010858679</v>
      </c>
      <c r="N10" s="191">
        <f>'Program Analysis'!$C$25*Reference!J$55</f>
        <v>5.7685050021717359</v>
      </c>
      <c r="O10" s="191">
        <f>'Program Analysis'!$C$25*Reference!K$55</f>
        <v>8.6527575032576056</v>
      </c>
      <c r="P10" s="191">
        <f>'Program Analysis'!$C$25*Reference!L$55</f>
        <v>11.412987146796779</v>
      </c>
      <c r="Q10" s="191">
        <f>'Program Analysis'!$C$25*Reference!M$55</f>
        <v>14.173216790335953</v>
      </c>
      <c r="R10" s="191">
        <f>'Program Analysis'!$C$25*Reference!N$55</f>
        <v>16.93344643387513</v>
      </c>
      <c r="S10" s="191">
        <f>'Program Analysis'!$C$25*Reference!O$55</f>
        <v>19.63166464864096</v>
      </c>
      <c r="T10" s="191">
        <f>'Program Analysis'!$C$25*Reference!P$55</f>
        <v>22.329882863406787</v>
      </c>
      <c r="U10" s="192">
        <f>'Program Analysis'!$C$25*Reference!Q$55</f>
        <v>24.912730978129186</v>
      </c>
      <c r="V10" s="3"/>
      <c r="W10" s="3"/>
    </row>
    <row r="11" spans="2:28" x14ac:dyDescent="0.3">
      <c r="B11" s="194" t="str">
        <f t="shared" si="0"/>
        <v>CEC</v>
      </c>
      <c r="C11" s="195" t="str">
        <f t="shared" si="0"/>
        <v>State Financing</v>
      </c>
      <c r="D11" s="195" t="str">
        <f t="shared" si="0"/>
        <v>Local Government Challenge</v>
      </c>
      <c r="E11" s="195" t="s">
        <v>403</v>
      </c>
      <c r="F11" s="40" t="str">
        <f>F10</f>
        <v>GWh</v>
      </c>
      <c r="G11" s="191">
        <f>'Program Analysis'!$C$25*Aggressive!C$55</f>
        <v>0</v>
      </c>
      <c r="H11" s="191">
        <f>'Program Analysis'!$C$25*Aggressive!D$55</f>
        <v>0</v>
      </c>
      <c r="I11" s="191">
        <f>'Program Analysis'!$C$25*Aggressive!E$55</f>
        <v>0</v>
      </c>
      <c r="J11" s="191">
        <f>'Program Analysis'!$C$25*Aggressive!F$55</f>
        <v>0</v>
      </c>
      <c r="K11" s="191">
        <f>'Program Analysis'!$C$25*Aggressive!G$55</f>
        <v>0</v>
      </c>
      <c r="L11" s="191">
        <f>'Program Analysis'!$C$25*Aggressive!H$55</f>
        <v>0</v>
      </c>
      <c r="M11" s="191">
        <f>'Program Analysis'!$C$25*Aggressive!I$55</f>
        <v>2.8842525010858679</v>
      </c>
      <c r="N11" s="191">
        <f>'Program Analysis'!$C$25*Aggressive!J$55</f>
        <v>5.7685050021717359</v>
      </c>
      <c r="O11" s="191">
        <f>'Program Analysis'!$C$25*Aggressive!K$55</f>
        <v>8.6527575032576056</v>
      </c>
      <c r="P11" s="191">
        <f>'Program Analysis'!$C$25*Aggressive!L$55</f>
        <v>13.874455587250354</v>
      </c>
      <c r="Q11" s="191">
        <f>'Program Analysis'!$C$25*Aggressive!M$55</f>
        <v>19.096153671243105</v>
      </c>
      <c r="R11" s="191">
        <f>'Program Analysis'!$C$25*Aggressive!N$55</f>
        <v>24.317851755235857</v>
      </c>
      <c r="S11" s="191">
        <f>'Program Analysis'!$C$25*Aggressive!O$55</f>
        <v>31.83316370796933</v>
      </c>
      <c r="T11" s="191">
        <f>'Program Analysis'!$C$25*Aggressive!P$55</f>
        <v>39.348475660702803</v>
      </c>
      <c r="U11" s="192">
        <f>'Program Analysis'!$C$25*Aggressive!Q$55</f>
        <v>46.748417513392845</v>
      </c>
      <c r="V11" s="3"/>
      <c r="W11" s="3"/>
    </row>
    <row r="12" spans="2:28" x14ac:dyDescent="0.3">
      <c r="B12" s="196"/>
      <c r="C12" s="191"/>
      <c r="D12" s="191"/>
      <c r="E12" s="191"/>
      <c r="F12" s="197"/>
      <c r="G12" s="191"/>
      <c r="H12" s="191"/>
      <c r="I12" s="191"/>
      <c r="J12" s="191"/>
      <c r="K12" s="191"/>
      <c r="L12" s="191"/>
      <c r="M12" s="191"/>
      <c r="N12" s="191"/>
      <c r="O12" s="191"/>
      <c r="P12" s="191"/>
      <c r="Q12" s="191"/>
      <c r="R12" s="191"/>
      <c r="S12" s="191"/>
      <c r="T12" s="191"/>
      <c r="U12" s="192"/>
      <c r="V12" s="3"/>
      <c r="W12" s="3"/>
    </row>
    <row r="13" spans="2:28" s="8" customFormat="1" ht="18" x14ac:dyDescent="0.35">
      <c r="B13" s="198" t="s">
        <v>62</v>
      </c>
      <c r="C13" s="199"/>
      <c r="D13" s="199"/>
      <c r="E13" s="199"/>
      <c r="F13" s="200"/>
      <c r="G13" s="281" t="s">
        <v>399</v>
      </c>
      <c r="H13" s="281"/>
      <c r="I13" s="281"/>
      <c r="J13" s="281"/>
      <c r="K13" s="281"/>
      <c r="L13" s="281"/>
      <c r="M13" s="281"/>
      <c r="N13" s="281"/>
      <c r="O13" s="281"/>
      <c r="P13" s="281"/>
      <c r="Q13" s="281"/>
      <c r="R13" s="281"/>
      <c r="S13" s="281"/>
      <c r="T13" s="281"/>
      <c r="U13" s="282"/>
      <c r="V13" s="188"/>
      <c r="W13" s="188"/>
      <c r="AA13" s="43"/>
      <c r="AB13" s="43"/>
    </row>
    <row r="14" spans="2:28" ht="14.4" customHeight="1" x14ac:dyDescent="0.3">
      <c r="B14" s="194" t="str">
        <f>'SB 350 Potential'!B$9</f>
        <v>CEC</v>
      </c>
      <c r="C14" s="195" t="str">
        <f>'SB 350 Potential'!C$9</f>
        <v>State Financing</v>
      </c>
      <c r="D14" s="195" t="str">
        <f>'SB 350 Potential'!D$9</f>
        <v>Local Government Challenge</v>
      </c>
      <c r="E14" s="7" t="s">
        <v>401</v>
      </c>
      <c r="F14" s="197" t="s">
        <v>4</v>
      </c>
      <c r="G14" s="191">
        <f>'Program Analysis'!$C$25*Conservative!C$79</f>
        <v>0</v>
      </c>
      <c r="H14" s="191">
        <f>'Program Analysis'!$C$25*Conservative!D$79</f>
        <v>0</v>
      </c>
      <c r="I14" s="191">
        <f>'Program Analysis'!$C$25*Conservative!E$79</f>
        <v>0</v>
      </c>
      <c r="J14" s="191">
        <f>'Program Analysis'!$C$25*Conservative!F$79</f>
        <v>0</v>
      </c>
      <c r="K14" s="191">
        <f>'Program Analysis'!$C$25*Conservative!G$79</f>
        <v>0</v>
      </c>
      <c r="L14" s="191">
        <f>'Program Analysis'!$C$25*Conservative!H$79</f>
        <v>0</v>
      </c>
      <c r="M14" s="191">
        <f>'Program Analysis'!$D$25*Conservative!I$79</f>
        <v>5.7303449849394693E-2</v>
      </c>
      <c r="N14" s="191">
        <f>'Program Analysis'!$D$25*Conservative!J$79</f>
        <v>0.11460689969878939</v>
      </c>
      <c r="O14" s="191">
        <f>'Program Analysis'!$D$25*Conservative!K$79</f>
        <v>0.17191034954818407</v>
      </c>
      <c r="P14" s="191">
        <f>'Program Analysis'!$D$25*Conservative!L$79</f>
        <v>0.22674975105405482</v>
      </c>
      <c r="Q14" s="191">
        <f>'Program Analysis'!$D$25*Conservative!M$79</f>
        <v>0.2815891525599255</v>
      </c>
      <c r="R14" s="191">
        <f>'Program Analysis'!$D$25*Conservative!N$79</f>
        <v>0.33642855406579625</v>
      </c>
      <c r="S14" s="191">
        <f>'Program Analysis'!$D$25*Conservative!O$79</f>
        <v>0.39003593139990494</v>
      </c>
      <c r="T14" s="191">
        <f>'Program Analysis'!$D$25*Conservative!P$79</f>
        <v>0.44364330873401364</v>
      </c>
      <c r="U14" s="192">
        <f>'Program Analysis'!$D$25*Conservative!Q$79</f>
        <v>0.49495854807414663</v>
      </c>
      <c r="V14" s="193"/>
      <c r="W14" s="3"/>
      <c r="AA14" s="6"/>
      <c r="AB14" s="6"/>
    </row>
    <row r="15" spans="2:28" x14ac:dyDescent="0.3">
      <c r="B15" s="194" t="str">
        <f>'SB 350 Potential'!B$9</f>
        <v>CEC</v>
      </c>
      <c r="C15" s="195" t="str">
        <f>'SB 350 Potential'!C$9</f>
        <v>State Financing</v>
      </c>
      <c r="D15" s="195" t="str">
        <f>'SB 350 Potential'!D$9</f>
        <v>Local Government Challenge</v>
      </c>
      <c r="E15" s="195" t="s">
        <v>402</v>
      </c>
      <c r="F15" s="197" t="str">
        <f t="shared" ref="F15:F16" si="1">F14</f>
        <v>MM Therms</v>
      </c>
      <c r="G15" s="191">
        <f>'Program Analysis'!$C$25*Reference!C$79</f>
        <v>0</v>
      </c>
      <c r="H15" s="191">
        <f>'Program Analysis'!$C$25*Reference!D$79</f>
        <v>0</v>
      </c>
      <c r="I15" s="191">
        <f>'Program Analysis'!$C$25*Reference!E$79</f>
        <v>0</v>
      </c>
      <c r="J15" s="191">
        <f>'Program Analysis'!$C$25*Reference!F$79</f>
        <v>0</v>
      </c>
      <c r="K15" s="191">
        <f>'Program Analysis'!$C$25*Reference!G$79</f>
        <v>0</v>
      </c>
      <c r="L15" s="191">
        <f>'Program Analysis'!$C$25*Reference!H$79</f>
        <v>0</v>
      </c>
      <c r="M15" s="191">
        <f>'Program Analysis'!$D$25*Reference!I$79</f>
        <v>7.7166877374622175E-2</v>
      </c>
      <c r="N15" s="191">
        <f>'Program Analysis'!$D$25*Reference!J$79</f>
        <v>0.15433375474924435</v>
      </c>
      <c r="O15" s="191">
        <f>'Program Analysis'!$D$25*Reference!K$79</f>
        <v>0.23150063212386651</v>
      </c>
      <c r="P15" s="191">
        <f>'Program Analysis'!$D$25*Reference!L$79</f>
        <v>0.30534933377137996</v>
      </c>
      <c r="Q15" s="191">
        <f>'Program Analysis'!$D$25*Reference!M$79</f>
        <v>0.37919803541889341</v>
      </c>
      <c r="R15" s="191">
        <f>'Program Analysis'!$D$25*Reference!N$79</f>
        <v>0.45304673706640686</v>
      </c>
      <c r="S15" s="191">
        <f>'Program Analysis'!$D$25*Reference!O$79</f>
        <v>0.52523635085036591</v>
      </c>
      <c r="T15" s="191">
        <f>'Program Analysis'!$D$25*Reference!P$79</f>
        <v>0.59742596463432496</v>
      </c>
      <c r="U15" s="192">
        <f>'Program Analysis'!$D$25*Reference!Q$79</f>
        <v>0.66652890332329906</v>
      </c>
      <c r="V15" s="3"/>
      <c r="W15" s="3"/>
    </row>
    <row r="16" spans="2:28" ht="15" thickBot="1" x14ac:dyDescent="0.35">
      <c r="B16" s="201" t="str">
        <f>'SB 350 Potential'!B$9</f>
        <v>CEC</v>
      </c>
      <c r="C16" s="202" t="str">
        <f>'SB 350 Potential'!C$9</f>
        <v>State Financing</v>
      </c>
      <c r="D16" s="202" t="str">
        <f>'SB 350 Potential'!D$9</f>
        <v>Local Government Challenge</v>
      </c>
      <c r="E16" s="202" t="s">
        <v>403</v>
      </c>
      <c r="F16" s="203" t="str">
        <f t="shared" si="1"/>
        <v>MM Therms</v>
      </c>
      <c r="G16" s="204">
        <f>'Program Analysis'!$C$25*Aggressive!C$79</f>
        <v>0</v>
      </c>
      <c r="H16" s="204">
        <f>'Program Analysis'!$C$25*Aggressive!D$79</f>
        <v>0</v>
      </c>
      <c r="I16" s="204">
        <f>'Program Analysis'!$C$25*Aggressive!E$79</f>
        <v>0</v>
      </c>
      <c r="J16" s="204">
        <f>'Program Analysis'!$C$25*Aggressive!F$79</f>
        <v>0</v>
      </c>
      <c r="K16" s="204">
        <f>'Program Analysis'!$C$25*Aggressive!G$79</f>
        <v>0</v>
      </c>
      <c r="L16" s="204">
        <f>'Program Analysis'!$C$25*Aggressive!H$79</f>
        <v>0</v>
      </c>
      <c r="M16" s="204">
        <f>'Program Analysis'!$D$25*Aggressive!I$79</f>
        <v>7.7166877374622175E-2</v>
      </c>
      <c r="N16" s="204">
        <f>'Program Analysis'!$D$25*Aggressive!J$79</f>
        <v>0.15433375474924435</v>
      </c>
      <c r="O16" s="204">
        <f>'Program Analysis'!$D$25*Aggressive!K$79</f>
        <v>0.23150063212386651</v>
      </c>
      <c r="P16" s="204">
        <f>'Program Analysis'!$D$25*Aggressive!L$79</f>
        <v>0.37558491874210098</v>
      </c>
      <c r="Q16" s="204">
        <f>'Program Analysis'!$D$25*Aggressive!M$79</f>
        <v>0.51966920536033556</v>
      </c>
      <c r="R16" s="204">
        <f>'Program Analysis'!$D$25*Aggressive!N$79</f>
        <v>0.66375349197857003</v>
      </c>
      <c r="S16" s="204">
        <f>'Program Analysis'!$D$25*Aggressive!O$79</f>
        <v>0.87339414555023009</v>
      </c>
      <c r="T16" s="204">
        <f>'Program Analysis'!$D$25*Aggressive!P$79</f>
        <v>1.08303479912189</v>
      </c>
      <c r="U16" s="205">
        <f>'Program Analysis'!$D$25*Aggressive!Q$79</f>
        <v>1.2895887775985653</v>
      </c>
      <c r="V16" s="3"/>
      <c r="W16" s="3"/>
    </row>
    <row r="17" spans="2:28" x14ac:dyDescent="0.3">
      <c r="B17" s="206"/>
      <c r="C17" s="206"/>
      <c r="D17" s="206"/>
      <c r="E17" s="206"/>
      <c r="F17" s="206"/>
      <c r="G17" s="206"/>
      <c r="H17" s="206"/>
      <c r="I17" s="206"/>
      <c r="J17" s="206"/>
      <c r="K17" s="206"/>
      <c r="L17" s="206"/>
      <c r="M17" s="206"/>
      <c r="N17" s="206"/>
      <c r="O17" s="206"/>
      <c r="P17" s="206"/>
      <c r="Q17" s="206"/>
      <c r="R17" s="206"/>
      <c r="S17" s="206"/>
      <c r="T17" s="206"/>
      <c r="U17" s="206"/>
      <c r="V17" s="3"/>
      <c r="W17" s="3"/>
    </row>
    <row r="18" spans="2:28" x14ac:dyDescent="0.3">
      <c r="B18" s="206"/>
      <c r="C18" s="206"/>
      <c r="D18" s="206"/>
      <c r="E18" s="206"/>
      <c r="F18" s="206"/>
      <c r="G18" s="206"/>
      <c r="H18" s="206"/>
      <c r="I18" s="206"/>
      <c r="J18" s="206"/>
      <c r="K18" s="206"/>
      <c r="L18" s="206"/>
      <c r="M18" s="206"/>
      <c r="N18" s="206"/>
      <c r="O18" s="206"/>
      <c r="P18" s="206"/>
      <c r="Q18" s="206"/>
      <c r="R18" s="206"/>
      <c r="S18" s="206"/>
      <c r="T18" s="206"/>
      <c r="U18" s="206"/>
      <c r="V18" s="3"/>
      <c r="W18" s="3"/>
    </row>
    <row r="19" spans="2:28" ht="15" thickBot="1" x14ac:dyDescent="0.35">
      <c r="B19" s="206"/>
      <c r="C19" s="206"/>
      <c r="D19" s="206"/>
      <c r="E19" s="206"/>
      <c r="F19" s="206"/>
      <c r="G19" s="206"/>
      <c r="H19" s="206"/>
      <c r="I19" s="206"/>
      <c r="J19" s="206"/>
      <c r="K19" s="206"/>
      <c r="L19" s="206"/>
      <c r="M19" s="206"/>
      <c r="N19" s="206"/>
      <c r="O19" s="206"/>
      <c r="P19" s="206"/>
      <c r="Q19" s="206"/>
      <c r="R19" s="206"/>
      <c r="S19" s="206"/>
      <c r="T19" s="206"/>
      <c r="U19" s="206"/>
      <c r="V19" s="3"/>
      <c r="W19" s="3"/>
    </row>
    <row r="20" spans="2:28" ht="24" thickBot="1" x14ac:dyDescent="0.5">
      <c r="B20" s="286" t="s">
        <v>447</v>
      </c>
      <c r="C20" s="287"/>
      <c r="D20" s="287"/>
      <c r="E20" s="287"/>
      <c r="F20" s="287"/>
      <c r="G20" s="287"/>
      <c r="H20" s="287"/>
      <c r="I20" s="287"/>
      <c r="J20" s="287"/>
      <c r="K20" s="287"/>
      <c r="L20" s="287"/>
      <c r="M20" s="287"/>
      <c r="N20" s="287"/>
      <c r="O20" s="287"/>
      <c r="P20" s="287"/>
      <c r="Q20" s="287"/>
      <c r="R20" s="287"/>
      <c r="S20" s="287"/>
      <c r="T20" s="287"/>
      <c r="U20" s="288"/>
      <c r="V20" s="3"/>
      <c r="W20" s="3"/>
    </row>
    <row r="21" spans="2:28" s="8" customFormat="1" ht="18.600000000000001" thickBot="1" x14ac:dyDescent="0.4">
      <c r="B21" s="207" t="s">
        <v>1</v>
      </c>
      <c r="C21" s="208" t="s">
        <v>17</v>
      </c>
      <c r="D21" s="208" t="s">
        <v>3</v>
      </c>
      <c r="E21" s="208" t="s">
        <v>400</v>
      </c>
      <c r="F21" s="209" t="s">
        <v>60</v>
      </c>
      <c r="G21" s="210">
        <v>2015</v>
      </c>
      <c r="H21" s="210">
        <v>2016</v>
      </c>
      <c r="I21" s="210">
        <v>2017</v>
      </c>
      <c r="J21" s="210">
        <v>2018</v>
      </c>
      <c r="K21" s="210">
        <v>2019</v>
      </c>
      <c r="L21" s="210">
        <v>2020</v>
      </c>
      <c r="M21" s="210">
        <v>2021</v>
      </c>
      <c r="N21" s="210">
        <v>2022</v>
      </c>
      <c r="O21" s="210">
        <v>2023</v>
      </c>
      <c r="P21" s="210">
        <v>2024</v>
      </c>
      <c r="Q21" s="210">
        <v>2025</v>
      </c>
      <c r="R21" s="210">
        <v>2026</v>
      </c>
      <c r="S21" s="210">
        <v>2027</v>
      </c>
      <c r="T21" s="210">
        <v>2028</v>
      </c>
      <c r="U21" s="211">
        <v>2029</v>
      </c>
      <c r="V21" s="188"/>
      <c r="W21" s="188"/>
      <c r="Y21"/>
      <c r="AA21" s="43"/>
      <c r="AB21" s="43"/>
    </row>
    <row r="22" spans="2:28" s="8" customFormat="1" ht="18" x14ac:dyDescent="0.35">
      <c r="B22" s="212" t="s">
        <v>61</v>
      </c>
      <c r="C22" s="213"/>
      <c r="D22" s="213"/>
      <c r="E22" s="213"/>
      <c r="F22" s="213"/>
      <c r="G22" s="279" t="s">
        <v>398</v>
      </c>
      <c r="H22" s="279"/>
      <c r="I22" s="279"/>
      <c r="J22" s="279"/>
      <c r="K22" s="279"/>
      <c r="L22" s="279"/>
      <c r="M22" s="279"/>
      <c r="N22" s="279"/>
      <c r="O22" s="279"/>
      <c r="P22" s="279"/>
      <c r="Q22" s="279"/>
      <c r="R22" s="279"/>
      <c r="S22" s="279"/>
      <c r="T22" s="279"/>
      <c r="U22" s="280"/>
      <c r="V22" s="188"/>
      <c r="W22" s="188"/>
      <c r="AA22" s="43"/>
      <c r="AB22" s="43"/>
    </row>
    <row r="23" spans="2:28" ht="14.4" customHeight="1" x14ac:dyDescent="0.3">
      <c r="B23" s="53" t="str">
        <f>VLOOKUP($C$1, 'Look-up'!$A$4:$D$20, 4, FALSE)</f>
        <v>CEC</v>
      </c>
      <c r="C23" s="7" t="str">
        <f>VLOOKUP($C$1, 'Look-up'!$A$4:$D$20, 2, FALSE)</f>
        <v>State Financing</v>
      </c>
      <c r="D23" s="7" t="str">
        <f>VLOOKUP($C$1, 'Look-up'!$A$4:$D$20, 1, FALSE)</f>
        <v>Local Government Challenge</v>
      </c>
      <c r="E23" s="7" t="s">
        <v>401</v>
      </c>
      <c r="F23" s="40" t="s">
        <v>0</v>
      </c>
      <c r="G23" s="191">
        <f>'Program Analysis'!$C$24*Conservative!C$55</f>
        <v>0</v>
      </c>
      <c r="H23" s="191">
        <f>'Program Analysis'!$C$24*Conservative!D$55</f>
        <v>0</v>
      </c>
      <c r="I23" s="191">
        <f>'Program Analysis'!$C$24*Conservative!E$55</f>
        <v>0</v>
      </c>
      <c r="J23" s="191">
        <f>'Program Analysis'!$C$24*Conservative!F$55</f>
        <v>0</v>
      </c>
      <c r="K23" s="191">
        <f>'Program Analysis'!$C$24*Conservative!G$55</f>
        <v>0</v>
      </c>
      <c r="L23" s="191">
        <f>'Program Analysis'!$C$24*Conservative!H$55</f>
        <v>0</v>
      </c>
      <c r="M23" s="191">
        <f>'Program Analysis'!$C$24*Conservative!I$55</f>
        <v>0.84282226193586141</v>
      </c>
      <c r="N23" s="191">
        <f>'Program Analysis'!$C$24*Conservative!J$55</f>
        <v>1.6856445238717228</v>
      </c>
      <c r="O23" s="191">
        <f>'Program Analysis'!$C$24*Conservative!K$55</f>
        <v>2.5284667858075842</v>
      </c>
      <c r="P23" s="191">
        <f>'Program Analysis'!$C$24*Conservative!L$55</f>
        <v>3.3350476904802036</v>
      </c>
      <c r="Q23" s="191">
        <f>'Program Analysis'!$C$24*Conservative!M$55</f>
        <v>4.1416285951528229</v>
      </c>
      <c r="R23" s="191">
        <f>'Program Analysis'!$C$24*Conservative!N$55</f>
        <v>4.9482094998254427</v>
      </c>
      <c r="S23" s="191">
        <f>'Program Analysis'!$C$24*Conservative!O$55</f>
        <v>5.7366697258664416</v>
      </c>
      <c r="T23" s="191">
        <f>'Program Analysis'!$C$24*Conservative!P$55</f>
        <v>6.5251299519074397</v>
      </c>
      <c r="U23" s="192">
        <f>'Program Analysis'!$C$24*Conservative!Q$55</f>
        <v>7.2798772874710043</v>
      </c>
      <c r="V23" s="193"/>
      <c r="W23" s="3"/>
      <c r="AA23" s="6"/>
      <c r="AB23" s="6"/>
    </row>
    <row r="24" spans="2:28" x14ac:dyDescent="0.3">
      <c r="B24" s="194" t="str">
        <f>'SB 350 Potential'!B$9</f>
        <v>CEC</v>
      </c>
      <c r="C24" s="195" t="str">
        <f>'SB 350 Potential'!C$9</f>
        <v>State Financing</v>
      </c>
      <c r="D24" s="195" t="str">
        <f>'SB 350 Potential'!D$9</f>
        <v>Local Government Challenge</v>
      </c>
      <c r="E24" s="195" t="s">
        <v>402</v>
      </c>
      <c r="F24" s="40" t="str">
        <f t="shared" ref="F24:F25" si="2">F23</f>
        <v>GWh</v>
      </c>
      <c r="G24" s="191">
        <f>'Program Analysis'!$C$24*Reference!C$55</f>
        <v>0</v>
      </c>
      <c r="H24" s="191">
        <f>'Program Analysis'!$C$24*Reference!D$55</f>
        <v>0</v>
      </c>
      <c r="I24" s="191">
        <f>'Program Analysis'!$C$24*Reference!E$55</f>
        <v>0</v>
      </c>
      <c r="J24" s="191">
        <f>'Program Analysis'!$C$24*Reference!F$55</f>
        <v>0</v>
      </c>
      <c r="K24" s="191">
        <f>'Program Analysis'!$C$24*Reference!G$55</f>
        <v>0</v>
      </c>
      <c r="L24" s="191">
        <f>'Program Analysis'!$C$24*Reference!H$55</f>
        <v>0</v>
      </c>
      <c r="M24" s="191">
        <f>'Program Analysis'!$C$24*Reference!I$55</f>
        <v>1.5530590390462364</v>
      </c>
      <c r="N24" s="191">
        <f>'Program Analysis'!$C$24*Reference!J$55</f>
        <v>3.1061180780924729</v>
      </c>
      <c r="O24" s="191">
        <f>'Program Analysis'!$C$24*Reference!K$55</f>
        <v>4.65917711713871</v>
      </c>
      <c r="P24" s="191">
        <f>'Program Analysis'!$C$24*Reference!L$55</f>
        <v>6.1454546175059566</v>
      </c>
      <c r="Q24" s="191">
        <f>'Program Analysis'!$C$24*Reference!M$55</f>
        <v>7.6317321178732049</v>
      </c>
      <c r="R24" s="191">
        <f>'Program Analysis'!$C$24*Reference!N$55</f>
        <v>9.1180096182404533</v>
      </c>
      <c r="S24" s="191">
        <f>'Program Analysis'!$C$24*Reference!O$55</f>
        <v>10.570896349268208</v>
      </c>
      <c r="T24" s="191">
        <f>'Program Analysis'!$C$24*Reference!P$55</f>
        <v>12.023783080295962</v>
      </c>
      <c r="U24" s="192">
        <f>'Program Analysis'!$C$24*Reference!Q$55</f>
        <v>13.414547449761868</v>
      </c>
      <c r="V24" s="3"/>
      <c r="W24" s="3"/>
    </row>
    <row r="25" spans="2:28" x14ac:dyDescent="0.3">
      <c r="B25" s="194" t="str">
        <f>'SB 350 Potential'!B$9</f>
        <v>CEC</v>
      </c>
      <c r="C25" s="195" t="str">
        <f>'SB 350 Potential'!C$9</f>
        <v>State Financing</v>
      </c>
      <c r="D25" s="195" t="str">
        <f>'SB 350 Potential'!D$9</f>
        <v>Local Government Challenge</v>
      </c>
      <c r="E25" s="195" t="s">
        <v>403</v>
      </c>
      <c r="F25" s="40" t="str">
        <f t="shared" si="2"/>
        <v>GWh</v>
      </c>
      <c r="G25" s="191">
        <f>'Program Analysis'!$C$24*Aggressive!C$55</f>
        <v>0</v>
      </c>
      <c r="H25" s="191">
        <f>'Program Analysis'!$C$24*Aggressive!D$55</f>
        <v>0</v>
      </c>
      <c r="I25" s="191">
        <f>'Program Analysis'!$C$24*Aggressive!E$55</f>
        <v>0</v>
      </c>
      <c r="J25" s="191">
        <f>'Program Analysis'!$C$24*Aggressive!F$55</f>
        <v>0</v>
      </c>
      <c r="K25" s="191">
        <f>'Program Analysis'!$C$24*Aggressive!G$55</f>
        <v>0</v>
      </c>
      <c r="L25" s="191">
        <f>'Program Analysis'!$C$24*Aggressive!H$55</f>
        <v>0</v>
      </c>
      <c r="M25" s="191">
        <f>'Program Analysis'!$C$24*Aggressive!I$55</f>
        <v>1.5530590390462364</v>
      </c>
      <c r="N25" s="191">
        <f>'Program Analysis'!$C$24*Aggressive!J$55</f>
        <v>3.1061180780924729</v>
      </c>
      <c r="O25" s="191">
        <f>'Program Analysis'!$C$24*Aggressive!K$55</f>
        <v>4.65917711713871</v>
      </c>
      <c r="P25" s="191">
        <f>'Program Analysis'!$C$24*Aggressive!L$55</f>
        <v>7.4708607008271128</v>
      </c>
      <c r="Q25" s="191">
        <f>'Program Analysis'!$C$24*Aggressive!M$55</f>
        <v>10.282544284515517</v>
      </c>
      <c r="R25" s="191">
        <f>'Program Analysis'!$C$24*Aggressive!N$55</f>
        <v>13.094227868203923</v>
      </c>
      <c r="S25" s="191">
        <f>'Program Analysis'!$C$24*Aggressive!O$55</f>
        <v>17.140934304291175</v>
      </c>
      <c r="T25" s="191">
        <f>'Program Analysis'!$C$24*Aggressive!P$55</f>
        <v>21.187640740378431</v>
      </c>
      <c r="U25" s="192">
        <f>'Program Analysis'!$C$24*Aggressive!Q$55</f>
        <v>25.172224814903835</v>
      </c>
      <c r="V25" s="3"/>
      <c r="W25" s="3"/>
    </row>
    <row r="26" spans="2:28" x14ac:dyDescent="0.3">
      <c r="B26" s="194"/>
      <c r="C26" s="195"/>
      <c r="D26" s="195"/>
      <c r="E26" s="195"/>
      <c r="F26" s="214"/>
      <c r="G26" s="191"/>
      <c r="H26" s="191"/>
      <c r="I26" s="191"/>
      <c r="J26" s="191"/>
      <c r="K26" s="191"/>
      <c r="L26" s="191"/>
      <c r="M26" s="191"/>
      <c r="N26" s="191"/>
      <c r="O26" s="191"/>
      <c r="P26" s="191"/>
      <c r="Q26" s="191"/>
      <c r="R26" s="191"/>
      <c r="S26" s="191"/>
      <c r="T26" s="191"/>
      <c r="U26" s="192"/>
      <c r="V26" s="3"/>
      <c r="W26" s="3"/>
    </row>
    <row r="27" spans="2:28" s="8" customFormat="1" ht="18" x14ac:dyDescent="0.35">
      <c r="B27" s="215" t="s">
        <v>62</v>
      </c>
      <c r="C27" s="52"/>
      <c r="D27" s="52"/>
      <c r="E27" s="52"/>
      <c r="F27" s="216"/>
      <c r="G27" s="281" t="s">
        <v>399</v>
      </c>
      <c r="H27" s="281"/>
      <c r="I27" s="281"/>
      <c r="J27" s="281"/>
      <c r="K27" s="281"/>
      <c r="L27" s="281"/>
      <c r="M27" s="281"/>
      <c r="N27" s="281"/>
      <c r="O27" s="281"/>
      <c r="P27" s="281"/>
      <c r="Q27" s="281"/>
      <c r="R27" s="281"/>
      <c r="S27" s="281"/>
      <c r="T27" s="281"/>
      <c r="U27" s="282"/>
      <c r="V27" s="188"/>
      <c r="W27" s="188"/>
      <c r="AA27" s="43"/>
      <c r="AB27" s="43"/>
    </row>
    <row r="28" spans="2:28" ht="14.4" customHeight="1" x14ac:dyDescent="0.3">
      <c r="B28" s="194" t="str">
        <f>'SB 350 Potential'!B$9</f>
        <v>CEC</v>
      </c>
      <c r="C28" s="195" t="str">
        <f>'SB 350 Potential'!C$9</f>
        <v>State Financing</v>
      </c>
      <c r="D28" s="195" t="str">
        <f>'SB 350 Potential'!D$9</f>
        <v>Local Government Challenge</v>
      </c>
      <c r="E28" s="7" t="str">
        <f t="shared" ref="E28:E30" si="3">E23</f>
        <v>Conservative</v>
      </c>
      <c r="F28" s="40" t="s">
        <v>4</v>
      </c>
      <c r="G28" s="191">
        <f>'Program Analysis'!$C$24*Conservative!C$79</f>
        <v>0</v>
      </c>
      <c r="H28" s="191">
        <f>'Program Analysis'!$C$24*Conservative!D$79</f>
        <v>0</v>
      </c>
      <c r="I28" s="191">
        <f>'Program Analysis'!$C$24*Conservative!E$79</f>
        <v>0</v>
      </c>
      <c r="J28" s="191">
        <f>'Program Analysis'!$C$24*Conservative!F$79</f>
        <v>0</v>
      </c>
      <c r="K28" s="191">
        <f>'Program Analysis'!$C$24*Conservative!G$79</f>
        <v>0</v>
      </c>
      <c r="L28" s="191">
        <f>'Program Analysis'!$C$24*Conservative!H$79</f>
        <v>0</v>
      </c>
      <c r="M28" s="191">
        <f>'Program Analysis'!$D$24*Conservative!I$79</f>
        <v>5.7303449849394693E-2</v>
      </c>
      <c r="N28" s="191">
        <f>'Program Analysis'!$D$24*Conservative!J$79</f>
        <v>0.11460689969878939</v>
      </c>
      <c r="O28" s="191">
        <f>'Program Analysis'!$D$24*Conservative!K$79</f>
        <v>0.17191034954818407</v>
      </c>
      <c r="P28" s="191">
        <f>'Program Analysis'!$D$24*Conservative!L$79</f>
        <v>0.22674975105405482</v>
      </c>
      <c r="Q28" s="191">
        <f>'Program Analysis'!$D$24*Conservative!M$79</f>
        <v>0.2815891525599255</v>
      </c>
      <c r="R28" s="191">
        <f>'Program Analysis'!$D$24*Conservative!N$79</f>
        <v>0.33642855406579625</v>
      </c>
      <c r="S28" s="191">
        <f>'Program Analysis'!$D$24*Conservative!O$79</f>
        <v>0.39003593139990494</v>
      </c>
      <c r="T28" s="191">
        <f>'Program Analysis'!$D$24*Conservative!P$79</f>
        <v>0.44364330873401364</v>
      </c>
      <c r="U28" s="192">
        <f>'Program Analysis'!$D$24*Conservative!Q$79</f>
        <v>0.49495854807414663</v>
      </c>
      <c r="V28" s="193"/>
      <c r="W28" s="3"/>
      <c r="AA28" s="6"/>
      <c r="AB28" s="6"/>
    </row>
    <row r="29" spans="2:28" x14ac:dyDescent="0.3">
      <c r="B29" s="194" t="str">
        <f>'SB 350 Potential'!B$9</f>
        <v>CEC</v>
      </c>
      <c r="C29" s="195" t="str">
        <f>'SB 350 Potential'!C$9</f>
        <v>State Financing</v>
      </c>
      <c r="D29" s="195" t="str">
        <f>'SB 350 Potential'!D$9</f>
        <v>Local Government Challenge</v>
      </c>
      <c r="E29" s="195" t="str">
        <f t="shared" si="3"/>
        <v>Reference</v>
      </c>
      <c r="F29" s="214" t="str">
        <f t="shared" ref="F29:F30" si="4">F28</f>
        <v>MM Therms</v>
      </c>
      <c r="G29" s="191">
        <f>'Program Analysis'!$C$24*Reference!C$79</f>
        <v>0</v>
      </c>
      <c r="H29" s="191">
        <f>'Program Analysis'!$C$24*Reference!D$79</f>
        <v>0</v>
      </c>
      <c r="I29" s="191">
        <f>'Program Analysis'!$C$24*Reference!E$79</f>
        <v>0</v>
      </c>
      <c r="J29" s="191">
        <f>'Program Analysis'!$C$24*Reference!F$79</f>
        <v>0</v>
      </c>
      <c r="K29" s="191">
        <f>'Program Analysis'!$C$24*Reference!G$79</f>
        <v>0</v>
      </c>
      <c r="L29" s="191">
        <f>'Program Analysis'!$C$24*Reference!H$79</f>
        <v>0</v>
      </c>
      <c r="M29" s="191">
        <f>'Program Analysis'!$D$24*Reference!I$79</f>
        <v>7.7166877374622175E-2</v>
      </c>
      <c r="N29" s="191">
        <f>'Program Analysis'!$D$24*Reference!J$79</f>
        <v>0.15433375474924435</v>
      </c>
      <c r="O29" s="191">
        <f>'Program Analysis'!$D$24*Reference!K$79</f>
        <v>0.23150063212386651</v>
      </c>
      <c r="P29" s="191">
        <f>'Program Analysis'!$D$24*Reference!L$79</f>
        <v>0.30534933377137996</v>
      </c>
      <c r="Q29" s="191">
        <f>'Program Analysis'!$D$24*Reference!M$79</f>
        <v>0.37919803541889341</v>
      </c>
      <c r="R29" s="191">
        <f>'Program Analysis'!$D$24*Reference!N$79</f>
        <v>0.45304673706640686</v>
      </c>
      <c r="S29" s="191">
        <f>'Program Analysis'!$D$24*Reference!O$79</f>
        <v>0.52523635085036591</v>
      </c>
      <c r="T29" s="191">
        <f>'Program Analysis'!$D$24*Reference!P$79</f>
        <v>0.59742596463432496</v>
      </c>
      <c r="U29" s="192">
        <f>'Program Analysis'!$D$24*Reference!Q$79</f>
        <v>0.66652890332329906</v>
      </c>
      <c r="V29" s="3"/>
      <c r="W29" s="3"/>
    </row>
    <row r="30" spans="2:28" ht="15" thickBot="1" x14ac:dyDescent="0.35">
      <c r="B30" s="201" t="str">
        <f>'SB 350 Potential'!B$9</f>
        <v>CEC</v>
      </c>
      <c r="C30" s="202" t="str">
        <f>'SB 350 Potential'!C$9</f>
        <v>State Financing</v>
      </c>
      <c r="D30" s="202" t="str">
        <f>'SB 350 Potential'!D$9</f>
        <v>Local Government Challenge</v>
      </c>
      <c r="E30" s="202" t="str">
        <f t="shared" si="3"/>
        <v>Aggressive</v>
      </c>
      <c r="F30" s="217" t="str">
        <f t="shared" si="4"/>
        <v>MM Therms</v>
      </c>
      <c r="G30" s="204">
        <f>'Program Analysis'!$C$24*Aggressive!C$79</f>
        <v>0</v>
      </c>
      <c r="H30" s="204">
        <f>'Program Analysis'!$C$24*Aggressive!D$79</f>
        <v>0</v>
      </c>
      <c r="I30" s="204">
        <f>'Program Analysis'!$C$24*Aggressive!E$79</f>
        <v>0</v>
      </c>
      <c r="J30" s="204">
        <f>'Program Analysis'!$C$24*Aggressive!F$79</f>
        <v>0</v>
      </c>
      <c r="K30" s="204">
        <f>'Program Analysis'!$C$24*Aggressive!G$79</f>
        <v>0</v>
      </c>
      <c r="L30" s="204">
        <f>'Program Analysis'!$C$24*Aggressive!H$79</f>
        <v>0</v>
      </c>
      <c r="M30" s="204">
        <f>'Program Analysis'!$D$24*Aggressive!I$79</f>
        <v>7.7166877374622175E-2</v>
      </c>
      <c r="N30" s="204">
        <f>'Program Analysis'!$D$24*Aggressive!J$79</f>
        <v>0.15433375474924435</v>
      </c>
      <c r="O30" s="204">
        <f>'Program Analysis'!$D$24*Aggressive!K$79</f>
        <v>0.23150063212386651</v>
      </c>
      <c r="P30" s="204">
        <f>'Program Analysis'!$D$24*Aggressive!L$79</f>
        <v>0.37558491874210098</v>
      </c>
      <c r="Q30" s="204">
        <f>'Program Analysis'!$D$24*Aggressive!M$79</f>
        <v>0.51966920536033556</v>
      </c>
      <c r="R30" s="204">
        <f>'Program Analysis'!$D$24*Aggressive!N$79</f>
        <v>0.66375349197857003</v>
      </c>
      <c r="S30" s="204">
        <f>'Program Analysis'!$D$24*Aggressive!O$79</f>
        <v>0.87339414555023009</v>
      </c>
      <c r="T30" s="204">
        <f>'Program Analysis'!$D$24*Aggressive!P$79</f>
        <v>1.08303479912189</v>
      </c>
      <c r="U30" s="205">
        <f>'Program Analysis'!$D$24*Aggressive!Q$79</f>
        <v>1.2895887775985653</v>
      </c>
      <c r="V30" s="3"/>
      <c r="W30" s="3"/>
    </row>
    <row r="31" spans="2:28" x14ac:dyDescent="0.3">
      <c r="B31" s="206"/>
      <c r="C31" s="206"/>
      <c r="D31" s="206"/>
      <c r="E31" s="206"/>
      <c r="F31" s="206"/>
      <c r="G31" s="206"/>
      <c r="H31" s="206"/>
      <c r="I31" s="206"/>
      <c r="J31" s="206"/>
      <c r="K31" s="206"/>
      <c r="L31" s="206"/>
      <c r="M31" s="206"/>
      <c r="N31" s="206"/>
      <c r="O31" s="206"/>
      <c r="P31" s="206"/>
      <c r="Q31" s="206"/>
      <c r="R31" s="206"/>
      <c r="S31" s="206"/>
      <c r="T31" s="206"/>
      <c r="U31" s="206"/>
      <c r="V31" s="3"/>
      <c r="W31" s="3"/>
    </row>
    <row r="32" spans="2:28" x14ac:dyDescent="0.3">
      <c r="B32" s="206"/>
      <c r="C32" s="206"/>
      <c r="D32" s="206"/>
      <c r="E32" s="206"/>
      <c r="F32" s="206"/>
      <c r="G32" s="206"/>
      <c r="H32" s="206"/>
      <c r="I32" s="206"/>
      <c r="J32" s="206"/>
      <c r="K32" s="206"/>
      <c r="L32" s="206"/>
      <c r="M32" s="206"/>
      <c r="N32" s="206"/>
      <c r="O32" s="206"/>
      <c r="P32" s="206"/>
      <c r="Q32" s="206"/>
      <c r="R32" s="206"/>
      <c r="S32" s="206"/>
      <c r="T32" s="206"/>
      <c r="U32" s="206"/>
      <c r="V32" s="3"/>
      <c r="W32" s="3"/>
    </row>
    <row r="33" spans="2:28" ht="15" thickBot="1" x14ac:dyDescent="0.35">
      <c r="B33" s="206"/>
      <c r="C33" s="206"/>
      <c r="D33" s="206"/>
      <c r="E33" s="206"/>
      <c r="F33" s="206"/>
      <c r="G33" s="206"/>
      <c r="H33" s="206"/>
      <c r="I33" s="206"/>
      <c r="J33" s="206"/>
      <c r="K33" s="206"/>
      <c r="L33" s="206"/>
      <c r="M33" s="206"/>
      <c r="N33" s="206"/>
      <c r="O33" s="206"/>
      <c r="P33" s="206"/>
      <c r="Q33" s="206"/>
      <c r="R33" s="206"/>
      <c r="S33" s="206"/>
      <c r="T33" s="206"/>
      <c r="U33" s="206"/>
      <c r="V33" s="3"/>
      <c r="W33" s="3"/>
    </row>
    <row r="34" spans="2:28" ht="24" thickBot="1" x14ac:dyDescent="0.5">
      <c r="B34" s="276" t="s">
        <v>448</v>
      </c>
      <c r="C34" s="277"/>
      <c r="D34" s="277"/>
      <c r="E34" s="277"/>
      <c r="F34" s="277"/>
      <c r="G34" s="277"/>
      <c r="H34" s="277"/>
      <c r="I34" s="277"/>
      <c r="J34" s="277"/>
      <c r="K34" s="277"/>
      <c r="L34" s="277"/>
      <c r="M34" s="277"/>
      <c r="N34" s="277"/>
      <c r="O34" s="277"/>
      <c r="P34" s="277"/>
      <c r="Q34" s="277"/>
      <c r="R34" s="277"/>
      <c r="S34" s="277"/>
      <c r="T34" s="277"/>
      <c r="U34" s="278"/>
      <c r="V34" s="3"/>
      <c r="W34" s="3"/>
    </row>
    <row r="35" spans="2:28" s="8" customFormat="1" ht="18.600000000000001" thickBot="1" x14ac:dyDescent="0.4">
      <c r="B35" s="218" t="s">
        <v>1</v>
      </c>
      <c r="C35" s="219" t="s">
        <v>17</v>
      </c>
      <c r="D35" s="219" t="s">
        <v>3</v>
      </c>
      <c r="E35" s="219" t="s">
        <v>400</v>
      </c>
      <c r="F35" s="220" t="s">
        <v>60</v>
      </c>
      <c r="G35" s="221">
        <v>2015</v>
      </c>
      <c r="H35" s="221">
        <v>2016</v>
      </c>
      <c r="I35" s="221">
        <v>2017</v>
      </c>
      <c r="J35" s="221">
        <v>2018</v>
      </c>
      <c r="K35" s="221">
        <v>2019</v>
      </c>
      <c r="L35" s="221">
        <v>2020</v>
      </c>
      <c r="M35" s="221">
        <v>2021</v>
      </c>
      <c r="N35" s="221">
        <v>2022</v>
      </c>
      <c r="O35" s="221">
        <v>2023</v>
      </c>
      <c r="P35" s="221">
        <v>2024</v>
      </c>
      <c r="Q35" s="221">
        <v>2025</v>
      </c>
      <c r="R35" s="221">
        <v>2026</v>
      </c>
      <c r="S35" s="221">
        <v>2027</v>
      </c>
      <c r="T35" s="221">
        <v>2028</v>
      </c>
      <c r="U35" s="222">
        <v>2029</v>
      </c>
      <c r="V35" s="188"/>
      <c r="W35" s="188"/>
      <c r="Y35"/>
      <c r="AA35" s="43"/>
      <c r="AB35" s="43"/>
    </row>
    <row r="36" spans="2:28" s="8" customFormat="1" ht="18" x14ac:dyDescent="0.35">
      <c r="B36" s="212" t="s">
        <v>61</v>
      </c>
      <c r="C36" s="213"/>
      <c r="D36" s="213"/>
      <c r="E36" s="213"/>
      <c r="F36" s="213"/>
      <c r="G36" s="279" t="s">
        <v>398</v>
      </c>
      <c r="H36" s="279"/>
      <c r="I36" s="279"/>
      <c r="J36" s="279"/>
      <c r="K36" s="279"/>
      <c r="L36" s="279"/>
      <c r="M36" s="279"/>
      <c r="N36" s="279"/>
      <c r="O36" s="279"/>
      <c r="P36" s="279"/>
      <c r="Q36" s="279"/>
      <c r="R36" s="279"/>
      <c r="S36" s="279"/>
      <c r="T36" s="279"/>
      <c r="U36" s="280"/>
      <c r="V36" s="188"/>
      <c r="W36" s="188"/>
      <c r="AA36" s="43"/>
      <c r="AB36" s="43"/>
    </row>
    <row r="37" spans="2:28" ht="14.4" customHeight="1" x14ac:dyDescent="0.3">
      <c r="B37" s="53" t="str">
        <f>VLOOKUP($C$1, 'Look-up'!$A$4:$D$20, 4, FALSE)</f>
        <v>CEC</v>
      </c>
      <c r="C37" s="7" t="str">
        <f>VLOOKUP($C$1, 'Look-up'!$A$4:$D$20, 2, FALSE)</f>
        <v>State Financing</v>
      </c>
      <c r="D37" s="7" t="str">
        <f>VLOOKUP($C$1, 'Look-up'!$A$4:$D$20, 1, FALSE)</f>
        <v>Local Government Challenge</v>
      </c>
      <c r="E37" s="7" t="s">
        <v>401</v>
      </c>
      <c r="F37" s="40" t="s">
        <v>0</v>
      </c>
      <c r="G37" s="191">
        <f>SUM(G9,G23)</f>
        <v>0</v>
      </c>
      <c r="H37" s="191">
        <f t="shared" ref="H37:U38" si="5">SUM(H9,H23)</f>
        <v>0</v>
      </c>
      <c r="I37" s="191">
        <f t="shared" si="5"/>
        <v>0</v>
      </c>
      <c r="J37" s="191">
        <f t="shared" si="5"/>
        <v>0</v>
      </c>
      <c r="K37" s="191">
        <f t="shared" si="5"/>
        <v>0</v>
      </c>
      <c r="L37" s="191">
        <f t="shared" si="5"/>
        <v>0</v>
      </c>
      <c r="M37" s="191">
        <f t="shared" si="5"/>
        <v>2.4080636055310327</v>
      </c>
      <c r="N37" s="191">
        <f t="shared" si="5"/>
        <v>4.8161272110620654</v>
      </c>
      <c r="O37" s="191">
        <f t="shared" si="5"/>
        <v>7.2241908165930981</v>
      </c>
      <c r="P37" s="191">
        <f t="shared" si="5"/>
        <v>9.5287076870862961</v>
      </c>
      <c r="Q37" s="191">
        <f t="shared" si="5"/>
        <v>11.833224557579495</v>
      </c>
      <c r="R37" s="191">
        <f t="shared" si="5"/>
        <v>14.137741428072694</v>
      </c>
      <c r="S37" s="191">
        <f t="shared" si="5"/>
        <v>16.390484931046977</v>
      </c>
      <c r="T37" s="191">
        <f t="shared" si="5"/>
        <v>18.643228434021257</v>
      </c>
      <c r="U37" s="192">
        <f t="shared" si="5"/>
        <v>20.799649392774299</v>
      </c>
      <c r="V37" s="193"/>
      <c r="W37" s="3"/>
      <c r="AA37" s="6"/>
      <c r="AB37" s="6"/>
    </row>
    <row r="38" spans="2:28" x14ac:dyDescent="0.3">
      <c r="B38" s="194" t="str">
        <f>'SB 350 Potential'!B$9</f>
        <v>CEC</v>
      </c>
      <c r="C38" s="195" t="str">
        <f>'SB 350 Potential'!C$9</f>
        <v>State Financing</v>
      </c>
      <c r="D38" s="195" t="str">
        <f>'SB 350 Potential'!D$9</f>
        <v>Local Government Challenge</v>
      </c>
      <c r="E38" s="195" t="s">
        <v>402</v>
      </c>
      <c r="F38" s="40" t="str">
        <f t="shared" ref="F38:F39" si="6">F37</f>
        <v>GWh</v>
      </c>
      <c r="G38" s="191">
        <f>SUM(G10,G24)</f>
        <v>0</v>
      </c>
      <c r="H38" s="191">
        <f t="shared" si="5"/>
        <v>0</v>
      </c>
      <c r="I38" s="191">
        <f t="shared" si="5"/>
        <v>0</v>
      </c>
      <c r="J38" s="191">
        <f t="shared" si="5"/>
        <v>0</v>
      </c>
      <c r="K38" s="191">
        <f t="shared" si="5"/>
        <v>0</v>
      </c>
      <c r="L38" s="191">
        <f t="shared" si="5"/>
        <v>0</v>
      </c>
      <c r="M38" s="191">
        <f t="shared" si="5"/>
        <v>4.4373115401321046</v>
      </c>
      <c r="N38" s="191">
        <f t="shared" si="5"/>
        <v>8.8746230802642092</v>
      </c>
      <c r="O38" s="191">
        <f t="shared" si="5"/>
        <v>13.311934620396315</v>
      </c>
      <c r="P38" s="191">
        <f t="shared" si="5"/>
        <v>17.558441764302735</v>
      </c>
      <c r="Q38" s="191">
        <f t="shared" si="5"/>
        <v>21.804948908209159</v>
      </c>
      <c r="R38" s="191">
        <f t="shared" si="5"/>
        <v>26.051456052115583</v>
      </c>
      <c r="S38" s="191">
        <f t="shared" si="5"/>
        <v>30.202560997909167</v>
      </c>
      <c r="T38" s="191">
        <f t="shared" si="5"/>
        <v>34.353665943702751</v>
      </c>
      <c r="U38" s="192">
        <f t="shared" si="5"/>
        <v>38.327278427891052</v>
      </c>
      <c r="V38" s="3"/>
      <c r="W38" s="3"/>
    </row>
    <row r="39" spans="2:28" x14ac:dyDescent="0.3">
      <c r="B39" s="194" t="str">
        <f>'SB 350 Potential'!B$9</f>
        <v>CEC</v>
      </c>
      <c r="C39" s="195" t="str">
        <f>'SB 350 Potential'!C$9</f>
        <v>State Financing</v>
      </c>
      <c r="D39" s="195" t="str">
        <f>'SB 350 Potential'!D$9</f>
        <v>Local Government Challenge</v>
      </c>
      <c r="E39" s="195" t="s">
        <v>403</v>
      </c>
      <c r="F39" s="40" t="str">
        <f t="shared" si="6"/>
        <v>GWh</v>
      </c>
      <c r="G39" s="191">
        <f t="shared" ref="G39:U39" si="7">SUM(G11,G25)</f>
        <v>0</v>
      </c>
      <c r="H39" s="191">
        <f t="shared" si="7"/>
        <v>0</v>
      </c>
      <c r="I39" s="191">
        <f t="shared" si="7"/>
        <v>0</v>
      </c>
      <c r="J39" s="191">
        <f t="shared" si="7"/>
        <v>0</v>
      </c>
      <c r="K39" s="191">
        <f t="shared" si="7"/>
        <v>0</v>
      </c>
      <c r="L39" s="191">
        <f t="shared" si="7"/>
        <v>0</v>
      </c>
      <c r="M39" s="191">
        <f t="shared" si="7"/>
        <v>4.4373115401321046</v>
      </c>
      <c r="N39" s="191">
        <f t="shared" si="7"/>
        <v>8.8746230802642092</v>
      </c>
      <c r="O39" s="191">
        <f t="shared" si="7"/>
        <v>13.311934620396315</v>
      </c>
      <c r="P39" s="191">
        <f t="shared" si="7"/>
        <v>21.345316288077466</v>
      </c>
      <c r="Q39" s="191">
        <f t="shared" si="7"/>
        <v>29.378697955758621</v>
      </c>
      <c r="R39" s="191">
        <f t="shared" si="7"/>
        <v>37.41207962343978</v>
      </c>
      <c r="S39" s="191">
        <f t="shared" si="7"/>
        <v>48.974098012260505</v>
      </c>
      <c r="T39" s="191">
        <f t="shared" si="7"/>
        <v>60.53611640108123</v>
      </c>
      <c r="U39" s="192">
        <f t="shared" si="7"/>
        <v>71.92064232829668</v>
      </c>
      <c r="V39" s="3"/>
      <c r="W39" s="3"/>
    </row>
    <row r="40" spans="2:28" x14ac:dyDescent="0.3">
      <c r="B40" s="194"/>
      <c r="C40" s="195"/>
      <c r="D40" s="195"/>
      <c r="E40" s="195"/>
      <c r="F40" s="214"/>
      <c r="G40" s="191"/>
      <c r="H40" s="191"/>
      <c r="I40" s="191"/>
      <c r="J40" s="191"/>
      <c r="K40" s="191"/>
      <c r="L40" s="191"/>
      <c r="M40" s="191"/>
      <c r="N40" s="191"/>
      <c r="O40" s="191"/>
      <c r="P40" s="191"/>
      <c r="Q40" s="191"/>
      <c r="R40" s="191"/>
      <c r="S40" s="191"/>
      <c r="T40" s="191"/>
      <c r="U40" s="192"/>
      <c r="V40" s="3"/>
      <c r="W40" s="3"/>
    </row>
    <row r="41" spans="2:28" s="8" customFormat="1" ht="18" x14ac:dyDescent="0.35">
      <c r="B41" s="215" t="s">
        <v>62</v>
      </c>
      <c r="C41" s="52"/>
      <c r="D41" s="52"/>
      <c r="E41" s="52"/>
      <c r="F41" s="216"/>
      <c r="G41" s="281" t="s">
        <v>399</v>
      </c>
      <c r="H41" s="281"/>
      <c r="I41" s="281"/>
      <c r="J41" s="281"/>
      <c r="K41" s="281"/>
      <c r="L41" s="281"/>
      <c r="M41" s="281"/>
      <c r="N41" s="281"/>
      <c r="O41" s="281"/>
      <c r="P41" s="281"/>
      <c r="Q41" s="281"/>
      <c r="R41" s="281"/>
      <c r="S41" s="281"/>
      <c r="T41" s="281"/>
      <c r="U41" s="282"/>
      <c r="V41" s="188"/>
      <c r="W41" s="188"/>
      <c r="AA41" s="43"/>
      <c r="AB41" s="43"/>
    </row>
    <row r="42" spans="2:28" ht="14.4" customHeight="1" x14ac:dyDescent="0.3">
      <c r="B42" s="194" t="str">
        <f>'SB 350 Potential'!B$9</f>
        <v>CEC</v>
      </c>
      <c r="C42" s="195" t="str">
        <f>'SB 350 Potential'!C$9</f>
        <v>State Financing</v>
      </c>
      <c r="D42" s="195" t="str">
        <f>'SB 350 Potential'!D$9</f>
        <v>Local Government Challenge</v>
      </c>
      <c r="E42" s="7" t="str">
        <f t="shared" ref="E42:E44" si="8">E37</f>
        <v>Conservative</v>
      </c>
      <c r="F42" s="40" t="s">
        <v>4</v>
      </c>
      <c r="G42" s="191">
        <f>SUM(G14,G28)</f>
        <v>0</v>
      </c>
      <c r="H42" s="191">
        <f t="shared" ref="H42:U42" si="9">SUM(H14,H28)</f>
        <v>0</v>
      </c>
      <c r="I42" s="191">
        <f t="shared" si="9"/>
        <v>0</v>
      </c>
      <c r="J42" s="191">
        <f t="shared" si="9"/>
        <v>0</v>
      </c>
      <c r="K42" s="191">
        <f t="shared" si="9"/>
        <v>0</v>
      </c>
      <c r="L42" s="191">
        <f t="shared" si="9"/>
        <v>0</v>
      </c>
      <c r="M42" s="191">
        <f t="shared" si="9"/>
        <v>0.11460689969878939</v>
      </c>
      <c r="N42" s="191">
        <f t="shared" si="9"/>
        <v>0.22921379939757877</v>
      </c>
      <c r="O42" s="191">
        <f t="shared" si="9"/>
        <v>0.34382069909636814</v>
      </c>
      <c r="P42" s="191">
        <f t="shared" si="9"/>
        <v>0.45349950210810963</v>
      </c>
      <c r="Q42" s="191">
        <f t="shared" si="9"/>
        <v>0.56317830511985101</v>
      </c>
      <c r="R42" s="191">
        <f t="shared" si="9"/>
        <v>0.6728571081315925</v>
      </c>
      <c r="S42" s="191">
        <f t="shared" si="9"/>
        <v>0.78007186279980989</v>
      </c>
      <c r="T42" s="191">
        <f t="shared" si="9"/>
        <v>0.88728661746802728</v>
      </c>
      <c r="U42" s="192">
        <f t="shared" si="9"/>
        <v>0.98991709614829326</v>
      </c>
      <c r="V42" s="193"/>
      <c r="W42" s="3"/>
      <c r="AA42" s="6"/>
      <c r="AB42" s="6"/>
    </row>
    <row r="43" spans="2:28" x14ac:dyDescent="0.3">
      <c r="B43" s="194" t="str">
        <f>'SB 350 Potential'!B$9</f>
        <v>CEC</v>
      </c>
      <c r="C43" s="195" t="str">
        <f>'SB 350 Potential'!C$9</f>
        <v>State Financing</v>
      </c>
      <c r="D43" s="195" t="str">
        <f>'SB 350 Potential'!D$9</f>
        <v>Local Government Challenge</v>
      </c>
      <c r="E43" s="195" t="str">
        <f t="shared" si="8"/>
        <v>Reference</v>
      </c>
      <c r="F43" s="214" t="str">
        <f t="shared" ref="F43:F44" si="10">F42</f>
        <v>MM Therms</v>
      </c>
      <c r="G43" s="191">
        <f t="shared" ref="G43:U44" si="11">SUM(G15,G29)</f>
        <v>0</v>
      </c>
      <c r="H43" s="191">
        <f t="shared" si="11"/>
        <v>0</v>
      </c>
      <c r="I43" s="191">
        <f t="shared" si="11"/>
        <v>0</v>
      </c>
      <c r="J43" s="191">
        <f t="shared" si="11"/>
        <v>0</v>
      </c>
      <c r="K43" s="191">
        <f t="shared" si="11"/>
        <v>0</v>
      </c>
      <c r="L43" s="191">
        <f t="shared" si="11"/>
        <v>0</v>
      </c>
      <c r="M43" s="191">
        <f t="shared" si="11"/>
        <v>0.15433375474924435</v>
      </c>
      <c r="N43" s="191">
        <f t="shared" si="11"/>
        <v>0.3086675094984887</v>
      </c>
      <c r="O43" s="191">
        <f t="shared" si="11"/>
        <v>0.46300126424773302</v>
      </c>
      <c r="P43" s="191">
        <f t="shared" si="11"/>
        <v>0.61069866754275992</v>
      </c>
      <c r="Q43" s="191">
        <f t="shared" si="11"/>
        <v>0.75839607083778682</v>
      </c>
      <c r="R43" s="191">
        <f t="shared" si="11"/>
        <v>0.90609347413281371</v>
      </c>
      <c r="S43" s="191">
        <f t="shared" si="11"/>
        <v>1.0504727017007318</v>
      </c>
      <c r="T43" s="191">
        <f t="shared" si="11"/>
        <v>1.1948519292686499</v>
      </c>
      <c r="U43" s="192">
        <f t="shared" si="11"/>
        <v>1.3330578066465981</v>
      </c>
      <c r="V43" s="3"/>
      <c r="W43" s="3"/>
    </row>
    <row r="44" spans="2:28" ht="15" thickBot="1" x14ac:dyDescent="0.35">
      <c r="B44" s="201" t="str">
        <f>'SB 350 Potential'!B$9</f>
        <v>CEC</v>
      </c>
      <c r="C44" s="202" t="str">
        <f>'SB 350 Potential'!C$9</f>
        <v>State Financing</v>
      </c>
      <c r="D44" s="202" t="str">
        <f>'SB 350 Potential'!D$9</f>
        <v>Local Government Challenge</v>
      </c>
      <c r="E44" s="202" t="str">
        <f t="shared" si="8"/>
        <v>Aggressive</v>
      </c>
      <c r="F44" s="217" t="str">
        <f t="shared" si="10"/>
        <v>MM Therms</v>
      </c>
      <c r="G44" s="204">
        <f t="shared" si="11"/>
        <v>0</v>
      </c>
      <c r="H44" s="204">
        <f t="shared" si="11"/>
        <v>0</v>
      </c>
      <c r="I44" s="204">
        <f t="shared" si="11"/>
        <v>0</v>
      </c>
      <c r="J44" s="204">
        <f t="shared" si="11"/>
        <v>0</v>
      </c>
      <c r="K44" s="204">
        <f t="shared" si="11"/>
        <v>0</v>
      </c>
      <c r="L44" s="204">
        <f t="shared" si="11"/>
        <v>0</v>
      </c>
      <c r="M44" s="204">
        <f t="shared" si="11"/>
        <v>0.15433375474924435</v>
      </c>
      <c r="N44" s="204">
        <f t="shared" si="11"/>
        <v>0.3086675094984887</v>
      </c>
      <c r="O44" s="204">
        <f t="shared" si="11"/>
        <v>0.46300126424773302</v>
      </c>
      <c r="P44" s="204">
        <f t="shared" si="11"/>
        <v>0.75116983748420196</v>
      </c>
      <c r="Q44" s="204">
        <f t="shared" si="11"/>
        <v>1.0393384107206711</v>
      </c>
      <c r="R44" s="204">
        <f t="shared" si="11"/>
        <v>1.3275069839571401</v>
      </c>
      <c r="S44" s="204">
        <f t="shared" si="11"/>
        <v>1.7467882911004602</v>
      </c>
      <c r="T44" s="204">
        <f t="shared" si="11"/>
        <v>2.1660695982437801</v>
      </c>
      <c r="U44" s="205">
        <f t="shared" si="11"/>
        <v>2.5791775551971305</v>
      </c>
      <c r="V44" s="3"/>
      <c r="W44" s="3"/>
    </row>
    <row r="45" spans="2:28" x14ac:dyDescent="0.3">
      <c r="B45" s="3"/>
      <c r="C45" s="3"/>
      <c r="D45" s="3"/>
      <c r="E45" s="3"/>
      <c r="F45" s="3"/>
      <c r="G45" s="3"/>
      <c r="H45" s="3"/>
      <c r="I45" s="3"/>
      <c r="J45" s="3"/>
      <c r="K45" s="3"/>
      <c r="L45" s="3"/>
      <c r="M45" s="3"/>
      <c r="N45" s="3"/>
      <c r="O45" s="3"/>
      <c r="P45" s="3"/>
      <c r="Q45" s="3"/>
      <c r="R45" s="3"/>
      <c r="S45" s="3"/>
      <c r="T45" s="3"/>
      <c r="U45" s="3"/>
      <c r="V45" s="3"/>
      <c r="W45" s="3"/>
    </row>
    <row r="46" spans="2:28" x14ac:dyDescent="0.3">
      <c r="B46" s="3"/>
      <c r="C46" s="3"/>
      <c r="D46" s="3"/>
      <c r="E46" s="3"/>
      <c r="F46" s="3"/>
      <c r="G46" s="3"/>
      <c r="H46" s="3"/>
      <c r="I46" s="3"/>
      <c r="J46" s="3"/>
      <c r="K46" s="3"/>
      <c r="L46" s="3"/>
      <c r="M46" s="3"/>
      <c r="N46" s="3"/>
      <c r="O46" s="3"/>
      <c r="P46" s="3"/>
      <c r="Q46" s="3"/>
      <c r="R46" s="3"/>
      <c r="S46" s="3"/>
      <c r="T46" s="3"/>
      <c r="U46" s="3"/>
      <c r="V46" s="3"/>
      <c r="W46" s="3"/>
    </row>
  </sheetData>
  <mergeCells count="9">
    <mergeCell ref="B34:U34"/>
    <mergeCell ref="G36:U36"/>
    <mergeCell ref="G41:U41"/>
    <mergeCell ref="B6:U6"/>
    <mergeCell ref="G8:U8"/>
    <mergeCell ref="G13:U13"/>
    <mergeCell ref="B20:U20"/>
    <mergeCell ref="G22:U22"/>
    <mergeCell ref="G27:U27"/>
  </mergeCells>
  <pageMargins left="0.7" right="0.7" top="0.5" bottom="0.5" header="0.3" footer="0.3"/>
  <pageSetup paperSize="5" scale="26" orientation="landscape" r:id="rId1"/>
  <headerFooter>
    <oddFooter>&amp;L&amp;Z&amp;F&amp;A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80"/>
  <sheetViews>
    <sheetView zoomScale="70" zoomScaleNormal="70" workbookViewId="0">
      <selection activeCell="L61" sqref="L61"/>
    </sheetView>
  </sheetViews>
  <sheetFormatPr defaultRowHeight="14.4" x14ac:dyDescent="0.3"/>
  <cols>
    <col min="2" max="2" width="17.6640625" customWidth="1"/>
    <col min="3" max="3" width="16.44140625" customWidth="1"/>
    <col min="4" max="4" width="18.44140625" customWidth="1"/>
    <col min="5" max="5" width="19.33203125" customWidth="1"/>
    <col min="6" max="6" width="15" customWidth="1"/>
    <col min="18" max="18" width="8.88671875" customWidth="1"/>
  </cols>
  <sheetData>
    <row r="1" spans="2:21" ht="23.4" x14ac:dyDescent="0.45">
      <c r="B1" s="164" t="s">
        <v>33</v>
      </c>
      <c r="C1" s="164" t="str">
        <f>'Program Analysis'!C3</f>
        <v>Local Government Challenge</v>
      </c>
    </row>
    <row r="2" spans="2:21" ht="23.4" x14ac:dyDescent="0.45">
      <c r="B2" s="164" t="s">
        <v>445</v>
      </c>
      <c r="C2" s="164" t="s">
        <v>402</v>
      </c>
    </row>
    <row r="4" spans="2:21" ht="15" thickBot="1" x14ac:dyDescent="0.35"/>
    <row r="5" spans="2:21" ht="18" x14ac:dyDescent="0.35">
      <c r="B5" s="60" t="s">
        <v>449</v>
      </c>
      <c r="C5" s="45"/>
      <c r="D5" s="45"/>
      <c r="E5" s="46"/>
      <c r="F5" s="46"/>
      <c r="G5" s="47"/>
      <c r="H5" s="47"/>
      <c r="I5" s="47"/>
      <c r="J5" s="47"/>
      <c r="K5" s="47"/>
      <c r="L5" s="47"/>
      <c r="M5" s="47"/>
      <c r="N5" s="47"/>
      <c r="O5" s="47"/>
      <c r="P5" s="47"/>
      <c r="Q5" s="47"/>
      <c r="R5" s="48"/>
      <c r="S5" s="3"/>
      <c r="T5" s="223"/>
      <c r="U5" s="3" t="s">
        <v>367</v>
      </c>
    </row>
    <row r="6" spans="2:21" x14ac:dyDescent="0.3">
      <c r="B6" s="51" t="s">
        <v>450</v>
      </c>
      <c r="C6" s="224" t="s">
        <v>451</v>
      </c>
      <c r="D6" s="49"/>
      <c r="E6" s="39"/>
      <c r="F6" s="39"/>
      <c r="G6" s="3"/>
      <c r="H6" s="3"/>
      <c r="I6" s="3"/>
      <c r="J6" s="3"/>
      <c r="K6" s="3"/>
      <c r="L6" s="3"/>
      <c r="M6" s="3"/>
      <c r="N6" s="3"/>
      <c r="O6" s="3"/>
      <c r="P6" s="3"/>
      <c r="Q6" s="3"/>
      <c r="R6" s="50"/>
      <c r="S6" s="3"/>
      <c r="T6" s="225"/>
      <c r="U6" s="3" t="s">
        <v>368</v>
      </c>
    </row>
    <row r="7" spans="2:21" x14ac:dyDescent="0.3">
      <c r="B7" s="51"/>
      <c r="C7" s="224"/>
      <c r="D7" s="49"/>
      <c r="E7" s="39"/>
      <c r="F7" s="39"/>
      <c r="G7" s="3"/>
      <c r="H7" s="3"/>
      <c r="I7" s="3"/>
      <c r="J7" s="3"/>
      <c r="K7" s="3"/>
      <c r="L7" s="3"/>
      <c r="M7" s="3"/>
      <c r="N7" s="3"/>
      <c r="O7" s="3"/>
      <c r="P7" s="3"/>
      <c r="Q7" s="3"/>
      <c r="R7" s="50"/>
      <c r="S7" s="3"/>
      <c r="T7" s="226"/>
      <c r="U7" s="3" t="s">
        <v>369</v>
      </c>
    </row>
    <row r="8" spans="2:21" s="231" customFormat="1" x14ac:dyDescent="0.3">
      <c r="B8" s="227" t="s">
        <v>60</v>
      </c>
      <c r="C8" s="49">
        <v>2015</v>
      </c>
      <c r="D8" s="49">
        <v>2016</v>
      </c>
      <c r="E8" s="49">
        <v>2017</v>
      </c>
      <c r="F8" s="49">
        <v>2018</v>
      </c>
      <c r="G8" s="49">
        <v>2019</v>
      </c>
      <c r="H8" s="49">
        <v>2020</v>
      </c>
      <c r="I8" s="49">
        <v>2021</v>
      </c>
      <c r="J8" s="49">
        <v>2022</v>
      </c>
      <c r="K8" s="49">
        <v>2023</v>
      </c>
      <c r="L8" s="49">
        <v>2024</v>
      </c>
      <c r="M8" s="49">
        <v>2025</v>
      </c>
      <c r="N8" s="49">
        <v>2026</v>
      </c>
      <c r="O8" s="228">
        <v>2027</v>
      </c>
      <c r="P8" s="228">
        <v>2028</v>
      </c>
      <c r="Q8" s="228">
        <v>2029</v>
      </c>
      <c r="R8" s="229"/>
      <c r="S8" s="230"/>
      <c r="T8" s="230"/>
    </row>
    <row r="9" spans="2:21" x14ac:dyDescent="0.3">
      <c r="B9" s="232" t="s">
        <v>0</v>
      </c>
      <c r="C9" s="248">
        <v>0</v>
      </c>
      <c r="D9" s="248">
        <v>0</v>
      </c>
      <c r="E9" s="248">
        <v>0</v>
      </c>
      <c r="F9" s="248">
        <v>0</v>
      </c>
      <c r="G9" s="248">
        <f t="shared" ref="G9" si="0">F9*1.01</f>
        <v>0</v>
      </c>
      <c r="H9" s="248">
        <v>0</v>
      </c>
      <c r="I9" s="248">
        <f>'LGC Worksheet'!$P$26*0.1</f>
        <v>4.6221995209709421</v>
      </c>
      <c r="J9" s="248">
        <f>'LGC Worksheet'!$P$26*0.1</f>
        <v>4.6221995209709421</v>
      </c>
      <c r="K9" s="248">
        <f>'LGC Worksheet'!$P$26*0.1</f>
        <v>4.6221995209709421</v>
      </c>
      <c r="L9" s="248">
        <f>'LGC Worksheet'!$P$26*0.1</f>
        <v>4.6221995209709421</v>
      </c>
      <c r="M9" s="248">
        <f>'LGC Worksheet'!$P$26*0.1</f>
        <v>4.6221995209709421</v>
      </c>
      <c r="N9" s="248">
        <f>'LGC Worksheet'!$P$26*0.1</f>
        <v>4.6221995209709421</v>
      </c>
      <c r="O9" s="248">
        <f>'LGC Worksheet'!$P$26*0.1</f>
        <v>4.6221995209709421</v>
      </c>
      <c r="P9" s="248">
        <f>'LGC Worksheet'!$P$26*0.1</f>
        <v>4.6221995209709421</v>
      </c>
      <c r="Q9" s="248">
        <f>'LGC Worksheet'!$P$26*0.1</f>
        <v>4.6221995209709421</v>
      </c>
      <c r="R9" s="50"/>
      <c r="S9" s="233"/>
      <c r="T9" s="3"/>
    </row>
    <row r="10" spans="2:21" ht="15" thickBot="1" x14ac:dyDescent="0.35">
      <c r="B10" s="234" t="s">
        <v>4</v>
      </c>
      <c r="C10" s="246">
        <v>0</v>
      </c>
      <c r="D10" s="246">
        <v>0</v>
      </c>
      <c r="E10" s="246">
        <v>0</v>
      </c>
      <c r="F10" s="246">
        <v>0</v>
      </c>
      <c r="G10" s="246">
        <v>0</v>
      </c>
      <c r="H10" s="246">
        <v>0</v>
      </c>
      <c r="I10" s="246">
        <f>'LGC Worksheet'!$Q$26*0.1</f>
        <v>0.16076432786379624</v>
      </c>
      <c r="J10" s="246">
        <f>'LGC Worksheet'!$Q$26*0.1</f>
        <v>0.16076432786379624</v>
      </c>
      <c r="K10" s="246">
        <f>'LGC Worksheet'!$Q$26*0.1</f>
        <v>0.16076432786379624</v>
      </c>
      <c r="L10" s="246">
        <f>'LGC Worksheet'!$Q$26*0.1</f>
        <v>0.16076432786379624</v>
      </c>
      <c r="M10" s="246">
        <f>'LGC Worksheet'!$Q$26*0.1</f>
        <v>0.16076432786379624</v>
      </c>
      <c r="N10" s="246">
        <f>'LGC Worksheet'!$Q$26*0.1</f>
        <v>0.16076432786379624</v>
      </c>
      <c r="O10" s="246">
        <f>'LGC Worksheet'!$Q$26*0.1</f>
        <v>0.16076432786379624</v>
      </c>
      <c r="P10" s="246">
        <f>'LGC Worksheet'!$Q$26*0.1</f>
        <v>0.16076432786379624</v>
      </c>
      <c r="Q10" s="246">
        <f>'LGC Worksheet'!$Q$26*0.1</f>
        <v>0.16076432786379624</v>
      </c>
      <c r="R10" s="56"/>
      <c r="S10" s="233"/>
      <c r="T10" s="3"/>
    </row>
    <row r="11" spans="2:21" x14ac:dyDescent="0.3">
      <c r="B11" s="7"/>
      <c r="C11" s="7"/>
      <c r="D11" s="7"/>
      <c r="E11" s="7"/>
      <c r="F11" s="58"/>
      <c r="G11" s="59"/>
      <c r="H11" s="59"/>
      <c r="I11" s="59"/>
      <c r="J11" s="59"/>
      <c r="K11" s="59"/>
      <c r="L11" s="59"/>
      <c r="M11" s="59"/>
      <c r="N11" s="59"/>
      <c r="O11" s="59"/>
      <c r="P11" s="59"/>
      <c r="Q11" s="59"/>
      <c r="R11" s="59"/>
      <c r="S11" s="233"/>
      <c r="T11" s="3"/>
    </row>
    <row r="12" spans="2:21" ht="15" thickBot="1" x14ac:dyDescent="0.35">
      <c r="B12" s="39"/>
      <c r="C12" s="49"/>
      <c r="D12" s="49"/>
      <c r="E12" s="39"/>
      <c r="F12" s="39"/>
      <c r="G12" s="3"/>
      <c r="H12" s="3"/>
      <c r="I12" s="3"/>
      <c r="J12" s="3"/>
      <c r="K12" s="3"/>
      <c r="L12" s="3"/>
      <c r="M12" s="3"/>
      <c r="N12" s="3"/>
      <c r="O12" s="3"/>
      <c r="P12" s="3"/>
      <c r="Q12" s="3"/>
      <c r="R12" s="3"/>
      <c r="S12" s="3"/>
      <c r="T12" s="3"/>
    </row>
    <row r="13" spans="2:21" ht="18" x14ac:dyDescent="0.35">
      <c r="B13" s="60" t="s">
        <v>452</v>
      </c>
      <c r="C13" s="47"/>
      <c r="D13" s="47"/>
      <c r="E13" s="47"/>
      <c r="F13" s="47"/>
      <c r="G13" s="47"/>
      <c r="H13" s="47"/>
      <c r="I13" s="47"/>
      <c r="J13" s="47"/>
      <c r="K13" s="47"/>
      <c r="L13" s="47"/>
      <c r="M13" s="47"/>
      <c r="N13" s="47"/>
      <c r="O13" s="47"/>
      <c r="P13" s="47"/>
      <c r="Q13" s="47"/>
      <c r="R13" s="48"/>
    </row>
    <row r="14" spans="2:21" x14ac:dyDescent="0.3">
      <c r="B14" s="51" t="s">
        <v>450</v>
      </c>
      <c r="C14" s="236">
        <v>0.04</v>
      </c>
      <c r="D14" s="255" t="s">
        <v>470</v>
      </c>
      <c r="E14" s="3"/>
      <c r="F14" s="3"/>
      <c r="G14" s="3"/>
      <c r="H14" s="3"/>
      <c r="I14" s="3"/>
      <c r="J14" s="3"/>
      <c r="K14" s="3"/>
      <c r="L14" s="3"/>
      <c r="M14" s="3"/>
      <c r="N14" s="3"/>
      <c r="O14" s="3"/>
      <c r="P14" s="3"/>
      <c r="Q14" s="3"/>
      <c r="R14" s="50"/>
    </row>
    <row r="15" spans="2:21" x14ac:dyDescent="0.3">
      <c r="B15" s="51"/>
      <c r="C15" s="3"/>
      <c r="D15" s="3"/>
      <c r="E15" s="3"/>
      <c r="F15" s="3"/>
      <c r="G15" s="3"/>
      <c r="H15" s="3"/>
      <c r="I15" s="3"/>
      <c r="J15" s="3"/>
      <c r="K15" s="3"/>
      <c r="L15" s="3"/>
      <c r="M15" s="3"/>
      <c r="N15" s="3"/>
      <c r="O15" s="3"/>
      <c r="P15" s="3"/>
      <c r="Q15" s="3"/>
      <c r="R15" s="50"/>
    </row>
    <row r="16" spans="2:21" s="231" customFormat="1" x14ac:dyDescent="0.3">
      <c r="B16" s="227" t="s">
        <v>60</v>
      </c>
      <c r="C16" s="49">
        <v>2015</v>
      </c>
      <c r="D16" s="49">
        <v>2016</v>
      </c>
      <c r="E16" s="49">
        <v>2017</v>
      </c>
      <c r="F16" s="49">
        <v>2018</v>
      </c>
      <c r="G16" s="49">
        <v>2019</v>
      </c>
      <c r="H16" s="49">
        <v>2020</v>
      </c>
      <c r="I16" s="49">
        <v>2021</v>
      </c>
      <c r="J16" s="49">
        <v>2022</v>
      </c>
      <c r="K16" s="49">
        <v>2023</v>
      </c>
      <c r="L16" s="49">
        <v>2024</v>
      </c>
      <c r="M16" s="49">
        <v>2025</v>
      </c>
      <c r="N16" s="49">
        <v>2026</v>
      </c>
      <c r="O16" s="228">
        <v>2027</v>
      </c>
      <c r="P16" s="228">
        <v>2028</v>
      </c>
      <c r="Q16" s="228">
        <v>2029</v>
      </c>
      <c r="R16" s="229"/>
    </row>
    <row r="17" spans="2:18" x14ac:dyDescent="0.3">
      <c r="B17" s="232" t="str">
        <f>B9</f>
        <v>GWh</v>
      </c>
      <c r="C17" s="41">
        <f t="shared" ref="C17:Q18" si="1">C9*(1-$C$14)</f>
        <v>0</v>
      </c>
      <c r="D17" s="41">
        <f t="shared" si="1"/>
        <v>0</v>
      </c>
      <c r="E17" s="41">
        <f t="shared" si="1"/>
        <v>0</v>
      </c>
      <c r="F17" s="41">
        <f t="shared" si="1"/>
        <v>0</v>
      </c>
      <c r="G17" s="41">
        <f t="shared" si="1"/>
        <v>0</v>
      </c>
      <c r="H17" s="41">
        <f t="shared" si="1"/>
        <v>0</v>
      </c>
      <c r="I17" s="41">
        <f t="shared" si="1"/>
        <v>4.4373115401321046</v>
      </c>
      <c r="J17" s="41">
        <f t="shared" si="1"/>
        <v>4.4373115401321046</v>
      </c>
      <c r="K17" s="41">
        <f t="shared" si="1"/>
        <v>4.4373115401321046</v>
      </c>
      <c r="L17" s="41">
        <f t="shared" si="1"/>
        <v>4.4373115401321046</v>
      </c>
      <c r="M17" s="41">
        <f t="shared" si="1"/>
        <v>4.4373115401321046</v>
      </c>
      <c r="N17" s="41">
        <f t="shared" si="1"/>
        <v>4.4373115401321046</v>
      </c>
      <c r="O17" s="41">
        <f t="shared" si="1"/>
        <v>4.4373115401321046</v>
      </c>
      <c r="P17" s="41">
        <f t="shared" si="1"/>
        <v>4.4373115401321046</v>
      </c>
      <c r="Q17" s="41">
        <f t="shared" si="1"/>
        <v>4.4373115401321046</v>
      </c>
      <c r="R17" s="50"/>
    </row>
    <row r="18" spans="2:18" ht="15" thickBot="1" x14ac:dyDescent="0.35">
      <c r="B18" s="234" t="str">
        <f>B10</f>
        <v>MM Therms</v>
      </c>
      <c r="C18" s="235">
        <f t="shared" si="1"/>
        <v>0</v>
      </c>
      <c r="D18" s="235">
        <f t="shared" si="1"/>
        <v>0</v>
      </c>
      <c r="E18" s="235">
        <f t="shared" si="1"/>
        <v>0</v>
      </c>
      <c r="F18" s="235">
        <f t="shared" si="1"/>
        <v>0</v>
      </c>
      <c r="G18" s="235">
        <f t="shared" si="1"/>
        <v>0</v>
      </c>
      <c r="H18" s="235">
        <f t="shared" si="1"/>
        <v>0</v>
      </c>
      <c r="I18" s="235">
        <f t="shared" si="1"/>
        <v>0.15433375474924438</v>
      </c>
      <c r="J18" s="235">
        <f t="shared" si="1"/>
        <v>0.15433375474924438</v>
      </c>
      <c r="K18" s="235">
        <f t="shared" si="1"/>
        <v>0.15433375474924438</v>
      </c>
      <c r="L18" s="235">
        <f t="shared" si="1"/>
        <v>0.15433375474924438</v>
      </c>
      <c r="M18" s="235">
        <f t="shared" si="1"/>
        <v>0.15433375474924438</v>
      </c>
      <c r="N18" s="235">
        <f t="shared" si="1"/>
        <v>0.15433375474924438</v>
      </c>
      <c r="O18" s="235">
        <f t="shared" si="1"/>
        <v>0.15433375474924438</v>
      </c>
      <c r="P18" s="235">
        <f t="shared" si="1"/>
        <v>0.15433375474924438</v>
      </c>
      <c r="Q18" s="235">
        <f t="shared" si="1"/>
        <v>0.15433375474924438</v>
      </c>
      <c r="R18" s="56"/>
    </row>
    <row r="20" spans="2:18" ht="15" thickBot="1" x14ac:dyDescent="0.35"/>
    <row r="21" spans="2:18" ht="18" x14ac:dyDescent="0.35">
      <c r="B21" s="60" t="s">
        <v>453</v>
      </c>
      <c r="C21" s="47"/>
      <c r="D21" s="47"/>
      <c r="E21" s="47"/>
      <c r="F21" s="47"/>
      <c r="G21" s="47"/>
      <c r="H21" s="47"/>
      <c r="I21" s="47"/>
      <c r="J21" s="47"/>
      <c r="K21" s="47"/>
      <c r="L21" s="47"/>
      <c r="M21" s="47"/>
      <c r="N21" s="47"/>
      <c r="O21" s="47"/>
      <c r="P21" s="47"/>
      <c r="Q21" s="47"/>
      <c r="R21" s="48"/>
    </row>
    <row r="22" spans="2:18" x14ac:dyDescent="0.3">
      <c r="B22" s="237" t="s">
        <v>35</v>
      </c>
      <c r="C22" s="131" t="s">
        <v>357</v>
      </c>
      <c r="D22" s="131" t="s">
        <v>358</v>
      </c>
      <c r="E22" s="3"/>
      <c r="F22" s="3" t="s">
        <v>374</v>
      </c>
      <c r="G22" s="3"/>
      <c r="H22" s="3"/>
      <c r="I22" s="3"/>
      <c r="J22" s="3"/>
      <c r="K22" s="3"/>
      <c r="L22" s="3"/>
      <c r="M22" s="3"/>
      <c r="N22" s="3"/>
      <c r="O22" s="3"/>
      <c r="P22" s="3"/>
      <c r="Q22" s="3"/>
      <c r="R22" s="50"/>
    </row>
    <row r="23" spans="2:18" x14ac:dyDescent="0.3">
      <c r="B23" s="237" t="s">
        <v>359</v>
      </c>
      <c r="C23" s="132">
        <v>0.215</v>
      </c>
      <c r="D23" s="133">
        <v>15</v>
      </c>
      <c r="E23" s="3"/>
      <c r="F23" s="289" t="s">
        <v>454</v>
      </c>
      <c r="G23" s="289"/>
      <c r="H23" s="289"/>
      <c r="I23" s="289"/>
      <c r="J23" s="289"/>
      <c r="K23" s="289"/>
      <c r="L23" s="289"/>
      <c r="M23" s="289"/>
      <c r="N23" s="289"/>
      <c r="O23" s="289"/>
      <c r="P23" s="3"/>
      <c r="Q23" s="3"/>
      <c r="R23" s="50"/>
    </row>
    <row r="24" spans="2:18" x14ac:dyDescent="0.3">
      <c r="B24" s="237" t="s">
        <v>360</v>
      </c>
      <c r="C24" s="132">
        <v>3.2000000000000001E-2</v>
      </c>
      <c r="D24" s="133">
        <v>8</v>
      </c>
      <c r="E24" s="3"/>
      <c r="F24" s="289"/>
      <c r="G24" s="289"/>
      <c r="H24" s="289"/>
      <c r="I24" s="289"/>
      <c r="J24" s="289"/>
      <c r="K24" s="289"/>
      <c r="L24" s="289"/>
      <c r="M24" s="289"/>
      <c r="N24" s="289"/>
      <c r="O24" s="289"/>
      <c r="P24" s="3"/>
      <c r="Q24" s="3"/>
      <c r="R24" s="50"/>
    </row>
    <row r="25" spans="2:18" x14ac:dyDescent="0.3">
      <c r="B25" s="237" t="s">
        <v>361</v>
      </c>
      <c r="C25" s="132">
        <v>8.5999999999999993E-2</v>
      </c>
      <c r="D25" s="133">
        <v>3</v>
      </c>
      <c r="E25" s="3"/>
      <c r="F25" s="289"/>
      <c r="G25" s="289"/>
      <c r="H25" s="289"/>
      <c r="I25" s="289"/>
      <c r="J25" s="289"/>
      <c r="K25" s="289"/>
      <c r="L25" s="289"/>
      <c r="M25" s="289"/>
      <c r="N25" s="289"/>
      <c r="O25" s="289"/>
      <c r="P25" s="3"/>
      <c r="Q25" s="3"/>
      <c r="R25" s="50"/>
    </row>
    <row r="26" spans="2:18" x14ac:dyDescent="0.3">
      <c r="B26" s="237" t="s">
        <v>362</v>
      </c>
      <c r="C26" s="132">
        <v>0.53900000000000003</v>
      </c>
      <c r="D26" s="133">
        <v>15</v>
      </c>
      <c r="E26" s="3"/>
      <c r="F26" s="289"/>
      <c r="G26" s="289"/>
      <c r="H26" s="289"/>
      <c r="I26" s="289"/>
      <c r="J26" s="289"/>
      <c r="K26" s="289"/>
      <c r="L26" s="289"/>
      <c r="M26" s="289"/>
      <c r="N26" s="289"/>
      <c r="O26" s="289"/>
      <c r="P26" s="3"/>
      <c r="Q26" s="3"/>
      <c r="R26" s="50"/>
    </row>
    <row r="27" spans="2:18" x14ac:dyDescent="0.3">
      <c r="B27" s="237" t="s">
        <v>363</v>
      </c>
      <c r="C27" s="132">
        <v>4.8000000000000001E-2</v>
      </c>
      <c r="D27" s="133">
        <v>8</v>
      </c>
      <c r="E27" s="3"/>
      <c r="F27" s="289"/>
      <c r="G27" s="289"/>
      <c r="H27" s="289"/>
      <c r="I27" s="289"/>
      <c r="J27" s="289"/>
      <c r="K27" s="289"/>
      <c r="L27" s="289"/>
      <c r="M27" s="289"/>
      <c r="N27" s="289"/>
      <c r="O27" s="289"/>
      <c r="P27" s="3"/>
      <c r="Q27" s="3"/>
      <c r="R27" s="50"/>
    </row>
    <row r="28" spans="2:18" x14ac:dyDescent="0.3">
      <c r="B28" s="237" t="s">
        <v>364</v>
      </c>
      <c r="C28" s="132">
        <v>0.08</v>
      </c>
      <c r="D28" s="133">
        <v>10</v>
      </c>
      <c r="E28" s="3"/>
      <c r="F28" s="289"/>
      <c r="G28" s="289"/>
      <c r="H28" s="289"/>
      <c r="I28" s="289"/>
      <c r="J28" s="289"/>
      <c r="K28" s="289"/>
      <c r="L28" s="289"/>
      <c r="M28" s="289"/>
      <c r="N28" s="289"/>
      <c r="O28" s="289"/>
      <c r="P28" s="3"/>
      <c r="Q28" s="3"/>
      <c r="R28" s="50"/>
    </row>
    <row r="29" spans="2:18" ht="15" thickBot="1" x14ac:dyDescent="0.35">
      <c r="B29" s="238" t="s">
        <v>331</v>
      </c>
      <c r="C29" s="239"/>
      <c r="D29" s="239"/>
      <c r="E29" s="55"/>
      <c r="F29" s="290"/>
      <c r="G29" s="290"/>
      <c r="H29" s="290"/>
      <c r="I29" s="290"/>
      <c r="J29" s="290"/>
      <c r="K29" s="290"/>
      <c r="L29" s="290"/>
      <c r="M29" s="290"/>
      <c r="N29" s="290"/>
      <c r="O29" s="290"/>
      <c r="P29" s="55"/>
      <c r="Q29" s="55"/>
      <c r="R29" s="56"/>
    </row>
    <row r="31" spans="2:18" ht="15" thickBot="1" x14ac:dyDescent="0.35"/>
    <row r="32" spans="2:18" ht="18" x14ac:dyDescent="0.35">
      <c r="B32" s="60" t="s">
        <v>455</v>
      </c>
      <c r="C32" s="47"/>
      <c r="D32" s="47"/>
      <c r="E32" s="47"/>
      <c r="F32" s="47"/>
      <c r="G32" s="47"/>
      <c r="H32" s="47"/>
      <c r="I32" s="47"/>
      <c r="J32" s="47"/>
      <c r="K32" s="47"/>
      <c r="L32" s="47"/>
      <c r="M32" s="47"/>
      <c r="N32" s="47"/>
      <c r="O32" s="47"/>
      <c r="P32" s="47"/>
      <c r="Q32" s="47"/>
      <c r="R32" s="48"/>
    </row>
    <row r="33" spans="2:18" x14ac:dyDescent="0.3">
      <c r="B33" s="240"/>
      <c r="C33" s="3"/>
      <c r="D33" s="3"/>
      <c r="E33" s="3"/>
      <c r="F33" s="3"/>
      <c r="G33" s="3"/>
      <c r="H33" s="3"/>
      <c r="I33" s="3"/>
      <c r="J33" s="3"/>
      <c r="K33" s="3"/>
      <c r="L33" s="3"/>
      <c r="M33" s="3"/>
      <c r="N33" s="3"/>
      <c r="O33" s="3"/>
      <c r="P33" s="3"/>
      <c r="Q33" s="3"/>
      <c r="R33" s="50"/>
    </row>
    <row r="34" spans="2:18" x14ac:dyDescent="0.3">
      <c r="B34" s="51"/>
      <c r="C34" s="3" t="s">
        <v>366</v>
      </c>
      <c r="D34" s="3"/>
      <c r="E34" s="3"/>
      <c r="F34" s="3"/>
      <c r="G34" s="3"/>
      <c r="H34" s="3"/>
      <c r="I34" s="3"/>
      <c r="J34" s="3"/>
      <c r="K34" s="3"/>
      <c r="L34" s="3"/>
      <c r="M34" s="3"/>
      <c r="N34" s="3"/>
      <c r="O34" s="3"/>
      <c r="P34" s="3"/>
      <c r="Q34" s="3"/>
      <c r="R34" s="50"/>
    </row>
    <row r="35" spans="2:18" x14ac:dyDescent="0.3">
      <c r="B35" s="51"/>
      <c r="C35" s="131">
        <f t="shared" ref="C35:Q35" si="2">C38</f>
        <v>2015</v>
      </c>
      <c r="D35" s="131">
        <f t="shared" si="2"/>
        <v>2016</v>
      </c>
      <c r="E35" s="131">
        <f t="shared" si="2"/>
        <v>2017</v>
      </c>
      <c r="F35" s="131">
        <f t="shared" si="2"/>
        <v>2018</v>
      </c>
      <c r="G35" s="131">
        <f t="shared" si="2"/>
        <v>2019</v>
      </c>
      <c r="H35" s="131">
        <f t="shared" si="2"/>
        <v>2020</v>
      </c>
      <c r="I35" s="131">
        <f t="shared" si="2"/>
        <v>2021</v>
      </c>
      <c r="J35" s="131">
        <f t="shared" si="2"/>
        <v>2022</v>
      </c>
      <c r="K35" s="131">
        <f t="shared" si="2"/>
        <v>2023</v>
      </c>
      <c r="L35" s="131">
        <f t="shared" si="2"/>
        <v>2024</v>
      </c>
      <c r="M35" s="131">
        <f t="shared" si="2"/>
        <v>2025</v>
      </c>
      <c r="N35" s="131">
        <f t="shared" si="2"/>
        <v>2026</v>
      </c>
      <c r="O35" s="131">
        <f t="shared" si="2"/>
        <v>2027</v>
      </c>
      <c r="P35" s="131">
        <f t="shared" si="2"/>
        <v>2028</v>
      </c>
      <c r="Q35" s="131">
        <f t="shared" si="2"/>
        <v>2029</v>
      </c>
      <c r="R35" s="50"/>
    </row>
    <row r="36" spans="2:18" x14ac:dyDescent="0.3">
      <c r="B36" s="51"/>
      <c r="C36" s="134">
        <f>C17</f>
        <v>0</v>
      </c>
      <c r="D36" s="134">
        <f t="shared" ref="D36:Q36" si="3">D17</f>
        <v>0</v>
      </c>
      <c r="E36" s="134">
        <f t="shared" si="3"/>
        <v>0</v>
      </c>
      <c r="F36" s="134">
        <f t="shared" si="3"/>
        <v>0</v>
      </c>
      <c r="G36" s="134">
        <f t="shared" si="3"/>
        <v>0</v>
      </c>
      <c r="H36" s="134">
        <f t="shared" si="3"/>
        <v>0</v>
      </c>
      <c r="I36" s="134">
        <f t="shared" si="3"/>
        <v>4.4373115401321046</v>
      </c>
      <c r="J36" s="134">
        <f t="shared" si="3"/>
        <v>4.4373115401321046</v>
      </c>
      <c r="K36" s="134">
        <f t="shared" si="3"/>
        <v>4.4373115401321046</v>
      </c>
      <c r="L36" s="134">
        <f t="shared" si="3"/>
        <v>4.4373115401321046</v>
      </c>
      <c r="M36" s="134">
        <f t="shared" si="3"/>
        <v>4.4373115401321046</v>
      </c>
      <c r="N36" s="134">
        <f t="shared" si="3"/>
        <v>4.4373115401321046</v>
      </c>
      <c r="O36" s="134">
        <f t="shared" si="3"/>
        <v>4.4373115401321046</v>
      </c>
      <c r="P36" s="134">
        <f t="shared" si="3"/>
        <v>4.4373115401321046</v>
      </c>
      <c r="Q36" s="134">
        <f t="shared" si="3"/>
        <v>4.4373115401321046</v>
      </c>
      <c r="R36" s="50"/>
    </row>
    <row r="37" spans="2:18" x14ac:dyDescent="0.3">
      <c r="B37" s="51"/>
      <c r="C37" s="3"/>
      <c r="D37" s="3"/>
      <c r="E37" s="3"/>
      <c r="F37" s="3"/>
      <c r="G37" s="3"/>
      <c r="H37" s="3"/>
      <c r="I37" s="3"/>
      <c r="J37" s="3"/>
      <c r="K37" s="3"/>
      <c r="L37" s="3"/>
      <c r="M37" s="3"/>
      <c r="N37" s="3"/>
      <c r="O37" s="3"/>
      <c r="P37" s="3"/>
      <c r="Q37" s="3"/>
      <c r="R37" s="50"/>
    </row>
    <row r="38" spans="2:18" x14ac:dyDescent="0.3">
      <c r="B38" s="237" t="s">
        <v>370</v>
      </c>
      <c r="C38" s="131">
        <v>2015</v>
      </c>
      <c r="D38" s="131">
        <f t="shared" ref="D38:Q38" si="4">C38+1</f>
        <v>2016</v>
      </c>
      <c r="E38" s="131">
        <f t="shared" si="4"/>
        <v>2017</v>
      </c>
      <c r="F38" s="131">
        <f t="shared" si="4"/>
        <v>2018</v>
      </c>
      <c r="G38" s="131">
        <f t="shared" si="4"/>
        <v>2019</v>
      </c>
      <c r="H38" s="131">
        <f t="shared" si="4"/>
        <v>2020</v>
      </c>
      <c r="I38" s="131">
        <f t="shared" si="4"/>
        <v>2021</v>
      </c>
      <c r="J38" s="131">
        <f t="shared" si="4"/>
        <v>2022</v>
      </c>
      <c r="K38" s="131">
        <f t="shared" si="4"/>
        <v>2023</v>
      </c>
      <c r="L38" s="131">
        <f t="shared" si="4"/>
        <v>2024</v>
      </c>
      <c r="M38" s="131">
        <f t="shared" si="4"/>
        <v>2025</v>
      </c>
      <c r="N38" s="131">
        <f t="shared" si="4"/>
        <v>2026</v>
      </c>
      <c r="O38" s="131">
        <f t="shared" si="4"/>
        <v>2027</v>
      </c>
      <c r="P38" s="131">
        <f t="shared" si="4"/>
        <v>2028</v>
      </c>
      <c r="Q38" s="131">
        <f t="shared" si="4"/>
        <v>2029</v>
      </c>
      <c r="R38" s="50"/>
    </row>
    <row r="39" spans="2:18" x14ac:dyDescent="0.3">
      <c r="B39" s="237">
        <v>2015</v>
      </c>
      <c r="C39" s="135">
        <f>HLOOKUP($B39,$C$35:$Q$36,2,FALSE)*Reference!$C$23*(1-IF(ROUNDDOWN((C$35-$B39)/Reference!$D$23,0)&lt;1,0,IF(ROUNDDOWN((C$35-$B39)/Reference!$D$23,0)&lt;2,0.5,IF(ROUNDDOWN((C$35-$B39)/Reference!$D$23,0)&lt;3,0.75,IF(ROUNDDOWN((C$35-$B39)/Reference!$D$23,0)&lt;4,0.875,0.9375)))))+HLOOKUP($B39,$C$35:$Q$36,2,FALSE)*Reference!$C$24*(1-IF(ROUNDDOWN((C$35-$B39)/Reference!$D$24,0)&lt;1,0,IF(ROUNDDOWN((C$35-$B39)/Reference!$D$24,0)&lt;2,0.5,IF(ROUNDDOWN((C$35-$B39)/Reference!$D$24,0)&lt;3,0.75,IF(ROUNDDOWN((C$35-$B39)/Reference!$D$24,0)&lt;4,0.875,0.9375)))))+HLOOKUP($B39,$C$35:$Q$36,2,FALSE)*Reference!$C$25*(1-IF(ROUNDDOWN((C$35-$B39)/Reference!$D$25,0)&lt;1,0,IF(ROUNDDOWN((C$35-$B39)/Reference!$D$25,0)&lt;2,0.5,IF(ROUNDDOWN((C$35-$B39)/Reference!$D$25,0)&lt;3,0.75,IF(ROUNDDOWN((C$35-$B39)/Reference!$D$25,0)&lt;4,0.875,0.9375)))))+HLOOKUP($B39,$C$35:$Q$36,2,FALSE)*Reference!$C$26*(1-IF(ROUNDDOWN((C$35-$B39)/Reference!$D$26,0)&lt;1,0,IF(ROUNDDOWN((C$35-$B39)/Reference!$D$26,0)&lt;2,0.5,IF(ROUNDDOWN((C$35-$B39)/Reference!$D$26,0)&lt;3,0.75,IF(ROUNDDOWN((C$35-$B39)/Reference!$D$26,0)&lt;4,0.875,0.9375)))))+HLOOKUP($B39,$C$35:$Q$36,2,FALSE)*Reference!$C$27*(1-IF(ROUNDDOWN((C$35-$B39)/Reference!$D$27,0)&lt;1,0,IF(ROUNDDOWN((C$35-$B39)/Reference!$D$27,0)&lt;2,0.5,IF(ROUNDDOWN((C$35-$B39)/Reference!$D$27,0)&lt;3,0.75,IF(ROUNDDOWN((C$35-$B39)/Reference!$D$27,0)&lt;4,0.875,0.9375)))))+HLOOKUP($B39,$C$35:$Q$36,2,FALSE)*Reference!$C$28*(1-IF(ROUNDDOWN((C$35-$B39)/Reference!$D$28,0)&lt;1,0,IF(ROUNDDOWN((C$35-$B39)/Reference!$D$28,0)&lt;2,0.5,IF(ROUNDDOWN((C$35-$B39)/Reference!$D$28,0)&lt;3,0.75,IF(ROUNDDOWN((C$35-$B39)/Reference!$D$28,0)&lt;4,0.875,0.9375)))))</f>
        <v>0</v>
      </c>
      <c r="D39" s="135">
        <f>HLOOKUP($B39,$C$35:$Q$36,2,FALSE)*Reference!$C$23*(1-IF(ROUNDDOWN((D$35-$B39)/Reference!$D$23,0)&lt;1,0,IF(ROUNDDOWN((D$35-$B39)/Reference!$D$23,0)&lt;2,0.5,IF(ROUNDDOWN((D$35-$B39)/Reference!$D$23,0)&lt;3,0.75,IF(ROUNDDOWN((D$35-$B39)/Reference!$D$23,0)&lt;4,0.875,0.9375)))))+HLOOKUP($B39,$C$35:$Q$36,2,FALSE)*Reference!$C$24*(1-IF(ROUNDDOWN((D$35-$B39)/Reference!$D$24,0)&lt;1,0,IF(ROUNDDOWN((D$35-$B39)/Reference!$D$24,0)&lt;2,0.5,IF(ROUNDDOWN((D$35-$B39)/Reference!$D$24,0)&lt;3,0.75,IF(ROUNDDOWN((D$35-$B39)/Reference!$D$24,0)&lt;4,0.875,0.9375)))))+HLOOKUP($B39,$C$35:$Q$36,2,FALSE)*Reference!$C$25*(1-IF(ROUNDDOWN((D$35-$B39)/Reference!$D$25,0)&lt;1,0,IF(ROUNDDOWN((D$35-$B39)/Reference!$D$25,0)&lt;2,0.5,IF(ROUNDDOWN((D$35-$B39)/Reference!$D$25,0)&lt;3,0.75,IF(ROUNDDOWN((D$35-$B39)/Reference!$D$25,0)&lt;4,0.875,0.9375)))))+HLOOKUP($B39,$C$35:$Q$36,2,FALSE)*Reference!$C$26*(1-IF(ROUNDDOWN((D$35-$B39)/Reference!$D$26,0)&lt;1,0,IF(ROUNDDOWN((D$35-$B39)/Reference!$D$26,0)&lt;2,0.5,IF(ROUNDDOWN((D$35-$B39)/Reference!$D$26,0)&lt;3,0.75,IF(ROUNDDOWN((D$35-$B39)/Reference!$D$26,0)&lt;4,0.875,0.9375)))))+HLOOKUP($B39,$C$35:$Q$36,2,FALSE)*Reference!$C$27*(1-IF(ROUNDDOWN((D$35-$B39)/Reference!$D$27,0)&lt;1,0,IF(ROUNDDOWN((D$35-$B39)/Reference!$D$27,0)&lt;2,0.5,IF(ROUNDDOWN((D$35-$B39)/Reference!$D$27,0)&lt;3,0.75,IF(ROUNDDOWN((D$35-$B39)/Reference!$D$27,0)&lt;4,0.875,0.9375)))))+HLOOKUP($B39,$C$35:$Q$36,2,FALSE)*Reference!$C$28*(1-IF(ROUNDDOWN((D$35-$B39)/Reference!$D$28,0)&lt;1,0,IF(ROUNDDOWN((D$35-$B39)/Reference!$D$28,0)&lt;2,0.5,IF(ROUNDDOWN((D$35-$B39)/Reference!$D$28,0)&lt;3,0.75,IF(ROUNDDOWN((D$35-$B39)/Reference!$D$28,0)&lt;4,0.875,0.9375)))))</f>
        <v>0</v>
      </c>
      <c r="E39" s="135">
        <f>HLOOKUP($B39,$C$35:$Q$36,2,FALSE)*Reference!$C$23*(1-IF(ROUNDDOWN((E$35-$B39)/Reference!$D$23,0)&lt;1,0,IF(ROUNDDOWN((E$35-$B39)/Reference!$D$23,0)&lt;2,0.5,IF(ROUNDDOWN((E$35-$B39)/Reference!$D$23,0)&lt;3,0.75,IF(ROUNDDOWN((E$35-$B39)/Reference!$D$23,0)&lt;4,0.875,0.9375)))))+HLOOKUP($B39,$C$35:$Q$36,2,FALSE)*Reference!$C$24*(1-IF(ROUNDDOWN((E$35-$B39)/Reference!$D$24,0)&lt;1,0,IF(ROUNDDOWN((E$35-$B39)/Reference!$D$24,0)&lt;2,0.5,IF(ROUNDDOWN((E$35-$B39)/Reference!$D$24,0)&lt;3,0.75,IF(ROUNDDOWN((E$35-$B39)/Reference!$D$24,0)&lt;4,0.875,0.9375)))))+HLOOKUP($B39,$C$35:$Q$36,2,FALSE)*Reference!$C$25*(1-IF(ROUNDDOWN((E$35-$B39)/Reference!$D$25,0)&lt;1,0,IF(ROUNDDOWN((E$35-$B39)/Reference!$D$25,0)&lt;2,0.5,IF(ROUNDDOWN((E$35-$B39)/Reference!$D$25,0)&lt;3,0.75,IF(ROUNDDOWN((E$35-$B39)/Reference!$D$25,0)&lt;4,0.875,0.9375)))))+HLOOKUP($B39,$C$35:$Q$36,2,FALSE)*Reference!$C$26*(1-IF(ROUNDDOWN((E$35-$B39)/Reference!$D$26,0)&lt;1,0,IF(ROUNDDOWN((E$35-$B39)/Reference!$D$26,0)&lt;2,0.5,IF(ROUNDDOWN((E$35-$B39)/Reference!$D$26,0)&lt;3,0.75,IF(ROUNDDOWN((E$35-$B39)/Reference!$D$26,0)&lt;4,0.875,0.9375)))))+HLOOKUP($B39,$C$35:$Q$36,2,FALSE)*Reference!$C$27*(1-IF(ROUNDDOWN((E$35-$B39)/Reference!$D$27,0)&lt;1,0,IF(ROUNDDOWN((E$35-$B39)/Reference!$D$27,0)&lt;2,0.5,IF(ROUNDDOWN((E$35-$B39)/Reference!$D$27,0)&lt;3,0.75,IF(ROUNDDOWN((E$35-$B39)/Reference!$D$27,0)&lt;4,0.875,0.9375)))))+HLOOKUP($B39,$C$35:$Q$36,2,FALSE)*Reference!$C$28*(1-IF(ROUNDDOWN((E$35-$B39)/Reference!$D$28,0)&lt;1,0,IF(ROUNDDOWN((E$35-$B39)/Reference!$D$28,0)&lt;2,0.5,IF(ROUNDDOWN((E$35-$B39)/Reference!$D$28,0)&lt;3,0.75,IF(ROUNDDOWN((E$35-$B39)/Reference!$D$28,0)&lt;4,0.875,0.9375)))))</f>
        <v>0</v>
      </c>
      <c r="F39" s="135">
        <f>HLOOKUP($B39,$C$35:$Q$36,2,FALSE)*Reference!$C$23*(1-IF(ROUNDDOWN((F$35-$B39)/Reference!$D$23,0)&lt;1,0,IF(ROUNDDOWN((F$35-$B39)/Reference!$D$23,0)&lt;2,0.5,IF(ROUNDDOWN((F$35-$B39)/Reference!$D$23,0)&lt;3,0.75,IF(ROUNDDOWN((F$35-$B39)/Reference!$D$23,0)&lt;4,0.875,0.9375)))))+HLOOKUP($B39,$C$35:$Q$36,2,FALSE)*Reference!$C$24*(1-IF(ROUNDDOWN((F$35-$B39)/Reference!$D$24,0)&lt;1,0,IF(ROUNDDOWN((F$35-$B39)/Reference!$D$24,0)&lt;2,0.5,IF(ROUNDDOWN((F$35-$B39)/Reference!$D$24,0)&lt;3,0.75,IF(ROUNDDOWN((F$35-$B39)/Reference!$D$24,0)&lt;4,0.875,0.9375)))))+HLOOKUP($B39,$C$35:$Q$36,2,FALSE)*Reference!$C$25*(1-IF(ROUNDDOWN((F$35-$B39)/Reference!$D$25,0)&lt;1,0,IF(ROUNDDOWN((F$35-$B39)/Reference!$D$25,0)&lt;2,0.5,IF(ROUNDDOWN((F$35-$B39)/Reference!$D$25,0)&lt;3,0.75,IF(ROUNDDOWN((F$35-$B39)/Reference!$D$25,0)&lt;4,0.875,0.9375)))))+HLOOKUP($B39,$C$35:$Q$36,2,FALSE)*Reference!$C$26*(1-IF(ROUNDDOWN((F$35-$B39)/Reference!$D$26,0)&lt;1,0,IF(ROUNDDOWN((F$35-$B39)/Reference!$D$26,0)&lt;2,0.5,IF(ROUNDDOWN((F$35-$B39)/Reference!$D$26,0)&lt;3,0.75,IF(ROUNDDOWN((F$35-$B39)/Reference!$D$26,0)&lt;4,0.875,0.9375)))))+HLOOKUP($B39,$C$35:$Q$36,2,FALSE)*Reference!$C$27*(1-IF(ROUNDDOWN((F$35-$B39)/Reference!$D$27,0)&lt;1,0,IF(ROUNDDOWN((F$35-$B39)/Reference!$D$27,0)&lt;2,0.5,IF(ROUNDDOWN((F$35-$B39)/Reference!$D$27,0)&lt;3,0.75,IF(ROUNDDOWN((F$35-$B39)/Reference!$D$27,0)&lt;4,0.875,0.9375)))))+HLOOKUP($B39,$C$35:$Q$36,2,FALSE)*Reference!$C$28*(1-IF(ROUNDDOWN((F$35-$B39)/Reference!$D$28,0)&lt;1,0,IF(ROUNDDOWN((F$35-$B39)/Reference!$D$28,0)&lt;2,0.5,IF(ROUNDDOWN((F$35-$B39)/Reference!$D$28,0)&lt;3,0.75,IF(ROUNDDOWN((F$35-$B39)/Reference!$D$28,0)&lt;4,0.875,0.9375)))))</f>
        <v>0</v>
      </c>
      <c r="G39" s="135">
        <f>HLOOKUP($B39,$C$35:$Q$36,2,FALSE)*Reference!$C$23*(1-IF(ROUNDDOWN((G$35-$B39)/Reference!$D$23,0)&lt;1,0,IF(ROUNDDOWN((G$35-$B39)/Reference!$D$23,0)&lt;2,0.5,IF(ROUNDDOWN((G$35-$B39)/Reference!$D$23,0)&lt;3,0.75,IF(ROUNDDOWN((G$35-$B39)/Reference!$D$23,0)&lt;4,0.875,0.9375)))))+HLOOKUP($B39,$C$35:$Q$36,2,FALSE)*Reference!$C$24*(1-IF(ROUNDDOWN((G$35-$B39)/Reference!$D$24,0)&lt;1,0,IF(ROUNDDOWN((G$35-$B39)/Reference!$D$24,0)&lt;2,0.5,IF(ROUNDDOWN((G$35-$B39)/Reference!$D$24,0)&lt;3,0.75,IF(ROUNDDOWN((G$35-$B39)/Reference!$D$24,0)&lt;4,0.875,0.9375)))))+HLOOKUP($B39,$C$35:$Q$36,2,FALSE)*Reference!$C$25*(1-IF(ROUNDDOWN((G$35-$B39)/Reference!$D$25,0)&lt;1,0,IF(ROUNDDOWN((G$35-$B39)/Reference!$D$25,0)&lt;2,0.5,IF(ROUNDDOWN((G$35-$B39)/Reference!$D$25,0)&lt;3,0.75,IF(ROUNDDOWN((G$35-$B39)/Reference!$D$25,0)&lt;4,0.875,0.9375)))))+HLOOKUP($B39,$C$35:$Q$36,2,FALSE)*Reference!$C$26*(1-IF(ROUNDDOWN((G$35-$B39)/Reference!$D$26,0)&lt;1,0,IF(ROUNDDOWN((G$35-$B39)/Reference!$D$26,0)&lt;2,0.5,IF(ROUNDDOWN((G$35-$B39)/Reference!$D$26,0)&lt;3,0.75,IF(ROUNDDOWN((G$35-$B39)/Reference!$D$26,0)&lt;4,0.875,0.9375)))))+HLOOKUP($B39,$C$35:$Q$36,2,FALSE)*Reference!$C$27*(1-IF(ROUNDDOWN((G$35-$B39)/Reference!$D$27,0)&lt;1,0,IF(ROUNDDOWN((G$35-$B39)/Reference!$D$27,0)&lt;2,0.5,IF(ROUNDDOWN((G$35-$B39)/Reference!$D$27,0)&lt;3,0.75,IF(ROUNDDOWN((G$35-$B39)/Reference!$D$27,0)&lt;4,0.875,0.9375)))))+HLOOKUP($B39,$C$35:$Q$36,2,FALSE)*Reference!$C$28*(1-IF(ROUNDDOWN((G$35-$B39)/Reference!$D$28,0)&lt;1,0,IF(ROUNDDOWN((G$35-$B39)/Reference!$D$28,0)&lt;2,0.5,IF(ROUNDDOWN((G$35-$B39)/Reference!$D$28,0)&lt;3,0.75,IF(ROUNDDOWN((G$35-$B39)/Reference!$D$28,0)&lt;4,0.875,0.9375)))))</f>
        <v>0</v>
      </c>
      <c r="H39" s="135">
        <f>HLOOKUP($B39,$C$35:$Q$36,2,FALSE)*Reference!$C$23*(1-IF(ROUNDDOWN((H$35-$B39)/Reference!$D$23,0)&lt;1,0,IF(ROUNDDOWN((H$35-$B39)/Reference!$D$23,0)&lt;2,0.5,IF(ROUNDDOWN((H$35-$B39)/Reference!$D$23,0)&lt;3,0.75,IF(ROUNDDOWN((H$35-$B39)/Reference!$D$23,0)&lt;4,0.875,0.9375)))))+HLOOKUP($B39,$C$35:$Q$36,2,FALSE)*Reference!$C$24*(1-IF(ROUNDDOWN((H$35-$B39)/Reference!$D$24,0)&lt;1,0,IF(ROUNDDOWN((H$35-$B39)/Reference!$D$24,0)&lt;2,0.5,IF(ROUNDDOWN((H$35-$B39)/Reference!$D$24,0)&lt;3,0.75,IF(ROUNDDOWN((H$35-$B39)/Reference!$D$24,0)&lt;4,0.875,0.9375)))))+HLOOKUP($B39,$C$35:$Q$36,2,FALSE)*Reference!$C$25*(1-IF(ROUNDDOWN((H$35-$B39)/Reference!$D$25,0)&lt;1,0,IF(ROUNDDOWN((H$35-$B39)/Reference!$D$25,0)&lt;2,0.5,IF(ROUNDDOWN((H$35-$B39)/Reference!$D$25,0)&lt;3,0.75,IF(ROUNDDOWN((H$35-$B39)/Reference!$D$25,0)&lt;4,0.875,0.9375)))))+HLOOKUP($B39,$C$35:$Q$36,2,FALSE)*Reference!$C$26*(1-IF(ROUNDDOWN((H$35-$B39)/Reference!$D$26,0)&lt;1,0,IF(ROUNDDOWN((H$35-$B39)/Reference!$D$26,0)&lt;2,0.5,IF(ROUNDDOWN((H$35-$B39)/Reference!$D$26,0)&lt;3,0.75,IF(ROUNDDOWN((H$35-$B39)/Reference!$D$26,0)&lt;4,0.875,0.9375)))))+HLOOKUP($B39,$C$35:$Q$36,2,FALSE)*Reference!$C$27*(1-IF(ROUNDDOWN((H$35-$B39)/Reference!$D$27,0)&lt;1,0,IF(ROUNDDOWN((H$35-$B39)/Reference!$D$27,0)&lt;2,0.5,IF(ROUNDDOWN((H$35-$B39)/Reference!$D$27,0)&lt;3,0.75,IF(ROUNDDOWN((H$35-$B39)/Reference!$D$27,0)&lt;4,0.875,0.9375)))))+HLOOKUP($B39,$C$35:$Q$36,2,FALSE)*Reference!$C$28*(1-IF(ROUNDDOWN((H$35-$B39)/Reference!$D$28,0)&lt;1,0,IF(ROUNDDOWN((H$35-$B39)/Reference!$D$28,0)&lt;2,0.5,IF(ROUNDDOWN((H$35-$B39)/Reference!$D$28,0)&lt;3,0.75,IF(ROUNDDOWN((H$35-$B39)/Reference!$D$28,0)&lt;4,0.875,0.9375)))))</f>
        <v>0</v>
      </c>
      <c r="I39" s="135">
        <f>HLOOKUP($B39,$C$35:$Q$36,2,FALSE)*Reference!$C$23*(1-IF(ROUNDDOWN((I$35-$B39)/Reference!$D$23,0)&lt;1,0,IF(ROUNDDOWN((I$35-$B39)/Reference!$D$23,0)&lt;2,0.5,IF(ROUNDDOWN((I$35-$B39)/Reference!$D$23,0)&lt;3,0.75,IF(ROUNDDOWN((I$35-$B39)/Reference!$D$23,0)&lt;4,0.875,0.9375)))))+HLOOKUP($B39,$C$35:$Q$36,2,FALSE)*Reference!$C$24*(1-IF(ROUNDDOWN((I$35-$B39)/Reference!$D$24,0)&lt;1,0,IF(ROUNDDOWN((I$35-$B39)/Reference!$D$24,0)&lt;2,0.5,IF(ROUNDDOWN((I$35-$B39)/Reference!$D$24,0)&lt;3,0.75,IF(ROUNDDOWN((I$35-$B39)/Reference!$D$24,0)&lt;4,0.875,0.9375)))))+HLOOKUP($B39,$C$35:$Q$36,2,FALSE)*Reference!$C$25*(1-IF(ROUNDDOWN((I$35-$B39)/Reference!$D$25,0)&lt;1,0,IF(ROUNDDOWN((I$35-$B39)/Reference!$D$25,0)&lt;2,0.5,IF(ROUNDDOWN((I$35-$B39)/Reference!$D$25,0)&lt;3,0.75,IF(ROUNDDOWN((I$35-$B39)/Reference!$D$25,0)&lt;4,0.875,0.9375)))))+HLOOKUP($B39,$C$35:$Q$36,2,FALSE)*Reference!$C$26*(1-IF(ROUNDDOWN((I$35-$B39)/Reference!$D$26,0)&lt;1,0,IF(ROUNDDOWN((I$35-$B39)/Reference!$D$26,0)&lt;2,0.5,IF(ROUNDDOWN((I$35-$B39)/Reference!$D$26,0)&lt;3,0.75,IF(ROUNDDOWN((I$35-$B39)/Reference!$D$26,0)&lt;4,0.875,0.9375)))))+HLOOKUP($B39,$C$35:$Q$36,2,FALSE)*Reference!$C$27*(1-IF(ROUNDDOWN((I$35-$B39)/Reference!$D$27,0)&lt;1,0,IF(ROUNDDOWN((I$35-$B39)/Reference!$D$27,0)&lt;2,0.5,IF(ROUNDDOWN((I$35-$B39)/Reference!$D$27,0)&lt;3,0.75,IF(ROUNDDOWN((I$35-$B39)/Reference!$D$27,0)&lt;4,0.875,0.9375)))))+HLOOKUP($B39,$C$35:$Q$36,2,FALSE)*Reference!$C$28*(1-IF(ROUNDDOWN((I$35-$B39)/Reference!$D$28,0)&lt;1,0,IF(ROUNDDOWN((I$35-$B39)/Reference!$D$28,0)&lt;2,0.5,IF(ROUNDDOWN((I$35-$B39)/Reference!$D$28,0)&lt;3,0.75,IF(ROUNDDOWN((I$35-$B39)/Reference!$D$28,0)&lt;4,0.875,0.9375)))))</f>
        <v>0</v>
      </c>
      <c r="J39" s="135">
        <f>HLOOKUP($B39,$C$35:$Q$36,2,FALSE)*Reference!$C$23*(1-IF(ROUNDDOWN((J$35-$B39)/Reference!$D$23,0)&lt;1,0,IF(ROUNDDOWN((J$35-$B39)/Reference!$D$23,0)&lt;2,0.5,IF(ROUNDDOWN((J$35-$B39)/Reference!$D$23,0)&lt;3,0.75,IF(ROUNDDOWN((J$35-$B39)/Reference!$D$23,0)&lt;4,0.875,0.9375)))))+HLOOKUP($B39,$C$35:$Q$36,2,FALSE)*Reference!$C$24*(1-IF(ROUNDDOWN((J$35-$B39)/Reference!$D$24,0)&lt;1,0,IF(ROUNDDOWN((J$35-$B39)/Reference!$D$24,0)&lt;2,0.5,IF(ROUNDDOWN((J$35-$B39)/Reference!$D$24,0)&lt;3,0.75,IF(ROUNDDOWN((J$35-$B39)/Reference!$D$24,0)&lt;4,0.875,0.9375)))))+HLOOKUP($B39,$C$35:$Q$36,2,FALSE)*Reference!$C$25*(1-IF(ROUNDDOWN((J$35-$B39)/Reference!$D$25,0)&lt;1,0,IF(ROUNDDOWN((J$35-$B39)/Reference!$D$25,0)&lt;2,0.5,IF(ROUNDDOWN((J$35-$B39)/Reference!$D$25,0)&lt;3,0.75,IF(ROUNDDOWN((J$35-$B39)/Reference!$D$25,0)&lt;4,0.875,0.9375)))))+HLOOKUP($B39,$C$35:$Q$36,2,FALSE)*Reference!$C$26*(1-IF(ROUNDDOWN((J$35-$B39)/Reference!$D$26,0)&lt;1,0,IF(ROUNDDOWN((J$35-$B39)/Reference!$D$26,0)&lt;2,0.5,IF(ROUNDDOWN((J$35-$B39)/Reference!$D$26,0)&lt;3,0.75,IF(ROUNDDOWN((J$35-$B39)/Reference!$D$26,0)&lt;4,0.875,0.9375)))))+HLOOKUP($B39,$C$35:$Q$36,2,FALSE)*Reference!$C$27*(1-IF(ROUNDDOWN((J$35-$B39)/Reference!$D$27,0)&lt;1,0,IF(ROUNDDOWN((J$35-$B39)/Reference!$D$27,0)&lt;2,0.5,IF(ROUNDDOWN((J$35-$B39)/Reference!$D$27,0)&lt;3,0.75,IF(ROUNDDOWN((J$35-$B39)/Reference!$D$27,0)&lt;4,0.875,0.9375)))))+HLOOKUP($B39,$C$35:$Q$36,2,FALSE)*Reference!$C$28*(1-IF(ROUNDDOWN((J$35-$B39)/Reference!$D$28,0)&lt;1,0,IF(ROUNDDOWN((J$35-$B39)/Reference!$D$28,0)&lt;2,0.5,IF(ROUNDDOWN((J$35-$B39)/Reference!$D$28,0)&lt;3,0.75,IF(ROUNDDOWN((J$35-$B39)/Reference!$D$28,0)&lt;4,0.875,0.9375)))))</f>
        <v>0</v>
      </c>
      <c r="K39" s="135">
        <f>HLOOKUP($B39,$C$35:$Q$36,2,FALSE)*Reference!$C$23*(1-IF(ROUNDDOWN((K$35-$B39)/Reference!$D$23,0)&lt;1,0,IF(ROUNDDOWN((K$35-$B39)/Reference!$D$23,0)&lt;2,0.5,IF(ROUNDDOWN((K$35-$B39)/Reference!$D$23,0)&lt;3,0.75,IF(ROUNDDOWN((K$35-$B39)/Reference!$D$23,0)&lt;4,0.875,0.9375)))))+HLOOKUP($B39,$C$35:$Q$36,2,FALSE)*Reference!$C$24*(1-IF(ROUNDDOWN((K$35-$B39)/Reference!$D$24,0)&lt;1,0,IF(ROUNDDOWN((K$35-$B39)/Reference!$D$24,0)&lt;2,0.5,IF(ROUNDDOWN((K$35-$B39)/Reference!$D$24,0)&lt;3,0.75,IF(ROUNDDOWN((K$35-$B39)/Reference!$D$24,0)&lt;4,0.875,0.9375)))))+HLOOKUP($B39,$C$35:$Q$36,2,FALSE)*Reference!$C$25*(1-IF(ROUNDDOWN((K$35-$B39)/Reference!$D$25,0)&lt;1,0,IF(ROUNDDOWN((K$35-$B39)/Reference!$D$25,0)&lt;2,0.5,IF(ROUNDDOWN((K$35-$B39)/Reference!$D$25,0)&lt;3,0.75,IF(ROUNDDOWN((K$35-$B39)/Reference!$D$25,0)&lt;4,0.875,0.9375)))))+HLOOKUP($B39,$C$35:$Q$36,2,FALSE)*Reference!$C$26*(1-IF(ROUNDDOWN((K$35-$B39)/Reference!$D$26,0)&lt;1,0,IF(ROUNDDOWN((K$35-$B39)/Reference!$D$26,0)&lt;2,0.5,IF(ROUNDDOWN((K$35-$B39)/Reference!$D$26,0)&lt;3,0.75,IF(ROUNDDOWN((K$35-$B39)/Reference!$D$26,0)&lt;4,0.875,0.9375)))))+HLOOKUP($B39,$C$35:$Q$36,2,FALSE)*Reference!$C$27*(1-IF(ROUNDDOWN((K$35-$B39)/Reference!$D$27,0)&lt;1,0,IF(ROUNDDOWN((K$35-$B39)/Reference!$D$27,0)&lt;2,0.5,IF(ROUNDDOWN((K$35-$B39)/Reference!$D$27,0)&lt;3,0.75,IF(ROUNDDOWN((K$35-$B39)/Reference!$D$27,0)&lt;4,0.875,0.9375)))))+HLOOKUP($B39,$C$35:$Q$36,2,FALSE)*Reference!$C$28*(1-IF(ROUNDDOWN((K$35-$B39)/Reference!$D$28,0)&lt;1,0,IF(ROUNDDOWN((K$35-$B39)/Reference!$D$28,0)&lt;2,0.5,IF(ROUNDDOWN((K$35-$B39)/Reference!$D$28,0)&lt;3,0.75,IF(ROUNDDOWN((K$35-$B39)/Reference!$D$28,0)&lt;4,0.875,0.9375)))))</f>
        <v>0</v>
      </c>
      <c r="L39" s="135">
        <f>HLOOKUP($B39,$C$35:$Q$36,2,FALSE)*Reference!$C$23*(1-IF(ROUNDDOWN((L$35-$B39)/Reference!$D$23,0)&lt;1,0,IF(ROUNDDOWN((L$35-$B39)/Reference!$D$23,0)&lt;2,0.5,IF(ROUNDDOWN((L$35-$B39)/Reference!$D$23,0)&lt;3,0.75,IF(ROUNDDOWN((L$35-$B39)/Reference!$D$23,0)&lt;4,0.875,0.9375)))))+HLOOKUP($B39,$C$35:$Q$36,2,FALSE)*Reference!$C$24*(1-IF(ROUNDDOWN((L$35-$B39)/Reference!$D$24,0)&lt;1,0,IF(ROUNDDOWN((L$35-$B39)/Reference!$D$24,0)&lt;2,0.5,IF(ROUNDDOWN((L$35-$B39)/Reference!$D$24,0)&lt;3,0.75,IF(ROUNDDOWN((L$35-$B39)/Reference!$D$24,0)&lt;4,0.875,0.9375)))))+HLOOKUP($B39,$C$35:$Q$36,2,FALSE)*Reference!$C$25*(1-IF(ROUNDDOWN((L$35-$B39)/Reference!$D$25,0)&lt;1,0,IF(ROUNDDOWN((L$35-$B39)/Reference!$D$25,0)&lt;2,0.5,IF(ROUNDDOWN((L$35-$B39)/Reference!$D$25,0)&lt;3,0.75,IF(ROUNDDOWN((L$35-$B39)/Reference!$D$25,0)&lt;4,0.875,0.9375)))))+HLOOKUP($B39,$C$35:$Q$36,2,FALSE)*Reference!$C$26*(1-IF(ROUNDDOWN((L$35-$B39)/Reference!$D$26,0)&lt;1,0,IF(ROUNDDOWN((L$35-$B39)/Reference!$D$26,0)&lt;2,0.5,IF(ROUNDDOWN((L$35-$B39)/Reference!$D$26,0)&lt;3,0.75,IF(ROUNDDOWN((L$35-$B39)/Reference!$D$26,0)&lt;4,0.875,0.9375)))))+HLOOKUP($B39,$C$35:$Q$36,2,FALSE)*Reference!$C$27*(1-IF(ROUNDDOWN((L$35-$B39)/Reference!$D$27,0)&lt;1,0,IF(ROUNDDOWN((L$35-$B39)/Reference!$D$27,0)&lt;2,0.5,IF(ROUNDDOWN((L$35-$B39)/Reference!$D$27,0)&lt;3,0.75,IF(ROUNDDOWN((L$35-$B39)/Reference!$D$27,0)&lt;4,0.875,0.9375)))))+HLOOKUP($B39,$C$35:$Q$36,2,FALSE)*Reference!$C$28*(1-IF(ROUNDDOWN((L$35-$B39)/Reference!$D$28,0)&lt;1,0,IF(ROUNDDOWN((L$35-$B39)/Reference!$D$28,0)&lt;2,0.5,IF(ROUNDDOWN((L$35-$B39)/Reference!$D$28,0)&lt;3,0.75,IF(ROUNDDOWN((L$35-$B39)/Reference!$D$28,0)&lt;4,0.875,0.9375)))))</f>
        <v>0</v>
      </c>
      <c r="M39" s="135">
        <f>HLOOKUP($B39,$C$35:$Q$36,2,FALSE)*Reference!$C$23*(1-IF(ROUNDDOWN((M$35-$B39)/Reference!$D$23,0)&lt;1,0,IF(ROUNDDOWN((M$35-$B39)/Reference!$D$23,0)&lt;2,0.5,IF(ROUNDDOWN((M$35-$B39)/Reference!$D$23,0)&lt;3,0.75,IF(ROUNDDOWN((M$35-$B39)/Reference!$D$23,0)&lt;4,0.875,0.9375)))))+HLOOKUP($B39,$C$35:$Q$36,2,FALSE)*Reference!$C$24*(1-IF(ROUNDDOWN((M$35-$B39)/Reference!$D$24,0)&lt;1,0,IF(ROUNDDOWN((M$35-$B39)/Reference!$D$24,0)&lt;2,0.5,IF(ROUNDDOWN((M$35-$B39)/Reference!$D$24,0)&lt;3,0.75,IF(ROUNDDOWN((M$35-$B39)/Reference!$D$24,0)&lt;4,0.875,0.9375)))))+HLOOKUP($B39,$C$35:$Q$36,2,FALSE)*Reference!$C$25*(1-IF(ROUNDDOWN((M$35-$B39)/Reference!$D$25,0)&lt;1,0,IF(ROUNDDOWN((M$35-$B39)/Reference!$D$25,0)&lt;2,0.5,IF(ROUNDDOWN((M$35-$B39)/Reference!$D$25,0)&lt;3,0.75,IF(ROUNDDOWN((M$35-$B39)/Reference!$D$25,0)&lt;4,0.875,0.9375)))))+HLOOKUP($B39,$C$35:$Q$36,2,FALSE)*Reference!$C$26*(1-IF(ROUNDDOWN((M$35-$B39)/Reference!$D$26,0)&lt;1,0,IF(ROUNDDOWN((M$35-$B39)/Reference!$D$26,0)&lt;2,0.5,IF(ROUNDDOWN((M$35-$B39)/Reference!$D$26,0)&lt;3,0.75,IF(ROUNDDOWN((M$35-$B39)/Reference!$D$26,0)&lt;4,0.875,0.9375)))))+HLOOKUP($B39,$C$35:$Q$36,2,FALSE)*Reference!$C$27*(1-IF(ROUNDDOWN((M$35-$B39)/Reference!$D$27,0)&lt;1,0,IF(ROUNDDOWN((M$35-$B39)/Reference!$D$27,0)&lt;2,0.5,IF(ROUNDDOWN((M$35-$B39)/Reference!$D$27,0)&lt;3,0.75,IF(ROUNDDOWN((M$35-$B39)/Reference!$D$27,0)&lt;4,0.875,0.9375)))))+HLOOKUP($B39,$C$35:$Q$36,2,FALSE)*Reference!$C$28*(1-IF(ROUNDDOWN((M$35-$B39)/Reference!$D$28,0)&lt;1,0,IF(ROUNDDOWN((M$35-$B39)/Reference!$D$28,0)&lt;2,0.5,IF(ROUNDDOWN((M$35-$B39)/Reference!$D$28,0)&lt;3,0.75,IF(ROUNDDOWN((M$35-$B39)/Reference!$D$28,0)&lt;4,0.875,0.9375)))))</f>
        <v>0</v>
      </c>
      <c r="N39" s="135">
        <f>HLOOKUP($B39,$C$35:$Q$36,2,FALSE)*Reference!$C$23*(1-IF(ROUNDDOWN((N$35-$B39)/Reference!$D$23,0)&lt;1,0,IF(ROUNDDOWN((N$35-$B39)/Reference!$D$23,0)&lt;2,0.5,IF(ROUNDDOWN((N$35-$B39)/Reference!$D$23,0)&lt;3,0.75,IF(ROUNDDOWN((N$35-$B39)/Reference!$D$23,0)&lt;4,0.875,0.9375)))))+HLOOKUP($B39,$C$35:$Q$36,2,FALSE)*Reference!$C$24*(1-IF(ROUNDDOWN((N$35-$B39)/Reference!$D$24,0)&lt;1,0,IF(ROUNDDOWN((N$35-$B39)/Reference!$D$24,0)&lt;2,0.5,IF(ROUNDDOWN((N$35-$B39)/Reference!$D$24,0)&lt;3,0.75,IF(ROUNDDOWN((N$35-$B39)/Reference!$D$24,0)&lt;4,0.875,0.9375)))))+HLOOKUP($B39,$C$35:$Q$36,2,FALSE)*Reference!$C$25*(1-IF(ROUNDDOWN((N$35-$B39)/Reference!$D$25,0)&lt;1,0,IF(ROUNDDOWN((N$35-$B39)/Reference!$D$25,0)&lt;2,0.5,IF(ROUNDDOWN((N$35-$B39)/Reference!$D$25,0)&lt;3,0.75,IF(ROUNDDOWN((N$35-$B39)/Reference!$D$25,0)&lt;4,0.875,0.9375)))))+HLOOKUP($B39,$C$35:$Q$36,2,FALSE)*Reference!$C$26*(1-IF(ROUNDDOWN((N$35-$B39)/Reference!$D$26,0)&lt;1,0,IF(ROUNDDOWN((N$35-$B39)/Reference!$D$26,0)&lt;2,0.5,IF(ROUNDDOWN((N$35-$B39)/Reference!$D$26,0)&lt;3,0.75,IF(ROUNDDOWN((N$35-$B39)/Reference!$D$26,0)&lt;4,0.875,0.9375)))))+HLOOKUP($B39,$C$35:$Q$36,2,FALSE)*Reference!$C$27*(1-IF(ROUNDDOWN((N$35-$B39)/Reference!$D$27,0)&lt;1,0,IF(ROUNDDOWN((N$35-$B39)/Reference!$D$27,0)&lt;2,0.5,IF(ROUNDDOWN((N$35-$B39)/Reference!$D$27,0)&lt;3,0.75,IF(ROUNDDOWN((N$35-$B39)/Reference!$D$27,0)&lt;4,0.875,0.9375)))))+HLOOKUP($B39,$C$35:$Q$36,2,FALSE)*Reference!$C$28*(1-IF(ROUNDDOWN((N$35-$B39)/Reference!$D$28,0)&lt;1,0,IF(ROUNDDOWN((N$35-$B39)/Reference!$D$28,0)&lt;2,0.5,IF(ROUNDDOWN((N$35-$B39)/Reference!$D$28,0)&lt;3,0.75,IF(ROUNDDOWN((N$35-$B39)/Reference!$D$28,0)&lt;4,0.875,0.9375)))))</f>
        <v>0</v>
      </c>
      <c r="O39" s="135">
        <f>HLOOKUP($B39,$C$35:$Q$36,2,FALSE)*Reference!$C$23*(1-IF(ROUNDDOWN((O$35-$B39)/Reference!$D$23,0)&lt;1,0,IF(ROUNDDOWN((O$35-$B39)/Reference!$D$23,0)&lt;2,0.5,IF(ROUNDDOWN((O$35-$B39)/Reference!$D$23,0)&lt;3,0.75,IF(ROUNDDOWN((O$35-$B39)/Reference!$D$23,0)&lt;4,0.875,0.9375)))))+HLOOKUP($B39,$C$35:$Q$36,2,FALSE)*Reference!$C$24*(1-IF(ROUNDDOWN((O$35-$B39)/Reference!$D$24,0)&lt;1,0,IF(ROUNDDOWN((O$35-$B39)/Reference!$D$24,0)&lt;2,0.5,IF(ROUNDDOWN((O$35-$B39)/Reference!$D$24,0)&lt;3,0.75,IF(ROUNDDOWN((O$35-$B39)/Reference!$D$24,0)&lt;4,0.875,0.9375)))))+HLOOKUP($B39,$C$35:$Q$36,2,FALSE)*Reference!$C$25*(1-IF(ROUNDDOWN((O$35-$B39)/Reference!$D$25,0)&lt;1,0,IF(ROUNDDOWN((O$35-$B39)/Reference!$D$25,0)&lt;2,0.5,IF(ROUNDDOWN((O$35-$B39)/Reference!$D$25,0)&lt;3,0.75,IF(ROUNDDOWN((O$35-$B39)/Reference!$D$25,0)&lt;4,0.875,0.9375)))))+HLOOKUP($B39,$C$35:$Q$36,2,FALSE)*Reference!$C$26*(1-IF(ROUNDDOWN((O$35-$B39)/Reference!$D$26,0)&lt;1,0,IF(ROUNDDOWN((O$35-$B39)/Reference!$D$26,0)&lt;2,0.5,IF(ROUNDDOWN((O$35-$B39)/Reference!$D$26,0)&lt;3,0.75,IF(ROUNDDOWN((O$35-$B39)/Reference!$D$26,0)&lt;4,0.875,0.9375)))))+HLOOKUP($B39,$C$35:$Q$36,2,FALSE)*Reference!$C$27*(1-IF(ROUNDDOWN((O$35-$B39)/Reference!$D$27,0)&lt;1,0,IF(ROUNDDOWN((O$35-$B39)/Reference!$D$27,0)&lt;2,0.5,IF(ROUNDDOWN((O$35-$B39)/Reference!$D$27,0)&lt;3,0.75,IF(ROUNDDOWN((O$35-$B39)/Reference!$D$27,0)&lt;4,0.875,0.9375)))))+HLOOKUP($B39,$C$35:$Q$36,2,FALSE)*Reference!$C$28*(1-IF(ROUNDDOWN((O$35-$B39)/Reference!$D$28,0)&lt;1,0,IF(ROUNDDOWN((O$35-$B39)/Reference!$D$28,0)&lt;2,0.5,IF(ROUNDDOWN((O$35-$B39)/Reference!$D$28,0)&lt;3,0.75,IF(ROUNDDOWN((O$35-$B39)/Reference!$D$28,0)&lt;4,0.875,0.9375)))))</f>
        <v>0</v>
      </c>
      <c r="P39" s="135">
        <f>HLOOKUP($B39,$C$35:$Q$36,2,FALSE)*Reference!$C$23*(1-IF(ROUNDDOWN((P$35-$B39)/Reference!$D$23,0)&lt;1,0,IF(ROUNDDOWN((P$35-$B39)/Reference!$D$23,0)&lt;2,0.5,IF(ROUNDDOWN((P$35-$B39)/Reference!$D$23,0)&lt;3,0.75,IF(ROUNDDOWN((P$35-$B39)/Reference!$D$23,0)&lt;4,0.875,0.9375)))))+HLOOKUP($B39,$C$35:$Q$36,2,FALSE)*Reference!$C$24*(1-IF(ROUNDDOWN((P$35-$B39)/Reference!$D$24,0)&lt;1,0,IF(ROUNDDOWN((P$35-$B39)/Reference!$D$24,0)&lt;2,0.5,IF(ROUNDDOWN((P$35-$B39)/Reference!$D$24,0)&lt;3,0.75,IF(ROUNDDOWN((P$35-$B39)/Reference!$D$24,0)&lt;4,0.875,0.9375)))))+HLOOKUP($B39,$C$35:$Q$36,2,FALSE)*Reference!$C$25*(1-IF(ROUNDDOWN((P$35-$B39)/Reference!$D$25,0)&lt;1,0,IF(ROUNDDOWN((P$35-$B39)/Reference!$D$25,0)&lt;2,0.5,IF(ROUNDDOWN((P$35-$B39)/Reference!$D$25,0)&lt;3,0.75,IF(ROUNDDOWN((P$35-$B39)/Reference!$D$25,0)&lt;4,0.875,0.9375)))))+HLOOKUP($B39,$C$35:$Q$36,2,FALSE)*Reference!$C$26*(1-IF(ROUNDDOWN((P$35-$B39)/Reference!$D$26,0)&lt;1,0,IF(ROUNDDOWN((P$35-$B39)/Reference!$D$26,0)&lt;2,0.5,IF(ROUNDDOWN((P$35-$B39)/Reference!$D$26,0)&lt;3,0.75,IF(ROUNDDOWN((P$35-$B39)/Reference!$D$26,0)&lt;4,0.875,0.9375)))))+HLOOKUP($B39,$C$35:$Q$36,2,FALSE)*Reference!$C$27*(1-IF(ROUNDDOWN((P$35-$B39)/Reference!$D$27,0)&lt;1,0,IF(ROUNDDOWN((P$35-$B39)/Reference!$D$27,0)&lt;2,0.5,IF(ROUNDDOWN((P$35-$B39)/Reference!$D$27,0)&lt;3,0.75,IF(ROUNDDOWN((P$35-$B39)/Reference!$D$27,0)&lt;4,0.875,0.9375)))))+HLOOKUP($B39,$C$35:$Q$36,2,FALSE)*Reference!$C$28*(1-IF(ROUNDDOWN((P$35-$B39)/Reference!$D$28,0)&lt;1,0,IF(ROUNDDOWN((P$35-$B39)/Reference!$D$28,0)&lt;2,0.5,IF(ROUNDDOWN((P$35-$B39)/Reference!$D$28,0)&lt;3,0.75,IF(ROUNDDOWN((P$35-$B39)/Reference!$D$28,0)&lt;4,0.875,0.9375)))))</f>
        <v>0</v>
      </c>
      <c r="Q39" s="135">
        <f>HLOOKUP($B39,$C$35:$Q$36,2,FALSE)*Reference!$C$23*(1-IF(ROUNDDOWN((Q$35-$B39)/Reference!$D$23,0)&lt;1,0,IF(ROUNDDOWN((Q$35-$B39)/Reference!$D$23,0)&lt;2,0.5,IF(ROUNDDOWN((Q$35-$B39)/Reference!$D$23,0)&lt;3,0.75,IF(ROUNDDOWN((Q$35-$B39)/Reference!$D$23,0)&lt;4,0.875,0.9375)))))+HLOOKUP($B39,$C$35:$Q$36,2,FALSE)*Reference!$C$24*(1-IF(ROUNDDOWN((Q$35-$B39)/Reference!$D$24,0)&lt;1,0,IF(ROUNDDOWN((Q$35-$B39)/Reference!$D$24,0)&lt;2,0.5,IF(ROUNDDOWN((Q$35-$B39)/Reference!$D$24,0)&lt;3,0.75,IF(ROUNDDOWN((Q$35-$B39)/Reference!$D$24,0)&lt;4,0.875,0.9375)))))+HLOOKUP($B39,$C$35:$Q$36,2,FALSE)*Reference!$C$25*(1-IF(ROUNDDOWN((Q$35-$B39)/Reference!$D$25,0)&lt;1,0,IF(ROUNDDOWN((Q$35-$B39)/Reference!$D$25,0)&lt;2,0.5,IF(ROUNDDOWN((Q$35-$B39)/Reference!$D$25,0)&lt;3,0.75,IF(ROUNDDOWN((Q$35-$B39)/Reference!$D$25,0)&lt;4,0.875,0.9375)))))+HLOOKUP($B39,$C$35:$Q$36,2,FALSE)*Reference!$C$26*(1-IF(ROUNDDOWN((Q$35-$B39)/Reference!$D$26,0)&lt;1,0,IF(ROUNDDOWN((Q$35-$B39)/Reference!$D$26,0)&lt;2,0.5,IF(ROUNDDOWN((Q$35-$B39)/Reference!$D$26,0)&lt;3,0.75,IF(ROUNDDOWN((Q$35-$B39)/Reference!$D$26,0)&lt;4,0.875,0.9375)))))+HLOOKUP($B39,$C$35:$Q$36,2,FALSE)*Reference!$C$27*(1-IF(ROUNDDOWN((Q$35-$B39)/Reference!$D$27,0)&lt;1,0,IF(ROUNDDOWN((Q$35-$B39)/Reference!$D$27,0)&lt;2,0.5,IF(ROUNDDOWN((Q$35-$B39)/Reference!$D$27,0)&lt;3,0.75,IF(ROUNDDOWN((Q$35-$B39)/Reference!$D$27,0)&lt;4,0.875,0.9375)))))+HLOOKUP($B39,$C$35:$Q$36,2,FALSE)*Reference!$C$28*(1-IF(ROUNDDOWN((Q$35-$B39)/Reference!$D$28,0)&lt;1,0,IF(ROUNDDOWN((Q$35-$B39)/Reference!$D$28,0)&lt;2,0.5,IF(ROUNDDOWN((Q$35-$B39)/Reference!$D$28,0)&lt;3,0.75,IF(ROUNDDOWN((Q$35-$B39)/Reference!$D$28,0)&lt;4,0.875,0.9375)))))</f>
        <v>0</v>
      </c>
      <c r="R39" s="50"/>
    </row>
    <row r="40" spans="2:18" x14ac:dyDescent="0.3">
      <c r="B40" s="237">
        <f t="shared" ref="B40:B53" si="5">B39+1</f>
        <v>2016</v>
      </c>
      <c r="C40" s="135"/>
      <c r="D40" s="135">
        <f>HLOOKUP($B40,$C$35:$Q$36,2,FALSE)*Reference!$C$23*(1-IF(ROUNDDOWN((D$35-$B40)/Reference!$D$23,0)&lt;1,0,IF(ROUNDDOWN((D$35-$B40)/Reference!$D$23,0)&lt;2,0.5,IF(ROUNDDOWN((D$35-$B40)/Reference!$D$23,0)&lt;3,0.75,IF(ROUNDDOWN((D$35-$B40)/Reference!$D$23,0)&lt;4,0.875,0.9375)))))+HLOOKUP($B40,$C$35:$Q$36,2,FALSE)*Reference!$C$24*(1-IF(ROUNDDOWN((D$35-$B40)/Reference!$D$24,0)&lt;1,0,IF(ROUNDDOWN((D$35-$B40)/Reference!$D$24,0)&lt;2,0.5,IF(ROUNDDOWN((D$35-$B40)/Reference!$D$24,0)&lt;3,0.75,IF(ROUNDDOWN((D$35-$B40)/Reference!$D$24,0)&lt;4,0.875,0.9375)))))+HLOOKUP($B40,$C$35:$Q$36,2,FALSE)*Reference!$C$25*(1-IF(ROUNDDOWN((D$35-$B40)/Reference!$D$25,0)&lt;1,0,IF(ROUNDDOWN((D$35-$B40)/Reference!$D$25,0)&lt;2,0.5,IF(ROUNDDOWN((D$35-$B40)/Reference!$D$25,0)&lt;3,0.75,IF(ROUNDDOWN((D$35-$B40)/Reference!$D$25,0)&lt;4,0.875,0.9375)))))+HLOOKUP($B40,$C$35:$Q$36,2,FALSE)*Reference!$C$26*(1-IF(ROUNDDOWN((D$35-$B40)/Reference!$D$26,0)&lt;1,0,IF(ROUNDDOWN((D$35-$B40)/Reference!$D$26,0)&lt;2,0.5,IF(ROUNDDOWN((D$35-$B40)/Reference!$D$26,0)&lt;3,0.75,IF(ROUNDDOWN((D$35-$B40)/Reference!$D$26,0)&lt;4,0.875,0.9375)))))+HLOOKUP($B40,$C$35:$Q$36,2,FALSE)*Reference!$C$27*(1-IF(ROUNDDOWN((D$35-$B40)/Reference!$D$27,0)&lt;1,0,IF(ROUNDDOWN((D$35-$B40)/Reference!$D$27,0)&lt;2,0.5,IF(ROUNDDOWN((D$35-$B40)/Reference!$D$27,0)&lt;3,0.75,IF(ROUNDDOWN((D$35-$B40)/Reference!$D$27,0)&lt;4,0.875,0.9375)))))+HLOOKUP($B40,$C$35:$Q$36,2,FALSE)*Reference!$C$28*(1-IF(ROUNDDOWN((D$35-$B40)/Reference!$D$28,0)&lt;1,0,IF(ROUNDDOWN((D$35-$B40)/Reference!$D$28,0)&lt;2,0.5,IF(ROUNDDOWN((D$35-$B40)/Reference!$D$28,0)&lt;3,0.75,IF(ROUNDDOWN((D$35-$B40)/Reference!$D$28,0)&lt;4,0.875,0.9375)))))</f>
        <v>0</v>
      </c>
      <c r="E40" s="135">
        <f>HLOOKUP($B40,$C$35:$Q$36,2,FALSE)*Reference!$C$23*(1-IF(ROUNDDOWN((E$35-$B40)/Reference!$D$23,0)&lt;1,0,IF(ROUNDDOWN((E$35-$B40)/Reference!$D$23,0)&lt;2,0.5,IF(ROUNDDOWN((E$35-$B40)/Reference!$D$23,0)&lt;3,0.75,IF(ROUNDDOWN((E$35-$B40)/Reference!$D$23,0)&lt;4,0.875,0.9375)))))+HLOOKUP($B40,$C$35:$Q$36,2,FALSE)*Reference!$C$24*(1-IF(ROUNDDOWN((E$35-$B40)/Reference!$D$24,0)&lt;1,0,IF(ROUNDDOWN((E$35-$B40)/Reference!$D$24,0)&lt;2,0.5,IF(ROUNDDOWN((E$35-$B40)/Reference!$D$24,0)&lt;3,0.75,IF(ROUNDDOWN((E$35-$B40)/Reference!$D$24,0)&lt;4,0.875,0.9375)))))+HLOOKUP($B40,$C$35:$Q$36,2,FALSE)*Reference!$C$25*(1-IF(ROUNDDOWN((E$35-$B40)/Reference!$D$25,0)&lt;1,0,IF(ROUNDDOWN((E$35-$B40)/Reference!$D$25,0)&lt;2,0.5,IF(ROUNDDOWN((E$35-$B40)/Reference!$D$25,0)&lt;3,0.75,IF(ROUNDDOWN((E$35-$B40)/Reference!$D$25,0)&lt;4,0.875,0.9375)))))+HLOOKUP($B40,$C$35:$Q$36,2,FALSE)*Reference!$C$26*(1-IF(ROUNDDOWN((E$35-$B40)/Reference!$D$26,0)&lt;1,0,IF(ROUNDDOWN((E$35-$B40)/Reference!$D$26,0)&lt;2,0.5,IF(ROUNDDOWN((E$35-$B40)/Reference!$D$26,0)&lt;3,0.75,IF(ROUNDDOWN((E$35-$B40)/Reference!$D$26,0)&lt;4,0.875,0.9375)))))+HLOOKUP($B40,$C$35:$Q$36,2,FALSE)*Reference!$C$27*(1-IF(ROUNDDOWN((E$35-$B40)/Reference!$D$27,0)&lt;1,0,IF(ROUNDDOWN((E$35-$B40)/Reference!$D$27,0)&lt;2,0.5,IF(ROUNDDOWN((E$35-$B40)/Reference!$D$27,0)&lt;3,0.75,IF(ROUNDDOWN((E$35-$B40)/Reference!$D$27,0)&lt;4,0.875,0.9375)))))+HLOOKUP($B40,$C$35:$Q$36,2,FALSE)*Reference!$C$28*(1-IF(ROUNDDOWN((E$35-$B40)/Reference!$D$28,0)&lt;1,0,IF(ROUNDDOWN((E$35-$B40)/Reference!$D$28,0)&lt;2,0.5,IF(ROUNDDOWN((E$35-$B40)/Reference!$D$28,0)&lt;3,0.75,IF(ROUNDDOWN((E$35-$B40)/Reference!$D$28,0)&lt;4,0.875,0.9375)))))</f>
        <v>0</v>
      </c>
      <c r="F40" s="135">
        <f>HLOOKUP($B40,$C$35:$Q$36,2,FALSE)*Reference!$C$23*(1-IF(ROUNDDOWN((F$35-$B40)/Reference!$D$23,0)&lt;1,0,IF(ROUNDDOWN((F$35-$B40)/Reference!$D$23,0)&lt;2,0.5,IF(ROUNDDOWN((F$35-$B40)/Reference!$D$23,0)&lt;3,0.75,IF(ROUNDDOWN((F$35-$B40)/Reference!$D$23,0)&lt;4,0.875,0.9375)))))+HLOOKUP($B40,$C$35:$Q$36,2,FALSE)*Reference!$C$24*(1-IF(ROUNDDOWN((F$35-$B40)/Reference!$D$24,0)&lt;1,0,IF(ROUNDDOWN((F$35-$B40)/Reference!$D$24,0)&lt;2,0.5,IF(ROUNDDOWN((F$35-$B40)/Reference!$D$24,0)&lt;3,0.75,IF(ROUNDDOWN((F$35-$B40)/Reference!$D$24,0)&lt;4,0.875,0.9375)))))+HLOOKUP($B40,$C$35:$Q$36,2,FALSE)*Reference!$C$25*(1-IF(ROUNDDOWN((F$35-$B40)/Reference!$D$25,0)&lt;1,0,IF(ROUNDDOWN((F$35-$B40)/Reference!$D$25,0)&lt;2,0.5,IF(ROUNDDOWN((F$35-$B40)/Reference!$D$25,0)&lt;3,0.75,IF(ROUNDDOWN((F$35-$B40)/Reference!$D$25,0)&lt;4,0.875,0.9375)))))+HLOOKUP($B40,$C$35:$Q$36,2,FALSE)*Reference!$C$26*(1-IF(ROUNDDOWN((F$35-$B40)/Reference!$D$26,0)&lt;1,0,IF(ROUNDDOWN((F$35-$B40)/Reference!$D$26,0)&lt;2,0.5,IF(ROUNDDOWN((F$35-$B40)/Reference!$D$26,0)&lt;3,0.75,IF(ROUNDDOWN((F$35-$B40)/Reference!$D$26,0)&lt;4,0.875,0.9375)))))+HLOOKUP($B40,$C$35:$Q$36,2,FALSE)*Reference!$C$27*(1-IF(ROUNDDOWN((F$35-$B40)/Reference!$D$27,0)&lt;1,0,IF(ROUNDDOWN((F$35-$B40)/Reference!$D$27,0)&lt;2,0.5,IF(ROUNDDOWN((F$35-$B40)/Reference!$D$27,0)&lt;3,0.75,IF(ROUNDDOWN((F$35-$B40)/Reference!$D$27,0)&lt;4,0.875,0.9375)))))+HLOOKUP($B40,$C$35:$Q$36,2,FALSE)*Reference!$C$28*(1-IF(ROUNDDOWN((F$35-$B40)/Reference!$D$28,0)&lt;1,0,IF(ROUNDDOWN((F$35-$B40)/Reference!$D$28,0)&lt;2,0.5,IF(ROUNDDOWN((F$35-$B40)/Reference!$D$28,0)&lt;3,0.75,IF(ROUNDDOWN((F$35-$B40)/Reference!$D$28,0)&lt;4,0.875,0.9375)))))</f>
        <v>0</v>
      </c>
      <c r="G40" s="135">
        <f>HLOOKUP($B40,$C$35:$Q$36,2,FALSE)*Reference!$C$23*(1-IF(ROUNDDOWN((G$35-$B40)/Reference!$D$23,0)&lt;1,0,IF(ROUNDDOWN((G$35-$B40)/Reference!$D$23,0)&lt;2,0.5,IF(ROUNDDOWN((G$35-$B40)/Reference!$D$23,0)&lt;3,0.75,IF(ROUNDDOWN((G$35-$B40)/Reference!$D$23,0)&lt;4,0.875,0.9375)))))+HLOOKUP($B40,$C$35:$Q$36,2,FALSE)*Reference!$C$24*(1-IF(ROUNDDOWN((G$35-$B40)/Reference!$D$24,0)&lt;1,0,IF(ROUNDDOWN((G$35-$B40)/Reference!$D$24,0)&lt;2,0.5,IF(ROUNDDOWN((G$35-$B40)/Reference!$D$24,0)&lt;3,0.75,IF(ROUNDDOWN((G$35-$B40)/Reference!$D$24,0)&lt;4,0.875,0.9375)))))+HLOOKUP($B40,$C$35:$Q$36,2,FALSE)*Reference!$C$25*(1-IF(ROUNDDOWN((G$35-$B40)/Reference!$D$25,0)&lt;1,0,IF(ROUNDDOWN((G$35-$B40)/Reference!$D$25,0)&lt;2,0.5,IF(ROUNDDOWN((G$35-$B40)/Reference!$D$25,0)&lt;3,0.75,IF(ROUNDDOWN((G$35-$B40)/Reference!$D$25,0)&lt;4,0.875,0.9375)))))+HLOOKUP($B40,$C$35:$Q$36,2,FALSE)*Reference!$C$26*(1-IF(ROUNDDOWN((G$35-$B40)/Reference!$D$26,0)&lt;1,0,IF(ROUNDDOWN((G$35-$B40)/Reference!$D$26,0)&lt;2,0.5,IF(ROUNDDOWN((G$35-$B40)/Reference!$D$26,0)&lt;3,0.75,IF(ROUNDDOWN((G$35-$B40)/Reference!$D$26,0)&lt;4,0.875,0.9375)))))+HLOOKUP($B40,$C$35:$Q$36,2,FALSE)*Reference!$C$27*(1-IF(ROUNDDOWN((G$35-$B40)/Reference!$D$27,0)&lt;1,0,IF(ROUNDDOWN((G$35-$B40)/Reference!$D$27,0)&lt;2,0.5,IF(ROUNDDOWN((G$35-$B40)/Reference!$D$27,0)&lt;3,0.75,IF(ROUNDDOWN((G$35-$B40)/Reference!$D$27,0)&lt;4,0.875,0.9375)))))+HLOOKUP($B40,$C$35:$Q$36,2,FALSE)*Reference!$C$28*(1-IF(ROUNDDOWN((G$35-$B40)/Reference!$D$28,0)&lt;1,0,IF(ROUNDDOWN((G$35-$B40)/Reference!$D$28,0)&lt;2,0.5,IF(ROUNDDOWN((G$35-$B40)/Reference!$D$28,0)&lt;3,0.75,IF(ROUNDDOWN((G$35-$B40)/Reference!$D$28,0)&lt;4,0.875,0.9375)))))</f>
        <v>0</v>
      </c>
      <c r="H40" s="135">
        <f>HLOOKUP($B40,$C$35:$Q$36,2,FALSE)*Reference!$C$23*(1-IF(ROUNDDOWN((H$35-$B40)/Reference!$D$23,0)&lt;1,0,IF(ROUNDDOWN((H$35-$B40)/Reference!$D$23,0)&lt;2,0.5,IF(ROUNDDOWN((H$35-$B40)/Reference!$D$23,0)&lt;3,0.75,IF(ROUNDDOWN((H$35-$B40)/Reference!$D$23,0)&lt;4,0.875,0.9375)))))+HLOOKUP($B40,$C$35:$Q$36,2,FALSE)*Reference!$C$24*(1-IF(ROUNDDOWN((H$35-$B40)/Reference!$D$24,0)&lt;1,0,IF(ROUNDDOWN((H$35-$B40)/Reference!$D$24,0)&lt;2,0.5,IF(ROUNDDOWN((H$35-$B40)/Reference!$D$24,0)&lt;3,0.75,IF(ROUNDDOWN((H$35-$B40)/Reference!$D$24,0)&lt;4,0.875,0.9375)))))+HLOOKUP($B40,$C$35:$Q$36,2,FALSE)*Reference!$C$25*(1-IF(ROUNDDOWN((H$35-$B40)/Reference!$D$25,0)&lt;1,0,IF(ROUNDDOWN((H$35-$B40)/Reference!$D$25,0)&lt;2,0.5,IF(ROUNDDOWN((H$35-$B40)/Reference!$D$25,0)&lt;3,0.75,IF(ROUNDDOWN((H$35-$B40)/Reference!$D$25,0)&lt;4,0.875,0.9375)))))+HLOOKUP($B40,$C$35:$Q$36,2,FALSE)*Reference!$C$26*(1-IF(ROUNDDOWN((H$35-$B40)/Reference!$D$26,0)&lt;1,0,IF(ROUNDDOWN((H$35-$B40)/Reference!$D$26,0)&lt;2,0.5,IF(ROUNDDOWN((H$35-$B40)/Reference!$D$26,0)&lt;3,0.75,IF(ROUNDDOWN((H$35-$B40)/Reference!$D$26,0)&lt;4,0.875,0.9375)))))+HLOOKUP($B40,$C$35:$Q$36,2,FALSE)*Reference!$C$27*(1-IF(ROUNDDOWN((H$35-$B40)/Reference!$D$27,0)&lt;1,0,IF(ROUNDDOWN((H$35-$B40)/Reference!$D$27,0)&lt;2,0.5,IF(ROUNDDOWN((H$35-$B40)/Reference!$D$27,0)&lt;3,0.75,IF(ROUNDDOWN((H$35-$B40)/Reference!$D$27,0)&lt;4,0.875,0.9375)))))+HLOOKUP($B40,$C$35:$Q$36,2,FALSE)*Reference!$C$28*(1-IF(ROUNDDOWN((H$35-$B40)/Reference!$D$28,0)&lt;1,0,IF(ROUNDDOWN((H$35-$B40)/Reference!$D$28,0)&lt;2,0.5,IF(ROUNDDOWN((H$35-$B40)/Reference!$D$28,0)&lt;3,0.75,IF(ROUNDDOWN((H$35-$B40)/Reference!$D$28,0)&lt;4,0.875,0.9375)))))</f>
        <v>0</v>
      </c>
      <c r="I40" s="135">
        <f>HLOOKUP($B40,$C$35:$Q$36,2,FALSE)*Reference!$C$23*(1-IF(ROUNDDOWN((I$35-$B40)/Reference!$D$23,0)&lt;1,0,IF(ROUNDDOWN((I$35-$B40)/Reference!$D$23,0)&lt;2,0.5,IF(ROUNDDOWN((I$35-$B40)/Reference!$D$23,0)&lt;3,0.75,IF(ROUNDDOWN((I$35-$B40)/Reference!$D$23,0)&lt;4,0.875,0.9375)))))+HLOOKUP($B40,$C$35:$Q$36,2,FALSE)*Reference!$C$24*(1-IF(ROUNDDOWN((I$35-$B40)/Reference!$D$24,0)&lt;1,0,IF(ROUNDDOWN((I$35-$B40)/Reference!$D$24,0)&lt;2,0.5,IF(ROUNDDOWN((I$35-$B40)/Reference!$D$24,0)&lt;3,0.75,IF(ROUNDDOWN((I$35-$B40)/Reference!$D$24,0)&lt;4,0.875,0.9375)))))+HLOOKUP($B40,$C$35:$Q$36,2,FALSE)*Reference!$C$25*(1-IF(ROUNDDOWN((I$35-$B40)/Reference!$D$25,0)&lt;1,0,IF(ROUNDDOWN((I$35-$B40)/Reference!$D$25,0)&lt;2,0.5,IF(ROUNDDOWN((I$35-$B40)/Reference!$D$25,0)&lt;3,0.75,IF(ROUNDDOWN((I$35-$B40)/Reference!$D$25,0)&lt;4,0.875,0.9375)))))+HLOOKUP($B40,$C$35:$Q$36,2,FALSE)*Reference!$C$26*(1-IF(ROUNDDOWN((I$35-$B40)/Reference!$D$26,0)&lt;1,0,IF(ROUNDDOWN((I$35-$B40)/Reference!$D$26,0)&lt;2,0.5,IF(ROUNDDOWN((I$35-$B40)/Reference!$D$26,0)&lt;3,0.75,IF(ROUNDDOWN((I$35-$B40)/Reference!$D$26,0)&lt;4,0.875,0.9375)))))+HLOOKUP($B40,$C$35:$Q$36,2,FALSE)*Reference!$C$27*(1-IF(ROUNDDOWN((I$35-$B40)/Reference!$D$27,0)&lt;1,0,IF(ROUNDDOWN((I$35-$B40)/Reference!$D$27,0)&lt;2,0.5,IF(ROUNDDOWN((I$35-$B40)/Reference!$D$27,0)&lt;3,0.75,IF(ROUNDDOWN((I$35-$B40)/Reference!$D$27,0)&lt;4,0.875,0.9375)))))+HLOOKUP($B40,$C$35:$Q$36,2,FALSE)*Reference!$C$28*(1-IF(ROUNDDOWN((I$35-$B40)/Reference!$D$28,0)&lt;1,0,IF(ROUNDDOWN((I$35-$B40)/Reference!$D$28,0)&lt;2,0.5,IF(ROUNDDOWN((I$35-$B40)/Reference!$D$28,0)&lt;3,0.75,IF(ROUNDDOWN((I$35-$B40)/Reference!$D$28,0)&lt;4,0.875,0.9375)))))</f>
        <v>0</v>
      </c>
      <c r="J40" s="135">
        <f>HLOOKUP($B40,$C$35:$Q$36,2,FALSE)*Reference!$C$23*(1-IF(ROUNDDOWN((J$35-$B40)/Reference!$D$23,0)&lt;1,0,IF(ROUNDDOWN((J$35-$B40)/Reference!$D$23,0)&lt;2,0.5,IF(ROUNDDOWN((J$35-$B40)/Reference!$D$23,0)&lt;3,0.75,IF(ROUNDDOWN((J$35-$B40)/Reference!$D$23,0)&lt;4,0.875,0.9375)))))+HLOOKUP($B40,$C$35:$Q$36,2,FALSE)*Reference!$C$24*(1-IF(ROUNDDOWN((J$35-$B40)/Reference!$D$24,0)&lt;1,0,IF(ROUNDDOWN((J$35-$B40)/Reference!$D$24,0)&lt;2,0.5,IF(ROUNDDOWN((J$35-$B40)/Reference!$D$24,0)&lt;3,0.75,IF(ROUNDDOWN((J$35-$B40)/Reference!$D$24,0)&lt;4,0.875,0.9375)))))+HLOOKUP($B40,$C$35:$Q$36,2,FALSE)*Reference!$C$25*(1-IF(ROUNDDOWN((J$35-$B40)/Reference!$D$25,0)&lt;1,0,IF(ROUNDDOWN((J$35-$B40)/Reference!$D$25,0)&lt;2,0.5,IF(ROUNDDOWN((J$35-$B40)/Reference!$D$25,0)&lt;3,0.75,IF(ROUNDDOWN((J$35-$B40)/Reference!$D$25,0)&lt;4,0.875,0.9375)))))+HLOOKUP($B40,$C$35:$Q$36,2,FALSE)*Reference!$C$26*(1-IF(ROUNDDOWN((J$35-$B40)/Reference!$D$26,0)&lt;1,0,IF(ROUNDDOWN((J$35-$B40)/Reference!$D$26,0)&lt;2,0.5,IF(ROUNDDOWN((J$35-$B40)/Reference!$D$26,0)&lt;3,0.75,IF(ROUNDDOWN((J$35-$B40)/Reference!$D$26,0)&lt;4,0.875,0.9375)))))+HLOOKUP($B40,$C$35:$Q$36,2,FALSE)*Reference!$C$27*(1-IF(ROUNDDOWN((J$35-$B40)/Reference!$D$27,0)&lt;1,0,IF(ROUNDDOWN((J$35-$B40)/Reference!$D$27,0)&lt;2,0.5,IF(ROUNDDOWN((J$35-$B40)/Reference!$D$27,0)&lt;3,0.75,IF(ROUNDDOWN((J$35-$B40)/Reference!$D$27,0)&lt;4,0.875,0.9375)))))+HLOOKUP($B40,$C$35:$Q$36,2,FALSE)*Reference!$C$28*(1-IF(ROUNDDOWN((J$35-$B40)/Reference!$D$28,0)&lt;1,0,IF(ROUNDDOWN((J$35-$B40)/Reference!$D$28,0)&lt;2,0.5,IF(ROUNDDOWN((J$35-$B40)/Reference!$D$28,0)&lt;3,0.75,IF(ROUNDDOWN((J$35-$B40)/Reference!$D$28,0)&lt;4,0.875,0.9375)))))</f>
        <v>0</v>
      </c>
      <c r="K40" s="135">
        <f>HLOOKUP($B40,$C$35:$Q$36,2,FALSE)*Reference!$C$23*(1-IF(ROUNDDOWN((K$35-$B40)/Reference!$D$23,0)&lt;1,0,IF(ROUNDDOWN((K$35-$B40)/Reference!$D$23,0)&lt;2,0.5,IF(ROUNDDOWN((K$35-$B40)/Reference!$D$23,0)&lt;3,0.75,IF(ROUNDDOWN((K$35-$B40)/Reference!$D$23,0)&lt;4,0.875,0.9375)))))+HLOOKUP($B40,$C$35:$Q$36,2,FALSE)*Reference!$C$24*(1-IF(ROUNDDOWN((K$35-$B40)/Reference!$D$24,0)&lt;1,0,IF(ROUNDDOWN((K$35-$B40)/Reference!$D$24,0)&lt;2,0.5,IF(ROUNDDOWN((K$35-$B40)/Reference!$D$24,0)&lt;3,0.75,IF(ROUNDDOWN((K$35-$B40)/Reference!$D$24,0)&lt;4,0.875,0.9375)))))+HLOOKUP($B40,$C$35:$Q$36,2,FALSE)*Reference!$C$25*(1-IF(ROUNDDOWN((K$35-$B40)/Reference!$D$25,0)&lt;1,0,IF(ROUNDDOWN((K$35-$B40)/Reference!$D$25,0)&lt;2,0.5,IF(ROUNDDOWN((K$35-$B40)/Reference!$D$25,0)&lt;3,0.75,IF(ROUNDDOWN((K$35-$B40)/Reference!$D$25,0)&lt;4,0.875,0.9375)))))+HLOOKUP($B40,$C$35:$Q$36,2,FALSE)*Reference!$C$26*(1-IF(ROUNDDOWN((K$35-$B40)/Reference!$D$26,0)&lt;1,0,IF(ROUNDDOWN((K$35-$B40)/Reference!$D$26,0)&lt;2,0.5,IF(ROUNDDOWN((K$35-$B40)/Reference!$D$26,0)&lt;3,0.75,IF(ROUNDDOWN((K$35-$B40)/Reference!$D$26,0)&lt;4,0.875,0.9375)))))+HLOOKUP($B40,$C$35:$Q$36,2,FALSE)*Reference!$C$27*(1-IF(ROUNDDOWN((K$35-$B40)/Reference!$D$27,0)&lt;1,0,IF(ROUNDDOWN((K$35-$B40)/Reference!$D$27,0)&lt;2,0.5,IF(ROUNDDOWN((K$35-$B40)/Reference!$D$27,0)&lt;3,0.75,IF(ROUNDDOWN((K$35-$B40)/Reference!$D$27,0)&lt;4,0.875,0.9375)))))+HLOOKUP($B40,$C$35:$Q$36,2,FALSE)*Reference!$C$28*(1-IF(ROUNDDOWN((K$35-$B40)/Reference!$D$28,0)&lt;1,0,IF(ROUNDDOWN((K$35-$B40)/Reference!$D$28,0)&lt;2,0.5,IF(ROUNDDOWN((K$35-$B40)/Reference!$D$28,0)&lt;3,0.75,IF(ROUNDDOWN((K$35-$B40)/Reference!$D$28,0)&lt;4,0.875,0.9375)))))</f>
        <v>0</v>
      </c>
      <c r="L40" s="135">
        <f>HLOOKUP($B40,$C$35:$Q$36,2,FALSE)*Reference!$C$23*(1-IF(ROUNDDOWN((L$35-$B40)/Reference!$D$23,0)&lt;1,0,IF(ROUNDDOWN((L$35-$B40)/Reference!$D$23,0)&lt;2,0.5,IF(ROUNDDOWN((L$35-$B40)/Reference!$D$23,0)&lt;3,0.75,IF(ROUNDDOWN((L$35-$B40)/Reference!$D$23,0)&lt;4,0.875,0.9375)))))+HLOOKUP($B40,$C$35:$Q$36,2,FALSE)*Reference!$C$24*(1-IF(ROUNDDOWN((L$35-$B40)/Reference!$D$24,0)&lt;1,0,IF(ROUNDDOWN((L$35-$B40)/Reference!$D$24,0)&lt;2,0.5,IF(ROUNDDOWN((L$35-$B40)/Reference!$D$24,0)&lt;3,0.75,IF(ROUNDDOWN((L$35-$B40)/Reference!$D$24,0)&lt;4,0.875,0.9375)))))+HLOOKUP($B40,$C$35:$Q$36,2,FALSE)*Reference!$C$25*(1-IF(ROUNDDOWN((L$35-$B40)/Reference!$D$25,0)&lt;1,0,IF(ROUNDDOWN((L$35-$B40)/Reference!$D$25,0)&lt;2,0.5,IF(ROUNDDOWN((L$35-$B40)/Reference!$D$25,0)&lt;3,0.75,IF(ROUNDDOWN((L$35-$B40)/Reference!$D$25,0)&lt;4,0.875,0.9375)))))+HLOOKUP($B40,$C$35:$Q$36,2,FALSE)*Reference!$C$26*(1-IF(ROUNDDOWN((L$35-$B40)/Reference!$D$26,0)&lt;1,0,IF(ROUNDDOWN((L$35-$B40)/Reference!$D$26,0)&lt;2,0.5,IF(ROUNDDOWN((L$35-$B40)/Reference!$D$26,0)&lt;3,0.75,IF(ROUNDDOWN((L$35-$B40)/Reference!$D$26,0)&lt;4,0.875,0.9375)))))+HLOOKUP($B40,$C$35:$Q$36,2,FALSE)*Reference!$C$27*(1-IF(ROUNDDOWN((L$35-$B40)/Reference!$D$27,0)&lt;1,0,IF(ROUNDDOWN((L$35-$B40)/Reference!$D$27,0)&lt;2,0.5,IF(ROUNDDOWN((L$35-$B40)/Reference!$D$27,0)&lt;3,0.75,IF(ROUNDDOWN((L$35-$B40)/Reference!$D$27,0)&lt;4,0.875,0.9375)))))+HLOOKUP($B40,$C$35:$Q$36,2,FALSE)*Reference!$C$28*(1-IF(ROUNDDOWN((L$35-$B40)/Reference!$D$28,0)&lt;1,0,IF(ROUNDDOWN((L$35-$B40)/Reference!$D$28,0)&lt;2,0.5,IF(ROUNDDOWN((L$35-$B40)/Reference!$D$28,0)&lt;3,0.75,IF(ROUNDDOWN((L$35-$B40)/Reference!$D$28,0)&lt;4,0.875,0.9375)))))</f>
        <v>0</v>
      </c>
      <c r="M40" s="135">
        <f>HLOOKUP($B40,$C$35:$Q$36,2,FALSE)*Reference!$C$23*(1-IF(ROUNDDOWN((M$35-$B40)/Reference!$D$23,0)&lt;1,0,IF(ROUNDDOWN((M$35-$B40)/Reference!$D$23,0)&lt;2,0.5,IF(ROUNDDOWN((M$35-$B40)/Reference!$D$23,0)&lt;3,0.75,IF(ROUNDDOWN((M$35-$B40)/Reference!$D$23,0)&lt;4,0.875,0.9375)))))+HLOOKUP($B40,$C$35:$Q$36,2,FALSE)*Reference!$C$24*(1-IF(ROUNDDOWN((M$35-$B40)/Reference!$D$24,0)&lt;1,0,IF(ROUNDDOWN((M$35-$B40)/Reference!$D$24,0)&lt;2,0.5,IF(ROUNDDOWN((M$35-$B40)/Reference!$D$24,0)&lt;3,0.75,IF(ROUNDDOWN((M$35-$B40)/Reference!$D$24,0)&lt;4,0.875,0.9375)))))+HLOOKUP($B40,$C$35:$Q$36,2,FALSE)*Reference!$C$25*(1-IF(ROUNDDOWN((M$35-$B40)/Reference!$D$25,0)&lt;1,0,IF(ROUNDDOWN((M$35-$B40)/Reference!$D$25,0)&lt;2,0.5,IF(ROUNDDOWN((M$35-$B40)/Reference!$D$25,0)&lt;3,0.75,IF(ROUNDDOWN((M$35-$B40)/Reference!$D$25,0)&lt;4,0.875,0.9375)))))+HLOOKUP($B40,$C$35:$Q$36,2,FALSE)*Reference!$C$26*(1-IF(ROUNDDOWN((M$35-$B40)/Reference!$D$26,0)&lt;1,0,IF(ROUNDDOWN((M$35-$B40)/Reference!$D$26,0)&lt;2,0.5,IF(ROUNDDOWN((M$35-$B40)/Reference!$D$26,0)&lt;3,0.75,IF(ROUNDDOWN((M$35-$B40)/Reference!$D$26,0)&lt;4,0.875,0.9375)))))+HLOOKUP($B40,$C$35:$Q$36,2,FALSE)*Reference!$C$27*(1-IF(ROUNDDOWN((M$35-$B40)/Reference!$D$27,0)&lt;1,0,IF(ROUNDDOWN((M$35-$B40)/Reference!$D$27,0)&lt;2,0.5,IF(ROUNDDOWN((M$35-$B40)/Reference!$D$27,0)&lt;3,0.75,IF(ROUNDDOWN((M$35-$B40)/Reference!$D$27,0)&lt;4,0.875,0.9375)))))+HLOOKUP($B40,$C$35:$Q$36,2,FALSE)*Reference!$C$28*(1-IF(ROUNDDOWN((M$35-$B40)/Reference!$D$28,0)&lt;1,0,IF(ROUNDDOWN((M$35-$B40)/Reference!$D$28,0)&lt;2,0.5,IF(ROUNDDOWN((M$35-$B40)/Reference!$D$28,0)&lt;3,0.75,IF(ROUNDDOWN((M$35-$B40)/Reference!$D$28,0)&lt;4,0.875,0.9375)))))</f>
        <v>0</v>
      </c>
      <c r="N40" s="135">
        <f>HLOOKUP($B40,$C$35:$Q$36,2,FALSE)*Reference!$C$23*(1-IF(ROUNDDOWN((N$35-$B40)/Reference!$D$23,0)&lt;1,0,IF(ROUNDDOWN((N$35-$B40)/Reference!$D$23,0)&lt;2,0.5,IF(ROUNDDOWN((N$35-$B40)/Reference!$D$23,0)&lt;3,0.75,IF(ROUNDDOWN((N$35-$B40)/Reference!$D$23,0)&lt;4,0.875,0.9375)))))+HLOOKUP($B40,$C$35:$Q$36,2,FALSE)*Reference!$C$24*(1-IF(ROUNDDOWN((N$35-$B40)/Reference!$D$24,0)&lt;1,0,IF(ROUNDDOWN((N$35-$B40)/Reference!$D$24,0)&lt;2,0.5,IF(ROUNDDOWN((N$35-$B40)/Reference!$D$24,0)&lt;3,0.75,IF(ROUNDDOWN((N$35-$B40)/Reference!$D$24,0)&lt;4,0.875,0.9375)))))+HLOOKUP($B40,$C$35:$Q$36,2,FALSE)*Reference!$C$25*(1-IF(ROUNDDOWN((N$35-$B40)/Reference!$D$25,0)&lt;1,0,IF(ROUNDDOWN((N$35-$B40)/Reference!$D$25,0)&lt;2,0.5,IF(ROUNDDOWN((N$35-$B40)/Reference!$D$25,0)&lt;3,0.75,IF(ROUNDDOWN((N$35-$B40)/Reference!$D$25,0)&lt;4,0.875,0.9375)))))+HLOOKUP($B40,$C$35:$Q$36,2,FALSE)*Reference!$C$26*(1-IF(ROUNDDOWN((N$35-$B40)/Reference!$D$26,0)&lt;1,0,IF(ROUNDDOWN((N$35-$B40)/Reference!$D$26,0)&lt;2,0.5,IF(ROUNDDOWN((N$35-$B40)/Reference!$D$26,0)&lt;3,0.75,IF(ROUNDDOWN((N$35-$B40)/Reference!$D$26,0)&lt;4,0.875,0.9375)))))+HLOOKUP($B40,$C$35:$Q$36,2,FALSE)*Reference!$C$27*(1-IF(ROUNDDOWN((N$35-$B40)/Reference!$D$27,0)&lt;1,0,IF(ROUNDDOWN((N$35-$B40)/Reference!$D$27,0)&lt;2,0.5,IF(ROUNDDOWN((N$35-$B40)/Reference!$D$27,0)&lt;3,0.75,IF(ROUNDDOWN((N$35-$B40)/Reference!$D$27,0)&lt;4,0.875,0.9375)))))+HLOOKUP($B40,$C$35:$Q$36,2,FALSE)*Reference!$C$28*(1-IF(ROUNDDOWN((N$35-$B40)/Reference!$D$28,0)&lt;1,0,IF(ROUNDDOWN((N$35-$B40)/Reference!$D$28,0)&lt;2,0.5,IF(ROUNDDOWN((N$35-$B40)/Reference!$D$28,0)&lt;3,0.75,IF(ROUNDDOWN((N$35-$B40)/Reference!$D$28,0)&lt;4,0.875,0.9375)))))</f>
        <v>0</v>
      </c>
      <c r="O40" s="135">
        <f>HLOOKUP($B40,$C$35:$Q$36,2,FALSE)*Reference!$C$23*(1-IF(ROUNDDOWN((O$35-$B40)/Reference!$D$23,0)&lt;1,0,IF(ROUNDDOWN((O$35-$B40)/Reference!$D$23,0)&lt;2,0.5,IF(ROUNDDOWN((O$35-$B40)/Reference!$D$23,0)&lt;3,0.75,IF(ROUNDDOWN((O$35-$B40)/Reference!$D$23,0)&lt;4,0.875,0.9375)))))+HLOOKUP($B40,$C$35:$Q$36,2,FALSE)*Reference!$C$24*(1-IF(ROUNDDOWN((O$35-$B40)/Reference!$D$24,0)&lt;1,0,IF(ROUNDDOWN((O$35-$B40)/Reference!$D$24,0)&lt;2,0.5,IF(ROUNDDOWN((O$35-$B40)/Reference!$D$24,0)&lt;3,0.75,IF(ROUNDDOWN((O$35-$B40)/Reference!$D$24,0)&lt;4,0.875,0.9375)))))+HLOOKUP($B40,$C$35:$Q$36,2,FALSE)*Reference!$C$25*(1-IF(ROUNDDOWN((O$35-$B40)/Reference!$D$25,0)&lt;1,0,IF(ROUNDDOWN((O$35-$B40)/Reference!$D$25,0)&lt;2,0.5,IF(ROUNDDOWN((O$35-$B40)/Reference!$D$25,0)&lt;3,0.75,IF(ROUNDDOWN((O$35-$B40)/Reference!$D$25,0)&lt;4,0.875,0.9375)))))+HLOOKUP($B40,$C$35:$Q$36,2,FALSE)*Reference!$C$26*(1-IF(ROUNDDOWN((O$35-$B40)/Reference!$D$26,0)&lt;1,0,IF(ROUNDDOWN((O$35-$B40)/Reference!$D$26,0)&lt;2,0.5,IF(ROUNDDOWN((O$35-$B40)/Reference!$D$26,0)&lt;3,0.75,IF(ROUNDDOWN((O$35-$B40)/Reference!$D$26,0)&lt;4,0.875,0.9375)))))+HLOOKUP($B40,$C$35:$Q$36,2,FALSE)*Reference!$C$27*(1-IF(ROUNDDOWN((O$35-$B40)/Reference!$D$27,0)&lt;1,0,IF(ROUNDDOWN((O$35-$B40)/Reference!$D$27,0)&lt;2,0.5,IF(ROUNDDOWN((O$35-$B40)/Reference!$D$27,0)&lt;3,0.75,IF(ROUNDDOWN((O$35-$B40)/Reference!$D$27,0)&lt;4,0.875,0.9375)))))+HLOOKUP($B40,$C$35:$Q$36,2,FALSE)*Reference!$C$28*(1-IF(ROUNDDOWN((O$35-$B40)/Reference!$D$28,0)&lt;1,0,IF(ROUNDDOWN((O$35-$B40)/Reference!$D$28,0)&lt;2,0.5,IF(ROUNDDOWN((O$35-$B40)/Reference!$D$28,0)&lt;3,0.75,IF(ROUNDDOWN((O$35-$B40)/Reference!$D$28,0)&lt;4,0.875,0.9375)))))</f>
        <v>0</v>
      </c>
      <c r="P40" s="135">
        <f>HLOOKUP($B40,$C$35:$Q$36,2,FALSE)*Reference!$C$23*(1-IF(ROUNDDOWN((P$35-$B40)/Reference!$D$23,0)&lt;1,0,IF(ROUNDDOWN((P$35-$B40)/Reference!$D$23,0)&lt;2,0.5,IF(ROUNDDOWN((P$35-$B40)/Reference!$D$23,0)&lt;3,0.75,IF(ROUNDDOWN((P$35-$B40)/Reference!$D$23,0)&lt;4,0.875,0.9375)))))+HLOOKUP($B40,$C$35:$Q$36,2,FALSE)*Reference!$C$24*(1-IF(ROUNDDOWN((P$35-$B40)/Reference!$D$24,0)&lt;1,0,IF(ROUNDDOWN((P$35-$B40)/Reference!$D$24,0)&lt;2,0.5,IF(ROUNDDOWN((P$35-$B40)/Reference!$D$24,0)&lt;3,0.75,IF(ROUNDDOWN((P$35-$B40)/Reference!$D$24,0)&lt;4,0.875,0.9375)))))+HLOOKUP($B40,$C$35:$Q$36,2,FALSE)*Reference!$C$25*(1-IF(ROUNDDOWN((P$35-$B40)/Reference!$D$25,0)&lt;1,0,IF(ROUNDDOWN((P$35-$B40)/Reference!$D$25,0)&lt;2,0.5,IF(ROUNDDOWN((P$35-$B40)/Reference!$D$25,0)&lt;3,0.75,IF(ROUNDDOWN((P$35-$B40)/Reference!$D$25,0)&lt;4,0.875,0.9375)))))+HLOOKUP($B40,$C$35:$Q$36,2,FALSE)*Reference!$C$26*(1-IF(ROUNDDOWN((P$35-$B40)/Reference!$D$26,0)&lt;1,0,IF(ROUNDDOWN((P$35-$B40)/Reference!$D$26,0)&lt;2,0.5,IF(ROUNDDOWN((P$35-$B40)/Reference!$D$26,0)&lt;3,0.75,IF(ROUNDDOWN((P$35-$B40)/Reference!$D$26,0)&lt;4,0.875,0.9375)))))+HLOOKUP($B40,$C$35:$Q$36,2,FALSE)*Reference!$C$27*(1-IF(ROUNDDOWN((P$35-$B40)/Reference!$D$27,0)&lt;1,0,IF(ROUNDDOWN((P$35-$B40)/Reference!$D$27,0)&lt;2,0.5,IF(ROUNDDOWN((P$35-$B40)/Reference!$D$27,0)&lt;3,0.75,IF(ROUNDDOWN((P$35-$B40)/Reference!$D$27,0)&lt;4,0.875,0.9375)))))+HLOOKUP($B40,$C$35:$Q$36,2,FALSE)*Reference!$C$28*(1-IF(ROUNDDOWN((P$35-$B40)/Reference!$D$28,0)&lt;1,0,IF(ROUNDDOWN((P$35-$B40)/Reference!$D$28,0)&lt;2,0.5,IF(ROUNDDOWN((P$35-$B40)/Reference!$D$28,0)&lt;3,0.75,IF(ROUNDDOWN((P$35-$B40)/Reference!$D$28,0)&lt;4,0.875,0.9375)))))</f>
        <v>0</v>
      </c>
      <c r="Q40" s="135">
        <f>HLOOKUP($B40,$C$35:$Q$36,2,FALSE)*Reference!$C$23*(1-IF(ROUNDDOWN((Q$35-$B40)/Reference!$D$23,0)&lt;1,0,IF(ROUNDDOWN((Q$35-$B40)/Reference!$D$23,0)&lt;2,0.5,IF(ROUNDDOWN((Q$35-$B40)/Reference!$D$23,0)&lt;3,0.75,IF(ROUNDDOWN((Q$35-$B40)/Reference!$D$23,0)&lt;4,0.875,0.9375)))))+HLOOKUP($B40,$C$35:$Q$36,2,FALSE)*Reference!$C$24*(1-IF(ROUNDDOWN((Q$35-$B40)/Reference!$D$24,0)&lt;1,0,IF(ROUNDDOWN((Q$35-$B40)/Reference!$D$24,0)&lt;2,0.5,IF(ROUNDDOWN((Q$35-$B40)/Reference!$D$24,0)&lt;3,0.75,IF(ROUNDDOWN((Q$35-$B40)/Reference!$D$24,0)&lt;4,0.875,0.9375)))))+HLOOKUP($B40,$C$35:$Q$36,2,FALSE)*Reference!$C$25*(1-IF(ROUNDDOWN((Q$35-$B40)/Reference!$D$25,0)&lt;1,0,IF(ROUNDDOWN((Q$35-$B40)/Reference!$D$25,0)&lt;2,0.5,IF(ROUNDDOWN((Q$35-$B40)/Reference!$D$25,0)&lt;3,0.75,IF(ROUNDDOWN((Q$35-$B40)/Reference!$D$25,0)&lt;4,0.875,0.9375)))))+HLOOKUP($B40,$C$35:$Q$36,2,FALSE)*Reference!$C$26*(1-IF(ROUNDDOWN((Q$35-$B40)/Reference!$D$26,0)&lt;1,0,IF(ROUNDDOWN((Q$35-$B40)/Reference!$D$26,0)&lt;2,0.5,IF(ROUNDDOWN((Q$35-$B40)/Reference!$D$26,0)&lt;3,0.75,IF(ROUNDDOWN((Q$35-$B40)/Reference!$D$26,0)&lt;4,0.875,0.9375)))))+HLOOKUP($B40,$C$35:$Q$36,2,FALSE)*Reference!$C$27*(1-IF(ROUNDDOWN((Q$35-$B40)/Reference!$D$27,0)&lt;1,0,IF(ROUNDDOWN((Q$35-$B40)/Reference!$D$27,0)&lt;2,0.5,IF(ROUNDDOWN((Q$35-$B40)/Reference!$D$27,0)&lt;3,0.75,IF(ROUNDDOWN((Q$35-$B40)/Reference!$D$27,0)&lt;4,0.875,0.9375)))))+HLOOKUP($B40,$C$35:$Q$36,2,FALSE)*Reference!$C$28*(1-IF(ROUNDDOWN((Q$35-$B40)/Reference!$D$28,0)&lt;1,0,IF(ROUNDDOWN((Q$35-$B40)/Reference!$D$28,0)&lt;2,0.5,IF(ROUNDDOWN((Q$35-$B40)/Reference!$D$28,0)&lt;3,0.75,IF(ROUNDDOWN((Q$35-$B40)/Reference!$D$28,0)&lt;4,0.875,0.9375)))))</f>
        <v>0</v>
      </c>
      <c r="R40" s="50"/>
    </row>
    <row r="41" spans="2:18" x14ac:dyDescent="0.3">
      <c r="B41" s="237">
        <f t="shared" si="5"/>
        <v>2017</v>
      </c>
      <c r="C41" s="135"/>
      <c r="D41" s="135"/>
      <c r="E41" s="135">
        <f>HLOOKUP($B41,$C$35:$Q$36,2,FALSE)*Reference!$C$23*(1-IF(ROUNDDOWN((E$35-$B41)/Reference!$D$23,0)&lt;1,0,IF(ROUNDDOWN((E$35-$B41)/Reference!$D$23,0)&lt;2,0.5,IF(ROUNDDOWN((E$35-$B41)/Reference!$D$23,0)&lt;3,0.75,IF(ROUNDDOWN((E$35-$B41)/Reference!$D$23,0)&lt;4,0.875,0.9375)))))+HLOOKUP($B41,$C$35:$Q$36,2,FALSE)*Reference!$C$24*(1-IF(ROUNDDOWN((E$35-$B41)/Reference!$D$24,0)&lt;1,0,IF(ROUNDDOWN((E$35-$B41)/Reference!$D$24,0)&lt;2,0.5,IF(ROUNDDOWN((E$35-$B41)/Reference!$D$24,0)&lt;3,0.75,IF(ROUNDDOWN((E$35-$B41)/Reference!$D$24,0)&lt;4,0.875,0.9375)))))+HLOOKUP($B41,$C$35:$Q$36,2,FALSE)*Reference!$C$25*(1-IF(ROUNDDOWN((E$35-$B41)/Reference!$D$25,0)&lt;1,0,IF(ROUNDDOWN((E$35-$B41)/Reference!$D$25,0)&lt;2,0.5,IF(ROUNDDOWN((E$35-$B41)/Reference!$D$25,0)&lt;3,0.75,IF(ROUNDDOWN((E$35-$B41)/Reference!$D$25,0)&lt;4,0.875,0.9375)))))+HLOOKUP($B41,$C$35:$Q$36,2,FALSE)*Reference!$C$26*(1-IF(ROUNDDOWN((E$35-$B41)/Reference!$D$26,0)&lt;1,0,IF(ROUNDDOWN((E$35-$B41)/Reference!$D$26,0)&lt;2,0.5,IF(ROUNDDOWN((E$35-$B41)/Reference!$D$26,0)&lt;3,0.75,IF(ROUNDDOWN((E$35-$B41)/Reference!$D$26,0)&lt;4,0.875,0.9375)))))+HLOOKUP($B41,$C$35:$Q$36,2,FALSE)*Reference!$C$27*(1-IF(ROUNDDOWN((E$35-$B41)/Reference!$D$27,0)&lt;1,0,IF(ROUNDDOWN((E$35-$B41)/Reference!$D$27,0)&lt;2,0.5,IF(ROUNDDOWN((E$35-$B41)/Reference!$D$27,0)&lt;3,0.75,IF(ROUNDDOWN((E$35-$B41)/Reference!$D$27,0)&lt;4,0.875,0.9375)))))+HLOOKUP($B41,$C$35:$Q$36,2,FALSE)*Reference!$C$28*(1-IF(ROUNDDOWN((E$35-$B41)/Reference!$D$28,0)&lt;1,0,IF(ROUNDDOWN((E$35-$B41)/Reference!$D$28,0)&lt;2,0.5,IF(ROUNDDOWN((E$35-$B41)/Reference!$D$28,0)&lt;3,0.75,IF(ROUNDDOWN((E$35-$B41)/Reference!$D$28,0)&lt;4,0.875,0.9375)))))</f>
        <v>0</v>
      </c>
      <c r="F41" s="135">
        <f>HLOOKUP($B41,$C$35:$Q$36,2,FALSE)*Reference!$C$23*(1-IF(ROUNDDOWN((F$35-$B41)/Reference!$D$23,0)&lt;1,0,IF(ROUNDDOWN((F$35-$B41)/Reference!$D$23,0)&lt;2,0.5,IF(ROUNDDOWN((F$35-$B41)/Reference!$D$23,0)&lt;3,0.75,IF(ROUNDDOWN((F$35-$B41)/Reference!$D$23,0)&lt;4,0.875,0.9375)))))+HLOOKUP($B41,$C$35:$Q$36,2,FALSE)*Reference!$C$24*(1-IF(ROUNDDOWN((F$35-$B41)/Reference!$D$24,0)&lt;1,0,IF(ROUNDDOWN((F$35-$B41)/Reference!$D$24,0)&lt;2,0.5,IF(ROUNDDOWN((F$35-$B41)/Reference!$D$24,0)&lt;3,0.75,IF(ROUNDDOWN((F$35-$B41)/Reference!$D$24,0)&lt;4,0.875,0.9375)))))+HLOOKUP($B41,$C$35:$Q$36,2,FALSE)*Reference!$C$25*(1-IF(ROUNDDOWN((F$35-$B41)/Reference!$D$25,0)&lt;1,0,IF(ROUNDDOWN((F$35-$B41)/Reference!$D$25,0)&lt;2,0.5,IF(ROUNDDOWN((F$35-$B41)/Reference!$D$25,0)&lt;3,0.75,IF(ROUNDDOWN((F$35-$B41)/Reference!$D$25,0)&lt;4,0.875,0.9375)))))+HLOOKUP($B41,$C$35:$Q$36,2,FALSE)*Reference!$C$26*(1-IF(ROUNDDOWN((F$35-$B41)/Reference!$D$26,0)&lt;1,0,IF(ROUNDDOWN((F$35-$B41)/Reference!$D$26,0)&lt;2,0.5,IF(ROUNDDOWN((F$35-$B41)/Reference!$D$26,0)&lt;3,0.75,IF(ROUNDDOWN((F$35-$B41)/Reference!$D$26,0)&lt;4,0.875,0.9375)))))+HLOOKUP($B41,$C$35:$Q$36,2,FALSE)*Reference!$C$27*(1-IF(ROUNDDOWN((F$35-$B41)/Reference!$D$27,0)&lt;1,0,IF(ROUNDDOWN((F$35-$B41)/Reference!$D$27,0)&lt;2,0.5,IF(ROUNDDOWN((F$35-$B41)/Reference!$D$27,0)&lt;3,0.75,IF(ROUNDDOWN((F$35-$B41)/Reference!$D$27,0)&lt;4,0.875,0.9375)))))+HLOOKUP($B41,$C$35:$Q$36,2,FALSE)*Reference!$C$28*(1-IF(ROUNDDOWN((F$35-$B41)/Reference!$D$28,0)&lt;1,0,IF(ROUNDDOWN((F$35-$B41)/Reference!$D$28,0)&lt;2,0.5,IF(ROUNDDOWN((F$35-$B41)/Reference!$D$28,0)&lt;3,0.75,IF(ROUNDDOWN((F$35-$B41)/Reference!$D$28,0)&lt;4,0.875,0.9375)))))</f>
        <v>0</v>
      </c>
      <c r="G41" s="135">
        <f>HLOOKUP($B41,$C$35:$Q$36,2,FALSE)*Reference!$C$23*(1-IF(ROUNDDOWN((G$35-$B41)/Reference!$D$23,0)&lt;1,0,IF(ROUNDDOWN((G$35-$B41)/Reference!$D$23,0)&lt;2,0.5,IF(ROUNDDOWN((G$35-$B41)/Reference!$D$23,0)&lt;3,0.75,IF(ROUNDDOWN((G$35-$B41)/Reference!$D$23,0)&lt;4,0.875,0.9375)))))+HLOOKUP($B41,$C$35:$Q$36,2,FALSE)*Reference!$C$24*(1-IF(ROUNDDOWN((G$35-$B41)/Reference!$D$24,0)&lt;1,0,IF(ROUNDDOWN((G$35-$B41)/Reference!$D$24,0)&lt;2,0.5,IF(ROUNDDOWN((G$35-$B41)/Reference!$D$24,0)&lt;3,0.75,IF(ROUNDDOWN((G$35-$B41)/Reference!$D$24,0)&lt;4,0.875,0.9375)))))+HLOOKUP($B41,$C$35:$Q$36,2,FALSE)*Reference!$C$25*(1-IF(ROUNDDOWN((G$35-$B41)/Reference!$D$25,0)&lt;1,0,IF(ROUNDDOWN((G$35-$B41)/Reference!$D$25,0)&lt;2,0.5,IF(ROUNDDOWN((G$35-$B41)/Reference!$D$25,0)&lt;3,0.75,IF(ROUNDDOWN((G$35-$B41)/Reference!$D$25,0)&lt;4,0.875,0.9375)))))+HLOOKUP($B41,$C$35:$Q$36,2,FALSE)*Reference!$C$26*(1-IF(ROUNDDOWN((G$35-$B41)/Reference!$D$26,0)&lt;1,0,IF(ROUNDDOWN((G$35-$B41)/Reference!$D$26,0)&lt;2,0.5,IF(ROUNDDOWN((G$35-$B41)/Reference!$D$26,0)&lt;3,0.75,IF(ROUNDDOWN((G$35-$B41)/Reference!$D$26,0)&lt;4,0.875,0.9375)))))+HLOOKUP($B41,$C$35:$Q$36,2,FALSE)*Reference!$C$27*(1-IF(ROUNDDOWN((G$35-$B41)/Reference!$D$27,0)&lt;1,0,IF(ROUNDDOWN((G$35-$B41)/Reference!$D$27,0)&lt;2,0.5,IF(ROUNDDOWN((G$35-$B41)/Reference!$D$27,0)&lt;3,0.75,IF(ROUNDDOWN((G$35-$B41)/Reference!$D$27,0)&lt;4,0.875,0.9375)))))+HLOOKUP($B41,$C$35:$Q$36,2,FALSE)*Reference!$C$28*(1-IF(ROUNDDOWN((G$35-$B41)/Reference!$D$28,0)&lt;1,0,IF(ROUNDDOWN((G$35-$B41)/Reference!$D$28,0)&lt;2,0.5,IF(ROUNDDOWN((G$35-$B41)/Reference!$D$28,0)&lt;3,0.75,IF(ROUNDDOWN((G$35-$B41)/Reference!$D$28,0)&lt;4,0.875,0.9375)))))</f>
        <v>0</v>
      </c>
      <c r="H41" s="135">
        <f>HLOOKUP($B41,$C$35:$Q$36,2,FALSE)*Reference!$C$23*(1-IF(ROUNDDOWN((H$35-$B41)/Reference!$D$23,0)&lt;1,0,IF(ROUNDDOWN((H$35-$B41)/Reference!$D$23,0)&lt;2,0.5,IF(ROUNDDOWN((H$35-$B41)/Reference!$D$23,0)&lt;3,0.75,IF(ROUNDDOWN((H$35-$B41)/Reference!$D$23,0)&lt;4,0.875,0.9375)))))+HLOOKUP($B41,$C$35:$Q$36,2,FALSE)*Reference!$C$24*(1-IF(ROUNDDOWN((H$35-$B41)/Reference!$D$24,0)&lt;1,0,IF(ROUNDDOWN((H$35-$B41)/Reference!$D$24,0)&lt;2,0.5,IF(ROUNDDOWN((H$35-$B41)/Reference!$D$24,0)&lt;3,0.75,IF(ROUNDDOWN((H$35-$B41)/Reference!$D$24,0)&lt;4,0.875,0.9375)))))+HLOOKUP($B41,$C$35:$Q$36,2,FALSE)*Reference!$C$25*(1-IF(ROUNDDOWN((H$35-$B41)/Reference!$D$25,0)&lt;1,0,IF(ROUNDDOWN((H$35-$B41)/Reference!$D$25,0)&lt;2,0.5,IF(ROUNDDOWN((H$35-$B41)/Reference!$D$25,0)&lt;3,0.75,IF(ROUNDDOWN((H$35-$B41)/Reference!$D$25,0)&lt;4,0.875,0.9375)))))+HLOOKUP($B41,$C$35:$Q$36,2,FALSE)*Reference!$C$26*(1-IF(ROUNDDOWN((H$35-$B41)/Reference!$D$26,0)&lt;1,0,IF(ROUNDDOWN((H$35-$B41)/Reference!$D$26,0)&lt;2,0.5,IF(ROUNDDOWN((H$35-$B41)/Reference!$D$26,0)&lt;3,0.75,IF(ROUNDDOWN((H$35-$B41)/Reference!$D$26,0)&lt;4,0.875,0.9375)))))+HLOOKUP($B41,$C$35:$Q$36,2,FALSE)*Reference!$C$27*(1-IF(ROUNDDOWN((H$35-$B41)/Reference!$D$27,0)&lt;1,0,IF(ROUNDDOWN((H$35-$B41)/Reference!$D$27,0)&lt;2,0.5,IF(ROUNDDOWN((H$35-$B41)/Reference!$D$27,0)&lt;3,0.75,IF(ROUNDDOWN((H$35-$B41)/Reference!$D$27,0)&lt;4,0.875,0.9375)))))+HLOOKUP($B41,$C$35:$Q$36,2,FALSE)*Reference!$C$28*(1-IF(ROUNDDOWN((H$35-$B41)/Reference!$D$28,0)&lt;1,0,IF(ROUNDDOWN((H$35-$B41)/Reference!$D$28,0)&lt;2,0.5,IF(ROUNDDOWN((H$35-$B41)/Reference!$D$28,0)&lt;3,0.75,IF(ROUNDDOWN((H$35-$B41)/Reference!$D$28,0)&lt;4,0.875,0.9375)))))</f>
        <v>0</v>
      </c>
      <c r="I41" s="135">
        <f>HLOOKUP($B41,$C$35:$Q$36,2,FALSE)*Reference!$C$23*(1-IF(ROUNDDOWN((I$35-$B41)/Reference!$D$23,0)&lt;1,0,IF(ROUNDDOWN((I$35-$B41)/Reference!$D$23,0)&lt;2,0.5,IF(ROUNDDOWN((I$35-$B41)/Reference!$D$23,0)&lt;3,0.75,IF(ROUNDDOWN((I$35-$B41)/Reference!$D$23,0)&lt;4,0.875,0.9375)))))+HLOOKUP($B41,$C$35:$Q$36,2,FALSE)*Reference!$C$24*(1-IF(ROUNDDOWN((I$35-$B41)/Reference!$D$24,0)&lt;1,0,IF(ROUNDDOWN((I$35-$B41)/Reference!$D$24,0)&lt;2,0.5,IF(ROUNDDOWN((I$35-$B41)/Reference!$D$24,0)&lt;3,0.75,IF(ROUNDDOWN((I$35-$B41)/Reference!$D$24,0)&lt;4,0.875,0.9375)))))+HLOOKUP($B41,$C$35:$Q$36,2,FALSE)*Reference!$C$25*(1-IF(ROUNDDOWN((I$35-$B41)/Reference!$D$25,0)&lt;1,0,IF(ROUNDDOWN((I$35-$B41)/Reference!$D$25,0)&lt;2,0.5,IF(ROUNDDOWN((I$35-$B41)/Reference!$D$25,0)&lt;3,0.75,IF(ROUNDDOWN((I$35-$B41)/Reference!$D$25,0)&lt;4,0.875,0.9375)))))+HLOOKUP($B41,$C$35:$Q$36,2,FALSE)*Reference!$C$26*(1-IF(ROUNDDOWN((I$35-$B41)/Reference!$D$26,0)&lt;1,0,IF(ROUNDDOWN((I$35-$B41)/Reference!$D$26,0)&lt;2,0.5,IF(ROUNDDOWN((I$35-$B41)/Reference!$D$26,0)&lt;3,0.75,IF(ROUNDDOWN((I$35-$B41)/Reference!$D$26,0)&lt;4,0.875,0.9375)))))+HLOOKUP($B41,$C$35:$Q$36,2,FALSE)*Reference!$C$27*(1-IF(ROUNDDOWN((I$35-$B41)/Reference!$D$27,0)&lt;1,0,IF(ROUNDDOWN((I$35-$B41)/Reference!$D$27,0)&lt;2,0.5,IF(ROUNDDOWN((I$35-$B41)/Reference!$D$27,0)&lt;3,0.75,IF(ROUNDDOWN((I$35-$B41)/Reference!$D$27,0)&lt;4,0.875,0.9375)))))+HLOOKUP($B41,$C$35:$Q$36,2,FALSE)*Reference!$C$28*(1-IF(ROUNDDOWN((I$35-$B41)/Reference!$D$28,0)&lt;1,0,IF(ROUNDDOWN((I$35-$B41)/Reference!$D$28,0)&lt;2,0.5,IF(ROUNDDOWN((I$35-$B41)/Reference!$D$28,0)&lt;3,0.75,IF(ROUNDDOWN((I$35-$B41)/Reference!$D$28,0)&lt;4,0.875,0.9375)))))</f>
        <v>0</v>
      </c>
      <c r="J41" s="135">
        <f>HLOOKUP($B41,$C$35:$Q$36,2,FALSE)*Reference!$C$23*(1-IF(ROUNDDOWN((J$35-$B41)/Reference!$D$23,0)&lt;1,0,IF(ROUNDDOWN((J$35-$B41)/Reference!$D$23,0)&lt;2,0.5,IF(ROUNDDOWN((J$35-$B41)/Reference!$D$23,0)&lt;3,0.75,IF(ROUNDDOWN((J$35-$B41)/Reference!$D$23,0)&lt;4,0.875,0.9375)))))+HLOOKUP($B41,$C$35:$Q$36,2,FALSE)*Reference!$C$24*(1-IF(ROUNDDOWN((J$35-$B41)/Reference!$D$24,0)&lt;1,0,IF(ROUNDDOWN((J$35-$B41)/Reference!$D$24,0)&lt;2,0.5,IF(ROUNDDOWN((J$35-$B41)/Reference!$D$24,0)&lt;3,0.75,IF(ROUNDDOWN((J$35-$B41)/Reference!$D$24,0)&lt;4,0.875,0.9375)))))+HLOOKUP($B41,$C$35:$Q$36,2,FALSE)*Reference!$C$25*(1-IF(ROUNDDOWN((J$35-$B41)/Reference!$D$25,0)&lt;1,0,IF(ROUNDDOWN((J$35-$B41)/Reference!$D$25,0)&lt;2,0.5,IF(ROUNDDOWN((J$35-$B41)/Reference!$D$25,0)&lt;3,0.75,IF(ROUNDDOWN((J$35-$B41)/Reference!$D$25,0)&lt;4,0.875,0.9375)))))+HLOOKUP($B41,$C$35:$Q$36,2,FALSE)*Reference!$C$26*(1-IF(ROUNDDOWN((J$35-$B41)/Reference!$D$26,0)&lt;1,0,IF(ROUNDDOWN((J$35-$B41)/Reference!$D$26,0)&lt;2,0.5,IF(ROUNDDOWN((J$35-$B41)/Reference!$D$26,0)&lt;3,0.75,IF(ROUNDDOWN((J$35-$B41)/Reference!$D$26,0)&lt;4,0.875,0.9375)))))+HLOOKUP($B41,$C$35:$Q$36,2,FALSE)*Reference!$C$27*(1-IF(ROUNDDOWN((J$35-$B41)/Reference!$D$27,0)&lt;1,0,IF(ROUNDDOWN((J$35-$B41)/Reference!$D$27,0)&lt;2,0.5,IF(ROUNDDOWN((J$35-$B41)/Reference!$D$27,0)&lt;3,0.75,IF(ROUNDDOWN((J$35-$B41)/Reference!$D$27,0)&lt;4,0.875,0.9375)))))+HLOOKUP($B41,$C$35:$Q$36,2,FALSE)*Reference!$C$28*(1-IF(ROUNDDOWN((J$35-$B41)/Reference!$D$28,0)&lt;1,0,IF(ROUNDDOWN((J$35-$B41)/Reference!$D$28,0)&lt;2,0.5,IF(ROUNDDOWN((J$35-$B41)/Reference!$D$28,0)&lt;3,0.75,IF(ROUNDDOWN((J$35-$B41)/Reference!$D$28,0)&lt;4,0.875,0.9375)))))</f>
        <v>0</v>
      </c>
      <c r="K41" s="135">
        <f>HLOOKUP($B41,$C$35:$Q$36,2,FALSE)*Reference!$C$23*(1-IF(ROUNDDOWN((K$35-$B41)/Reference!$D$23,0)&lt;1,0,IF(ROUNDDOWN((K$35-$B41)/Reference!$D$23,0)&lt;2,0.5,IF(ROUNDDOWN((K$35-$B41)/Reference!$D$23,0)&lt;3,0.75,IF(ROUNDDOWN((K$35-$B41)/Reference!$D$23,0)&lt;4,0.875,0.9375)))))+HLOOKUP($B41,$C$35:$Q$36,2,FALSE)*Reference!$C$24*(1-IF(ROUNDDOWN((K$35-$B41)/Reference!$D$24,0)&lt;1,0,IF(ROUNDDOWN((K$35-$B41)/Reference!$D$24,0)&lt;2,0.5,IF(ROUNDDOWN((K$35-$B41)/Reference!$D$24,0)&lt;3,0.75,IF(ROUNDDOWN((K$35-$B41)/Reference!$D$24,0)&lt;4,0.875,0.9375)))))+HLOOKUP($B41,$C$35:$Q$36,2,FALSE)*Reference!$C$25*(1-IF(ROUNDDOWN((K$35-$B41)/Reference!$D$25,0)&lt;1,0,IF(ROUNDDOWN((K$35-$B41)/Reference!$D$25,0)&lt;2,0.5,IF(ROUNDDOWN((K$35-$B41)/Reference!$D$25,0)&lt;3,0.75,IF(ROUNDDOWN((K$35-$B41)/Reference!$D$25,0)&lt;4,0.875,0.9375)))))+HLOOKUP($B41,$C$35:$Q$36,2,FALSE)*Reference!$C$26*(1-IF(ROUNDDOWN((K$35-$B41)/Reference!$D$26,0)&lt;1,0,IF(ROUNDDOWN((K$35-$B41)/Reference!$D$26,0)&lt;2,0.5,IF(ROUNDDOWN((K$35-$B41)/Reference!$D$26,0)&lt;3,0.75,IF(ROUNDDOWN((K$35-$B41)/Reference!$D$26,0)&lt;4,0.875,0.9375)))))+HLOOKUP($B41,$C$35:$Q$36,2,FALSE)*Reference!$C$27*(1-IF(ROUNDDOWN((K$35-$B41)/Reference!$D$27,0)&lt;1,0,IF(ROUNDDOWN((K$35-$B41)/Reference!$D$27,0)&lt;2,0.5,IF(ROUNDDOWN((K$35-$B41)/Reference!$D$27,0)&lt;3,0.75,IF(ROUNDDOWN((K$35-$B41)/Reference!$D$27,0)&lt;4,0.875,0.9375)))))+HLOOKUP($B41,$C$35:$Q$36,2,FALSE)*Reference!$C$28*(1-IF(ROUNDDOWN((K$35-$B41)/Reference!$D$28,0)&lt;1,0,IF(ROUNDDOWN((K$35-$B41)/Reference!$D$28,0)&lt;2,0.5,IF(ROUNDDOWN((K$35-$B41)/Reference!$D$28,0)&lt;3,0.75,IF(ROUNDDOWN((K$35-$B41)/Reference!$D$28,0)&lt;4,0.875,0.9375)))))</f>
        <v>0</v>
      </c>
      <c r="L41" s="135">
        <f>HLOOKUP($B41,$C$35:$Q$36,2,FALSE)*Reference!$C$23*(1-IF(ROUNDDOWN((L$35-$B41)/Reference!$D$23,0)&lt;1,0,IF(ROUNDDOWN((L$35-$B41)/Reference!$D$23,0)&lt;2,0.5,IF(ROUNDDOWN((L$35-$B41)/Reference!$D$23,0)&lt;3,0.75,IF(ROUNDDOWN((L$35-$B41)/Reference!$D$23,0)&lt;4,0.875,0.9375)))))+HLOOKUP($B41,$C$35:$Q$36,2,FALSE)*Reference!$C$24*(1-IF(ROUNDDOWN((L$35-$B41)/Reference!$D$24,0)&lt;1,0,IF(ROUNDDOWN((L$35-$B41)/Reference!$D$24,0)&lt;2,0.5,IF(ROUNDDOWN((L$35-$B41)/Reference!$D$24,0)&lt;3,0.75,IF(ROUNDDOWN((L$35-$B41)/Reference!$D$24,0)&lt;4,0.875,0.9375)))))+HLOOKUP($B41,$C$35:$Q$36,2,FALSE)*Reference!$C$25*(1-IF(ROUNDDOWN((L$35-$B41)/Reference!$D$25,0)&lt;1,0,IF(ROUNDDOWN((L$35-$B41)/Reference!$D$25,0)&lt;2,0.5,IF(ROUNDDOWN((L$35-$B41)/Reference!$D$25,0)&lt;3,0.75,IF(ROUNDDOWN((L$35-$B41)/Reference!$D$25,0)&lt;4,0.875,0.9375)))))+HLOOKUP($B41,$C$35:$Q$36,2,FALSE)*Reference!$C$26*(1-IF(ROUNDDOWN((L$35-$B41)/Reference!$D$26,0)&lt;1,0,IF(ROUNDDOWN((L$35-$B41)/Reference!$D$26,0)&lt;2,0.5,IF(ROUNDDOWN((L$35-$B41)/Reference!$D$26,0)&lt;3,0.75,IF(ROUNDDOWN((L$35-$B41)/Reference!$D$26,0)&lt;4,0.875,0.9375)))))+HLOOKUP($B41,$C$35:$Q$36,2,FALSE)*Reference!$C$27*(1-IF(ROUNDDOWN((L$35-$B41)/Reference!$D$27,0)&lt;1,0,IF(ROUNDDOWN((L$35-$B41)/Reference!$D$27,0)&lt;2,0.5,IF(ROUNDDOWN((L$35-$B41)/Reference!$D$27,0)&lt;3,0.75,IF(ROUNDDOWN((L$35-$B41)/Reference!$D$27,0)&lt;4,0.875,0.9375)))))+HLOOKUP($B41,$C$35:$Q$36,2,FALSE)*Reference!$C$28*(1-IF(ROUNDDOWN((L$35-$B41)/Reference!$D$28,0)&lt;1,0,IF(ROUNDDOWN((L$35-$B41)/Reference!$D$28,0)&lt;2,0.5,IF(ROUNDDOWN((L$35-$B41)/Reference!$D$28,0)&lt;3,0.75,IF(ROUNDDOWN((L$35-$B41)/Reference!$D$28,0)&lt;4,0.875,0.9375)))))</f>
        <v>0</v>
      </c>
      <c r="M41" s="135">
        <f>HLOOKUP($B41,$C$35:$Q$36,2,FALSE)*Reference!$C$23*(1-IF(ROUNDDOWN((M$35-$B41)/Reference!$D$23,0)&lt;1,0,IF(ROUNDDOWN((M$35-$B41)/Reference!$D$23,0)&lt;2,0.5,IF(ROUNDDOWN((M$35-$B41)/Reference!$D$23,0)&lt;3,0.75,IF(ROUNDDOWN((M$35-$B41)/Reference!$D$23,0)&lt;4,0.875,0.9375)))))+HLOOKUP($B41,$C$35:$Q$36,2,FALSE)*Reference!$C$24*(1-IF(ROUNDDOWN((M$35-$B41)/Reference!$D$24,0)&lt;1,0,IF(ROUNDDOWN((M$35-$B41)/Reference!$D$24,0)&lt;2,0.5,IF(ROUNDDOWN((M$35-$B41)/Reference!$D$24,0)&lt;3,0.75,IF(ROUNDDOWN((M$35-$B41)/Reference!$D$24,0)&lt;4,0.875,0.9375)))))+HLOOKUP($B41,$C$35:$Q$36,2,FALSE)*Reference!$C$25*(1-IF(ROUNDDOWN((M$35-$B41)/Reference!$D$25,0)&lt;1,0,IF(ROUNDDOWN((M$35-$B41)/Reference!$D$25,0)&lt;2,0.5,IF(ROUNDDOWN((M$35-$B41)/Reference!$D$25,0)&lt;3,0.75,IF(ROUNDDOWN((M$35-$B41)/Reference!$D$25,0)&lt;4,0.875,0.9375)))))+HLOOKUP($B41,$C$35:$Q$36,2,FALSE)*Reference!$C$26*(1-IF(ROUNDDOWN((M$35-$B41)/Reference!$D$26,0)&lt;1,0,IF(ROUNDDOWN((M$35-$B41)/Reference!$D$26,0)&lt;2,0.5,IF(ROUNDDOWN((M$35-$B41)/Reference!$D$26,0)&lt;3,0.75,IF(ROUNDDOWN((M$35-$B41)/Reference!$D$26,0)&lt;4,0.875,0.9375)))))+HLOOKUP($B41,$C$35:$Q$36,2,FALSE)*Reference!$C$27*(1-IF(ROUNDDOWN((M$35-$B41)/Reference!$D$27,0)&lt;1,0,IF(ROUNDDOWN((M$35-$B41)/Reference!$D$27,0)&lt;2,0.5,IF(ROUNDDOWN((M$35-$B41)/Reference!$D$27,0)&lt;3,0.75,IF(ROUNDDOWN((M$35-$B41)/Reference!$D$27,0)&lt;4,0.875,0.9375)))))+HLOOKUP($B41,$C$35:$Q$36,2,FALSE)*Reference!$C$28*(1-IF(ROUNDDOWN((M$35-$B41)/Reference!$D$28,0)&lt;1,0,IF(ROUNDDOWN((M$35-$B41)/Reference!$D$28,0)&lt;2,0.5,IF(ROUNDDOWN((M$35-$B41)/Reference!$D$28,0)&lt;3,0.75,IF(ROUNDDOWN((M$35-$B41)/Reference!$D$28,0)&lt;4,0.875,0.9375)))))</f>
        <v>0</v>
      </c>
      <c r="N41" s="135">
        <f>HLOOKUP($B41,$C$35:$Q$36,2,FALSE)*Reference!$C$23*(1-IF(ROUNDDOWN((N$35-$B41)/Reference!$D$23,0)&lt;1,0,IF(ROUNDDOWN((N$35-$B41)/Reference!$D$23,0)&lt;2,0.5,IF(ROUNDDOWN((N$35-$B41)/Reference!$D$23,0)&lt;3,0.75,IF(ROUNDDOWN((N$35-$B41)/Reference!$D$23,0)&lt;4,0.875,0.9375)))))+HLOOKUP($B41,$C$35:$Q$36,2,FALSE)*Reference!$C$24*(1-IF(ROUNDDOWN((N$35-$B41)/Reference!$D$24,0)&lt;1,0,IF(ROUNDDOWN((N$35-$B41)/Reference!$D$24,0)&lt;2,0.5,IF(ROUNDDOWN((N$35-$B41)/Reference!$D$24,0)&lt;3,0.75,IF(ROUNDDOWN((N$35-$B41)/Reference!$D$24,0)&lt;4,0.875,0.9375)))))+HLOOKUP($B41,$C$35:$Q$36,2,FALSE)*Reference!$C$25*(1-IF(ROUNDDOWN((N$35-$B41)/Reference!$D$25,0)&lt;1,0,IF(ROUNDDOWN((N$35-$B41)/Reference!$D$25,0)&lt;2,0.5,IF(ROUNDDOWN((N$35-$B41)/Reference!$D$25,0)&lt;3,0.75,IF(ROUNDDOWN((N$35-$B41)/Reference!$D$25,0)&lt;4,0.875,0.9375)))))+HLOOKUP($B41,$C$35:$Q$36,2,FALSE)*Reference!$C$26*(1-IF(ROUNDDOWN((N$35-$B41)/Reference!$D$26,0)&lt;1,0,IF(ROUNDDOWN((N$35-$B41)/Reference!$D$26,0)&lt;2,0.5,IF(ROUNDDOWN((N$35-$B41)/Reference!$D$26,0)&lt;3,0.75,IF(ROUNDDOWN((N$35-$B41)/Reference!$D$26,0)&lt;4,0.875,0.9375)))))+HLOOKUP($B41,$C$35:$Q$36,2,FALSE)*Reference!$C$27*(1-IF(ROUNDDOWN((N$35-$B41)/Reference!$D$27,0)&lt;1,0,IF(ROUNDDOWN((N$35-$B41)/Reference!$D$27,0)&lt;2,0.5,IF(ROUNDDOWN((N$35-$B41)/Reference!$D$27,0)&lt;3,0.75,IF(ROUNDDOWN((N$35-$B41)/Reference!$D$27,0)&lt;4,0.875,0.9375)))))+HLOOKUP($B41,$C$35:$Q$36,2,FALSE)*Reference!$C$28*(1-IF(ROUNDDOWN((N$35-$B41)/Reference!$D$28,0)&lt;1,0,IF(ROUNDDOWN((N$35-$B41)/Reference!$D$28,0)&lt;2,0.5,IF(ROUNDDOWN((N$35-$B41)/Reference!$D$28,0)&lt;3,0.75,IF(ROUNDDOWN((N$35-$B41)/Reference!$D$28,0)&lt;4,0.875,0.9375)))))</f>
        <v>0</v>
      </c>
      <c r="O41" s="135">
        <f>HLOOKUP($B41,$C$35:$Q$36,2,FALSE)*Reference!$C$23*(1-IF(ROUNDDOWN((O$35-$B41)/Reference!$D$23,0)&lt;1,0,IF(ROUNDDOWN((O$35-$B41)/Reference!$D$23,0)&lt;2,0.5,IF(ROUNDDOWN((O$35-$B41)/Reference!$D$23,0)&lt;3,0.75,IF(ROUNDDOWN((O$35-$B41)/Reference!$D$23,0)&lt;4,0.875,0.9375)))))+HLOOKUP($B41,$C$35:$Q$36,2,FALSE)*Reference!$C$24*(1-IF(ROUNDDOWN((O$35-$B41)/Reference!$D$24,0)&lt;1,0,IF(ROUNDDOWN((O$35-$B41)/Reference!$D$24,0)&lt;2,0.5,IF(ROUNDDOWN((O$35-$B41)/Reference!$D$24,0)&lt;3,0.75,IF(ROUNDDOWN((O$35-$B41)/Reference!$D$24,0)&lt;4,0.875,0.9375)))))+HLOOKUP($B41,$C$35:$Q$36,2,FALSE)*Reference!$C$25*(1-IF(ROUNDDOWN((O$35-$B41)/Reference!$D$25,0)&lt;1,0,IF(ROUNDDOWN((O$35-$B41)/Reference!$D$25,0)&lt;2,0.5,IF(ROUNDDOWN((O$35-$B41)/Reference!$D$25,0)&lt;3,0.75,IF(ROUNDDOWN((O$35-$B41)/Reference!$D$25,0)&lt;4,0.875,0.9375)))))+HLOOKUP($B41,$C$35:$Q$36,2,FALSE)*Reference!$C$26*(1-IF(ROUNDDOWN((O$35-$B41)/Reference!$D$26,0)&lt;1,0,IF(ROUNDDOWN((O$35-$B41)/Reference!$D$26,0)&lt;2,0.5,IF(ROUNDDOWN((O$35-$B41)/Reference!$D$26,0)&lt;3,0.75,IF(ROUNDDOWN((O$35-$B41)/Reference!$D$26,0)&lt;4,0.875,0.9375)))))+HLOOKUP($B41,$C$35:$Q$36,2,FALSE)*Reference!$C$27*(1-IF(ROUNDDOWN((O$35-$B41)/Reference!$D$27,0)&lt;1,0,IF(ROUNDDOWN((O$35-$B41)/Reference!$D$27,0)&lt;2,0.5,IF(ROUNDDOWN((O$35-$B41)/Reference!$D$27,0)&lt;3,0.75,IF(ROUNDDOWN((O$35-$B41)/Reference!$D$27,0)&lt;4,0.875,0.9375)))))+HLOOKUP($B41,$C$35:$Q$36,2,FALSE)*Reference!$C$28*(1-IF(ROUNDDOWN((O$35-$B41)/Reference!$D$28,0)&lt;1,0,IF(ROUNDDOWN((O$35-$B41)/Reference!$D$28,0)&lt;2,0.5,IF(ROUNDDOWN((O$35-$B41)/Reference!$D$28,0)&lt;3,0.75,IF(ROUNDDOWN((O$35-$B41)/Reference!$D$28,0)&lt;4,0.875,0.9375)))))</f>
        <v>0</v>
      </c>
      <c r="P41" s="135">
        <f>HLOOKUP($B41,$C$35:$Q$36,2,FALSE)*Reference!$C$23*(1-IF(ROUNDDOWN((P$35-$B41)/Reference!$D$23,0)&lt;1,0,IF(ROUNDDOWN((P$35-$B41)/Reference!$D$23,0)&lt;2,0.5,IF(ROUNDDOWN((P$35-$B41)/Reference!$D$23,0)&lt;3,0.75,IF(ROUNDDOWN((P$35-$B41)/Reference!$D$23,0)&lt;4,0.875,0.9375)))))+HLOOKUP($B41,$C$35:$Q$36,2,FALSE)*Reference!$C$24*(1-IF(ROUNDDOWN((P$35-$B41)/Reference!$D$24,0)&lt;1,0,IF(ROUNDDOWN((P$35-$B41)/Reference!$D$24,0)&lt;2,0.5,IF(ROUNDDOWN((P$35-$B41)/Reference!$D$24,0)&lt;3,0.75,IF(ROUNDDOWN((P$35-$B41)/Reference!$D$24,0)&lt;4,0.875,0.9375)))))+HLOOKUP($B41,$C$35:$Q$36,2,FALSE)*Reference!$C$25*(1-IF(ROUNDDOWN((P$35-$B41)/Reference!$D$25,0)&lt;1,0,IF(ROUNDDOWN((P$35-$B41)/Reference!$D$25,0)&lt;2,0.5,IF(ROUNDDOWN((P$35-$B41)/Reference!$D$25,0)&lt;3,0.75,IF(ROUNDDOWN((P$35-$B41)/Reference!$D$25,0)&lt;4,0.875,0.9375)))))+HLOOKUP($B41,$C$35:$Q$36,2,FALSE)*Reference!$C$26*(1-IF(ROUNDDOWN((P$35-$B41)/Reference!$D$26,0)&lt;1,0,IF(ROUNDDOWN((P$35-$B41)/Reference!$D$26,0)&lt;2,0.5,IF(ROUNDDOWN((P$35-$B41)/Reference!$D$26,0)&lt;3,0.75,IF(ROUNDDOWN((P$35-$B41)/Reference!$D$26,0)&lt;4,0.875,0.9375)))))+HLOOKUP($B41,$C$35:$Q$36,2,FALSE)*Reference!$C$27*(1-IF(ROUNDDOWN((P$35-$B41)/Reference!$D$27,0)&lt;1,0,IF(ROUNDDOWN((P$35-$B41)/Reference!$D$27,0)&lt;2,0.5,IF(ROUNDDOWN((P$35-$B41)/Reference!$D$27,0)&lt;3,0.75,IF(ROUNDDOWN((P$35-$B41)/Reference!$D$27,0)&lt;4,0.875,0.9375)))))+HLOOKUP($B41,$C$35:$Q$36,2,FALSE)*Reference!$C$28*(1-IF(ROUNDDOWN((P$35-$B41)/Reference!$D$28,0)&lt;1,0,IF(ROUNDDOWN((P$35-$B41)/Reference!$D$28,0)&lt;2,0.5,IF(ROUNDDOWN((P$35-$B41)/Reference!$D$28,0)&lt;3,0.75,IF(ROUNDDOWN((P$35-$B41)/Reference!$D$28,0)&lt;4,0.875,0.9375)))))</f>
        <v>0</v>
      </c>
      <c r="Q41" s="135">
        <f>HLOOKUP($B41,$C$35:$Q$36,2,FALSE)*Reference!$C$23*(1-IF(ROUNDDOWN((Q$35-$B41)/Reference!$D$23,0)&lt;1,0,IF(ROUNDDOWN((Q$35-$B41)/Reference!$D$23,0)&lt;2,0.5,IF(ROUNDDOWN((Q$35-$B41)/Reference!$D$23,0)&lt;3,0.75,IF(ROUNDDOWN((Q$35-$B41)/Reference!$D$23,0)&lt;4,0.875,0.9375)))))+HLOOKUP($B41,$C$35:$Q$36,2,FALSE)*Reference!$C$24*(1-IF(ROUNDDOWN((Q$35-$B41)/Reference!$D$24,0)&lt;1,0,IF(ROUNDDOWN((Q$35-$B41)/Reference!$D$24,0)&lt;2,0.5,IF(ROUNDDOWN((Q$35-$B41)/Reference!$D$24,0)&lt;3,0.75,IF(ROUNDDOWN((Q$35-$B41)/Reference!$D$24,0)&lt;4,0.875,0.9375)))))+HLOOKUP($B41,$C$35:$Q$36,2,FALSE)*Reference!$C$25*(1-IF(ROUNDDOWN((Q$35-$B41)/Reference!$D$25,0)&lt;1,0,IF(ROUNDDOWN((Q$35-$B41)/Reference!$D$25,0)&lt;2,0.5,IF(ROUNDDOWN((Q$35-$B41)/Reference!$D$25,0)&lt;3,0.75,IF(ROUNDDOWN((Q$35-$B41)/Reference!$D$25,0)&lt;4,0.875,0.9375)))))+HLOOKUP($B41,$C$35:$Q$36,2,FALSE)*Reference!$C$26*(1-IF(ROUNDDOWN((Q$35-$B41)/Reference!$D$26,0)&lt;1,0,IF(ROUNDDOWN((Q$35-$B41)/Reference!$D$26,0)&lt;2,0.5,IF(ROUNDDOWN((Q$35-$B41)/Reference!$D$26,0)&lt;3,0.75,IF(ROUNDDOWN((Q$35-$B41)/Reference!$D$26,0)&lt;4,0.875,0.9375)))))+HLOOKUP($B41,$C$35:$Q$36,2,FALSE)*Reference!$C$27*(1-IF(ROUNDDOWN((Q$35-$B41)/Reference!$D$27,0)&lt;1,0,IF(ROUNDDOWN((Q$35-$B41)/Reference!$D$27,0)&lt;2,0.5,IF(ROUNDDOWN((Q$35-$B41)/Reference!$D$27,0)&lt;3,0.75,IF(ROUNDDOWN((Q$35-$B41)/Reference!$D$27,0)&lt;4,0.875,0.9375)))))+HLOOKUP($B41,$C$35:$Q$36,2,FALSE)*Reference!$C$28*(1-IF(ROUNDDOWN((Q$35-$B41)/Reference!$D$28,0)&lt;1,0,IF(ROUNDDOWN((Q$35-$B41)/Reference!$D$28,0)&lt;2,0.5,IF(ROUNDDOWN((Q$35-$B41)/Reference!$D$28,0)&lt;3,0.75,IF(ROUNDDOWN((Q$35-$B41)/Reference!$D$28,0)&lt;4,0.875,0.9375)))))</f>
        <v>0</v>
      </c>
      <c r="R41" s="50"/>
    </row>
    <row r="42" spans="2:18" x14ac:dyDescent="0.3">
      <c r="B42" s="237">
        <f t="shared" si="5"/>
        <v>2018</v>
      </c>
      <c r="C42" s="135"/>
      <c r="D42" s="135"/>
      <c r="E42" s="135"/>
      <c r="F42" s="135">
        <f>HLOOKUP($B42,$C$35:$Q$36,2,FALSE)*Reference!$C$23*(1-IF(ROUNDDOWN((F$35-$B42)/Reference!$D$23,0)&lt;1,0,IF(ROUNDDOWN((F$35-$B42)/Reference!$D$23,0)&lt;2,0.5,IF(ROUNDDOWN((F$35-$B42)/Reference!$D$23,0)&lt;3,0.75,IF(ROUNDDOWN((F$35-$B42)/Reference!$D$23,0)&lt;4,0.875,0.9375)))))+HLOOKUP($B42,$C$35:$Q$36,2,FALSE)*Reference!$C$24*(1-IF(ROUNDDOWN((F$35-$B42)/Reference!$D$24,0)&lt;1,0,IF(ROUNDDOWN((F$35-$B42)/Reference!$D$24,0)&lt;2,0.5,IF(ROUNDDOWN((F$35-$B42)/Reference!$D$24,0)&lt;3,0.75,IF(ROUNDDOWN((F$35-$B42)/Reference!$D$24,0)&lt;4,0.875,0.9375)))))+HLOOKUP($B42,$C$35:$Q$36,2,FALSE)*Reference!$C$25*(1-IF(ROUNDDOWN((F$35-$B42)/Reference!$D$25,0)&lt;1,0,IF(ROUNDDOWN((F$35-$B42)/Reference!$D$25,0)&lt;2,0.5,IF(ROUNDDOWN((F$35-$B42)/Reference!$D$25,0)&lt;3,0.75,IF(ROUNDDOWN((F$35-$B42)/Reference!$D$25,0)&lt;4,0.875,0.9375)))))+HLOOKUP($B42,$C$35:$Q$36,2,FALSE)*Reference!$C$26*(1-IF(ROUNDDOWN((F$35-$B42)/Reference!$D$26,0)&lt;1,0,IF(ROUNDDOWN((F$35-$B42)/Reference!$D$26,0)&lt;2,0.5,IF(ROUNDDOWN((F$35-$B42)/Reference!$D$26,0)&lt;3,0.75,IF(ROUNDDOWN((F$35-$B42)/Reference!$D$26,0)&lt;4,0.875,0.9375)))))+HLOOKUP($B42,$C$35:$Q$36,2,FALSE)*Reference!$C$27*(1-IF(ROUNDDOWN((F$35-$B42)/Reference!$D$27,0)&lt;1,0,IF(ROUNDDOWN((F$35-$B42)/Reference!$D$27,0)&lt;2,0.5,IF(ROUNDDOWN((F$35-$B42)/Reference!$D$27,0)&lt;3,0.75,IF(ROUNDDOWN((F$35-$B42)/Reference!$D$27,0)&lt;4,0.875,0.9375)))))+HLOOKUP($B42,$C$35:$Q$36,2,FALSE)*Reference!$C$28*(1-IF(ROUNDDOWN((F$35-$B42)/Reference!$D$28,0)&lt;1,0,IF(ROUNDDOWN((F$35-$B42)/Reference!$D$28,0)&lt;2,0.5,IF(ROUNDDOWN((F$35-$B42)/Reference!$D$28,0)&lt;3,0.75,IF(ROUNDDOWN((F$35-$B42)/Reference!$D$28,0)&lt;4,0.875,0.9375)))))</f>
        <v>0</v>
      </c>
      <c r="G42" s="135">
        <f>HLOOKUP($B42,$C$35:$Q$36,2,FALSE)*Reference!$C$23*(1-IF(ROUNDDOWN((G$35-$B42)/Reference!$D$23,0)&lt;1,0,IF(ROUNDDOWN((G$35-$B42)/Reference!$D$23,0)&lt;2,0.5,IF(ROUNDDOWN((G$35-$B42)/Reference!$D$23,0)&lt;3,0.75,IF(ROUNDDOWN((G$35-$B42)/Reference!$D$23,0)&lt;4,0.875,0.9375)))))+HLOOKUP($B42,$C$35:$Q$36,2,FALSE)*Reference!$C$24*(1-IF(ROUNDDOWN((G$35-$B42)/Reference!$D$24,0)&lt;1,0,IF(ROUNDDOWN((G$35-$B42)/Reference!$D$24,0)&lt;2,0.5,IF(ROUNDDOWN((G$35-$B42)/Reference!$D$24,0)&lt;3,0.75,IF(ROUNDDOWN((G$35-$B42)/Reference!$D$24,0)&lt;4,0.875,0.9375)))))+HLOOKUP($B42,$C$35:$Q$36,2,FALSE)*Reference!$C$25*(1-IF(ROUNDDOWN((G$35-$B42)/Reference!$D$25,0)&lt;1,0,IF(ROUNDDOWN((G$35-$B42)/Reference!$D$25,0)&lt;2,0.5,IF(ROUNDDOWN((G$35-$B42)/Reference!$D$25,0)&lt;3,0.75,IF(ROUNDDOWN((G$35-$B42)/Reference!$D$25,0)&lt;4,0.875,0.9375)))))+HLOOKUP($B42,$C$35:$Q$36,2,FALSE)*Reference!$C$26*(1-IF(ROUNDDOWN((G$35-$B42)/Reference!$D$26,0)&lt;1,0,IF(ROUNDDOWN((G$35-$B42)/Reference!$D$26,0)&lt;2,0.5,IF(ROUNDDOWN((G$35-$B42)/Reference!$D$26,0)&lt;3,0.75,IF(ROUNDDOWN((G$35-$B42)/Reference!$D$26,0)&lt;4,0.875,0.9375)))))+HLOOKUP($B42,$C$35:$Q$36,2,FALSE)*Reference!$C$27*(1-IF(ROUNDDOWN((G$35-$B42)/Reference!$D$27,0)&lt;1,0,IF(ROUNDDOWN((G$35-$B42)/Reference!$D$27,0)&lt;2,0.5,IF(ROUNDDOWN((G$35-$B42)/Reference!$D$27,0)&lt;3,0.75,IF(ROUNDDOWN((G$35-$B42)/Reference!$D$27,0)&lt;4,0.875,0.9375)))))+HLOOKUP($B42,$C$35:$Q$36,2,FALSE)*Reference!$C$28*(1-IF(ROUNDDOWN((G$35-$B42)/Reference!$D$28,0)&lt;1,0,IF(ROUNDDOWN((G$35-$B42)/Reference!$D$28,0)&lt;2,0.5,IF(ROUNDDOWN((G$35-$B42)/Reference!$D$28,0)&lt;3,0.75,IF(ROUNDDOWN((G$35-$B42)/Reference!$D$28,0)&lt;4,0.875,0.9375)))))</f>
        <v>0</v>
      </c>
      <c r="H42" s="135">
        <f>HLOOKUP($B42,$C$35:$Q$36,2,FALSE)*Reference!$C$23*(1-IF(ROUNDDOWN((H$35-$B42)/Reference!$D$23,0)&lt;1,0,IF(ROUNDDOWN((H$35-$B42)/Reference!$D$23,0)&lt;2,0.5,IF(ROUNDDOWN((H$35-$B42)/Reference!$D$23,0)&lt;3,0.75,IF(ROUNDDOWN((H$35-$B42)/Reference!$D$23,0)&lt;4,0.875,0.9375)))))+HLOOKUP($B42,$C$35:$Q$36,2,FALSE)*Reference!$C$24*(1-IF(ROUNDDOWN((H$35-$B42)/Reference!$D$24,0)&lt;1,0,IF(ROUNDDOWN((H$35-$B42)/Reference!$D$24,0)&lt;2,0.5,IF(ROUNDDOWN((H$35-$B42)/Reference!$D$24,0)&lt;3,0.75,IF(ROUNDDOWN((H$35-$B42)/Reference!$D$24,0)&lt;4,0.875,0.9375)))))+HLOOKUP($B42,$C$35:$Q$36,2,FALSE)*Reference!$C$25*(1-IF(ROUNDDOWN((H$35-$B42)/Reference!$D$25,0)&lt;1,0,IF(ROUNDDOWN((H$35-$B42)/Reference!$D$25,0)&lt;2,0.5,IF(ROUNDDOWN((H$35-$B42)/Reference!$D$25,0)&lt;3,0.75,IF(ROUNDDOWN((H$35-$B42)/Reference!$D$25,0)&lt;4,0.875,0.9375)))))+HLOOKUP($B42,$C$35:$Q$36,2,FALSE)*Reference!$C$26*(1-IF(ROUNDDOWN((H$35-$B42)/Reference!$D$26,0)&lt;1,0,IF(ROUNDDOWN((H$35-$B42)/Reference!$D$26,0)&lt;2,0.5,IF(ROUNDDOWN((H$35-$B42)/Reference!$D$26,0)&lt;3,0.75,IF(ROUNDDOWN((H$35-$B42)/Reference!$D$26,0)&lt;4,0.875,0.9375)))))+HLOOKUP($B42,$C$35:$Q$36,2,FALSE)*Reference!$C$27*(1-IF(ROUNDDOWN((H$35-$B42)/Reference!$D$27,0)&lt;1,0,IF(ROUNDDOWN((H$35-$B42)/Reference!$D$27,0)&lt;2,0.5,IF(ROUNDDOWN((H$35-$B42)/Reference!$D$27,0)&lt;3,0.75,IF(ROUNDDOWN((H$35-$B42)/Reference!$D$27,0)&lt;4,0.875,0.9375)))))+HLOOKUP($B42,$C$35:$Q$36,2,FALSE)*Reference!$C$28*(1-IF(ROUNDDOWN((H$35-$B42)/Reference!$D$28,0)&lt;1,0,IF(ROUNDDOWN((H$35-$B42)/Reference!$D$28,0)&lt;2,0.5,IF(ROUNDDOWN((H$35-$B42)/Reference!$D$28,0)&lt;3,0.75,IF(ROUNDDOWN((H$35-$B42)/Reference!$D$28,0)&lt;4,0.875,0.9375)))))</f>
        <v>0</v>
      </c>
      <c r="I42" s="135">
        <f>HLOOKUP($B42,$C$35:$Q$36,2,FALSE)*Reference!$C$23*(1-IF(ROUNDDOWN((I$35-$B42)/Reference!$D$23,0)&lt;1,0,IF(ROUNDDOWN((I$35-$B42)/Reference!$D$23,0)&lt;2,0.5,IF(ROUNDDOWN((I$35-$B42)/Reference!$D$23,0)&lt;3,0.75,IF(ROUNDDOWN((I$35-$B42)/Reference!$D$23,0)&lt;4,0.875,0.9375)))))+HLOOKUP($B42,$C$35:$Q$36,2,FALSE)*Reference!$C$24*(1-IF(ROUNDDOWN((I$35-$B42)/Reference!$D$24,0)&lt;1,0,IF(ROUNDDOWN((I$35-$B42)/Reference!$D$24,0)&lt;2,0.5,IF(ROUNDDOWN((I$35-$B42)/Reference!$D$24,0)&lt;3,0.75,IF(ROUNDDOWN((I$35-$B42)/Reference!$D$24,0)&lt;4,0.875,0.9375)))))+HLOOKUP($B42,$C$35:$Q$36,2,FALSE)*Reference!$C$25*(1-IF(ROUNDDOWN((I$35-$B42)/Reference!$D$25,0)&lt;1,0,IF(ROUNDDOWN((I$35-$B42)/Reference!$D$25,0)&lt;2,0.5,IF(ROUNDDOWN((I$35-$B42)/Reference!$D$25,0)&lt;3,0.75,IF(ROUNDDOWN((I$35-$B42)/Reference!$D$25,0)&lt;4,0.875,0.9375)))))+HLOOKUP($B42,$C$35:$Q$36,2,FALSE)*Reference!$C$26*(1-IF(ROUNDDOWN((I$35-$B42)/Reference!$D$26,0)&lt;1,0,IF(ROUNDDOWN((I$35-$B42)/Reference!$D$26,0)&lt;2,0.5,IF(ROUNDDOWN((I$35-$B42)/Reference!$D$26,0)&lt;3,0.75,IF(ROUNDDOWN((I$35-$B42)/Reference!$D$26,0)&lt;4,0.875,0.9375)))))+HLOOKUP($B42,$C$35:$Q$36,2,FALSE)*Reference!$C$27*(1-IF(ROUNDDOWN((I$35-$B42)/Reference!$D$27,0)&lt;1,0,IF(ROUNDDOWN((I$35-$B42)/Reference!$D$27,0)&lt;2,0.5,IF(ROUNDDOWN((I$35-$B42)/Reference!$D$27,0)&lt;3,0.75,IF(ROUNDDOWN((I$35-$B42)/Reference!$D$27,0)&lt;4,0.875,0.9375)))))+HLOOKUP($B42,$C$35:$Q$36,2,FALSE)*Reference!$C$28*(1-IF(ROUNDDOWN((I$35-$B42)/Reference!$D$28,0)&lt;1,0,IF(ROUNDDOWN((I$35-$B42)/Reference!$D$28,0)&lt;2,0.5,IF(ROUNDDOWN((I$35-$B42)/Reference!$D$28,0)&lt;3,0.75,IF(ROUNDDOWN((I$35-$B42)/Reference!$D$28,0)&lt;4,0.875,0.9375)))))</f>
        <v>0</v>
      </c>
      <c r="J42" s="135">
        <f>HLOOKUP($B42,$C$35:$Q$36,2,FALSE)*Reference!$C$23*(1-IF(ROUNDDOWN((J$35-$B42)/Reference!$D$23,0)&lt;1,0,IF(ROUNDDOWN((J$35-$B42)/Reference!$D$23,0)&lt;2,0.5,IF(ROUNDDOWN((J$35-$B42)/Reference!$D$23,0)&lt;3,0.75,IF(ROUNDDOWN((J$35-$B42)/Reference!$D$23,0)&lt;4,0.875,0.9375)))))+HLOOKUP($B42,$C$35:$Q$36,2,FALSE)*Reference!$C$24*(1-IF(ROUNDDOWN((J$35-$B42)/Reference!$D$24,0)&lt;1,0,IF(ROUNDDOWN((J$35-$B42)/Reference!$D$24,0)&lt;2,0.5,IF(ROUNDDOWN((J$35-$B42)/Reference!$D$24,0)&lt;3,0.75,IF(ROUNDDOWN((J$35-$B42)/Reference!$D$24,0)&lt;4,0.875,0.9375)))))+HLOOKUP($B42,$C$35:$Q$36,2,FALSE)*Reference!$C$25*(1-IF(ROUNDDOWN((J$35-$B42)/Reference!$D$25,0)&lt;1,0,IF(ROUNDDOWN((J$35-$B42)/Reference!$D$25,0)&lt;2,0.5,IF(ROUNDDOWN((J$35-$B42)/Reference!$D$25,0)&lt;3,0.75,IF(ROUNDDOWN((J$35-$B42)/Reference!$D$25,0)&lt;4,0.875,0.9375)))))+HLOOKUP($B42,$C$35:$Q$36,2,FALSE)*Reference!$C$26*(1-IF(ROUNDDOWN((J$35-$B42)/Reference!$D$26,0)&lt;1,0,IF(ROUNDDOWN((J$35-$B42)/Reference!$D$26,0)&lt;2,0.5,IF(ROUNDDOWN((J$35-$B42)/Reference!$D$26,0)&lt;3,0.75,IF(ROUNDDOWN((J$35-$B42)/Reference!$D$26,0)&lt;4,0.875,0.9375)))))+HLOOKUP($B42,$C$35:$Q$36,2,FALSE)*Reference!$C$27*(1-IF(ROUNDDOWN((J$35-$B42)/Reference!$D$27,0)&lt;1,0,IF(ROUNDDOWN((J$35-$B42)/Reference!$D$27,0)&lt;2,0.5,IF(ROUNDDOWN((J$35-$B42)/Reference!$D$27,0)&lt;3,0.75,IF(ROUNDDOWN((J$35-$B42)/Reference!$D$27,0)&lt;4,0.875,0.9375)))))+HLOOKUP($B42,$C$35:$Q$36,2,FALSE)*Reference!$C$28*(1-IF(ROUNDDOWN((J$35-$B42)/Reference!$D$28,0)&lt;1,0,IF(ROUNDDOWN((J$35-$B42)/Reference!$D$28,0)&lt;2,0.5,IF(ROUNDDOWN((J$35-$B42)/Reference!$D$28,0)&lt;3,0.75,IF(ROUNDDOWN((J$35-$B42)/Reference!$D$28,0)&lt;4,0.875,0.9375)))))</f>
        <v>0</v>
      </c>
      <c r="K42" s="135">
        <f>HLOOKUP($B42,$C$35:$Q$36,2,FALSE)*Reference!$C$23*(1-IF(ROUNDDOWN((K$35-$B42)/Reference!$D$23,0)&lt;1,0,IF(ROUNDDOWN((K$35-$B42)/Reference!$D$23,0)&lt;2,0.5,IF(ROUNDDOWN((K$35-$B42)/Reference!$D$23,0)&lt;3,0.75,IF(ROUNDDOWN((K$35-$B42)/Reference!$D$23,0)&lt;4,0.875,0.9375)))))+HLOOKUP($B42,$C$35:$Q$36,2,FALSE)*Reference!$C$24*(1-IF(ROUNDDOWN((K$35-$B42)/Reference!$D$24,0)&lt;1,0,IF(ROUNDDOWN((K$35-$B42)/Reference!$D$24,0)&lt;2,0.5,IF(ROUNDDOWN((K$35-$B42)/Reference!$D$24,0)&lt;3,0.75,IF(ROUNDDOWN((K$35-$B42)/Reference!$D$24,0)&lt;4,0.875,0.9375)))))+HLOOKUP($B42,$C$35:$Q$36,2,FALSE)*Reference!$C$25*(1-IF(ROUNDDOWN((K$35-$B42)/Reference!$D$25,0)&lt;1,0,IF(ROUNDDOWN((K$35-$B42)/Reference!$D$25,0)&lt;2,0.5,IF(ROUNDDOWN((K$35-$B42)/Reference!$D$25,0)&lt;3,0.75,IF(ROUNDDOWN((K$35-$B42)/Reference!$D$25,0)&lt;4,0.875,0.9375)))))+HLOOKUP($B42,$C$35:$Q$36,2,FALSE)*Reference!$C$26*(1-IF(ROUNDDOWN((K$35-$B42)/Reference!$D$26,0)&lt;1,0,IF(ROUNDDOWN((K$35-$B42)/Reference!$D$26,0)&lt;2,0.5,IF(ROUNDDOWN((K$35-$B42)/Reference!$D$26,0)&lt;3,0.75,IF(ROUNDDOWN((K$35-$B42)/Reference!$D$26,0)&lt;4,0.875,0.9375)))))+HLOOKUP($B42,$C$35:$Q$36,2,FALSE)*Reference!$C$27*(1-IF(ROUNDDOWN((K$35-$B42)/Reference!$D$27,0)&lt;1,0,IF(ROUNDDOWN((K$35-$B42)/Reference!$D$27,0)&lt;2,0.5,IF(ROUNDDOWN((K$35-$B42)/Reference!$D$27,0)&lt;3,0.75,IF(ROUNDDOWN((K$35-$B42)/Reference!$D$27,0)&lt;4,0.875,0.9375)))))+HLOOKUP($B42,$C$35:$Q$36,2,FALSE)*Reference!$C$28*(1-IF(ROUNDDOWN((K$35-$B42)/Reference!$D$28,0)&lt;1,0,IF(ROUNDDOWN((K$35-$B42)/Reference!$D$28,0)&lt;2,0.5,IF(ROUNDDOWN((K$35-$B42)/Reference!$D$28,0)&lt;3,0.75,IF(ROUNDDOWN((K$35-$B42)/Reference!$D$28,0)&lt;4,0.875,0.9375)))))</f>
        <v>0</v>
      </c>
      <c r="L42" s="135">
        <f>HLOOKUP($B42,$C$35:$Q$36,2,FALSE)*Reference!$C$23*(1-IF(ROUNDDOWN((L$35-$B42)/Reference!$D$23,0)&lt;1,0,IF(ROUNDDOWN((L$35-$B42)/Reference!$D$23,0)&lt;2,0.5,IF(ROUNDDOWN((L$35-$B42)/Reference!$D$23,0)&lt;3,0.75,IF(ROUNDDOWN((L$35-$B42)/Reference!$D$23,0)&lt;4,0.875,0.9375)))))+HLOOKUP($B42,$C$35:$Q$36,2,FALSE)*Reference!$C$24*(1-IF(ROUNDDOWN((L$35-$B42)/Reference!$D$24,0)&lt;1,0,IF(ROUNDDOWN((L$35-$B42)/Reference!$D$24,0)&lt;2,0.5,IF(ROUNDDOWN((L$35-$B42)/Reference!$D$24,0)&lt;3,0.75,IF(ROUNDDOWN((L$35-$B42)/Reference!$D$24,0)&lt;4,0.875,0.9375)))))+HLOOKUP($B42,$C$35:$Q$36,2,FALSE)*Reference!$C$25*(1-IF(ROUNDDOWN((L$35-$B42)/Reference!$D$25,0)&lt;1,0,IF(ROUNDDOWN((L$35-$B42)/Reference!$D$25,0)&lt;2,0.5,IF(ROUNDDOWN((L$35-$B42)/Reference!$D$25,0)&lt;3,0.75,IF(ROUNDDOWN((L$35-$B42)/Reference!$D$25,0)&lt;4,0.875,0.9375)))))+HLOOKUP($B42,$C$35:$Q$36,2,FALSE)*Reference!$C$26*(1-IF(ROUNDDOWN((L$35-$B42)/Reference!$D$26,0)&lt;1,0,IF(ROUNDDOWN((L$35-$B42)/Reference!$D$26,0)&lt;2,0.5,IF(ROUNDDOWN((L$35-$B42)/Reference!$D$26,0)&lt;3,0.75,IF(ROUNDDOWN((L$35-$B42)/Reference!$D$26,0)&lt;4,0.875,0.9375)))))+HLOOKUP($B42,$C$35:$Q$36,2,FALSE)*Reference!$C$27*(1-IF(ROUNDDOWN((L$35-$B42)/Reference!$D$27,0)&lt;1,0,IF(ROUNDDOWN((L$35-$B42)/Reference!$D$27,0)&lt;2,0.5,IF(ROUNDDOWN((L$35-$B42)/Reference!$D$27,0)&lt;3,0.75,IF(ROUNDDOWN((L$35-$B42)/Reference!$D$27,0)&lt;4,0.875,0.9375)))))+HLOOKUP($B42,$C$35:$Q$36,2,FALSE)*Reference!$C$28*(1-IF(ROUNDDOWN((L$35-$B42)/Reference!$D$28,0)&lt;1,0,IF(ROUNDDOWN((L$35-$B42)/Reference!$D$28,0)&lt;2,0.5,IF(ROUNDDOWN((L$35-$B42)/Reference!$D$28,0)&lt;3,0.75,IF(ROUNDDOWN((L$35-$B42)/Reference!$D$28,0)&lt;4,0.875,0.9375)))))</f>
        <v>0</v>
      </c>
      <c r="M42" s="135">
        <f>HLOOKUP($B42,$C$35:$Q$36,2,FALSE)*Reference!$C$23*(1-IF(ROUNDDOWN((M$35-$B42)/Reference!$D$23,0)&lt;1,0,IF(ROUNDDOWN((M$35-$B42)/Reference!$D$23,0)&lt;2,0.5,IF(ROUNDDOWN((M$35-$B42)/Reference!$D$23,0)&lt;3,0.75,IF(ROUNDDOWN((M$35-$B42)/Reference!$D$23,0)&lt;4,0.875,0.9375)))))+HLOOKUP($B42,$C$35:$Q$36,2,FALSE)*Reference!$C$24*(1-IF(ROUNDDOWN((M$35-$B42)/Reference!$D$24,0)&lt;1,0,IF(ROUNDDOWN((M$35-$B42)/Reference!$D$24,0)&lt;2,0.5,IF(ROUNDDOWN((M$35-$B42)/Reference!$D$24,0)&lt;3,0.75,IF(ROUNDDOWN((M$35-$B42)/Reference!$D$24,0)&lt;4,0.875,0.9375)))))+HLOOKUP($B42,$C$35:$Q$36,2,FALSE)*Reference!$C$25*(1-IF(ROUNDDOWN((M$35-$B42)/Reference!$D$25,0)&lt;1,0,IF(ROUNDDOWN((M$35-$B42)/Reference!$D$25,0)&lt;2,0.5,IF(ROUNDDOWN((M$35-$B42)/Reference!$D$25,0)&lt;3,0.75,IF(ROUNDDOWN((M$35-$B42)/Reference!$D$25,0)&lt;4,0.875,0.9375)))))+HLOOKUP($B42,$C$35:$Q$36,2,FALSE)*Reference!$C$26*(1-IF(ROUNDDOWN((M$35-$B42)/Reference!$D$26,0)&lt;1,0,IF(ROUNDDOWN((M$35-$B42)/Reference!$D$26,0)&lt;2,0.5,IF(ROUNDDOWN((M$35-$B42)/Reference!$D$26,0)&lt;3,0.75,IF(ROUNDDOWN((M$35-$B42)/Reference!$D$26,0)&lt;4,0.875,0.9375)))))+HLOOKUP($B42,$C$35:$Q$36,2,FALSE)*Reference!$C$27*(1-IF(ROUNDDOWN((M$35-$B42)/Reference!$D$27,0)&lt;1,0,IF(ROUNDDOWN((M$35-$B42)/Reference!$D$27,0)&lt;2,0.5,IF(ROUNDDOWN((M$35-$B42)/Reference!$D$27,0)&lt;3,0.75,IF(ROUNDDOWN((M$35-$B42)/Reference!$D$27,0)&lt;4,0.875,0.9375)))))+HLOOKUP($B42,$C$35:$Q$36,2,FALSE)*Reference!$C$28*(1-IF(ROUNDDOWN((M$35-$B42)/Reference!$D$28,0)&lt;1,0,IF(ROUNDDOWN((M$35-$B42)/Reference!$D$28,0)&lt;2,0.5,IF(ROUNDDOWN((M$35-$B42)/Reference!$D$28,0)&lt;3,0.75,IF(ROUNDDOWN((M$35-$B42)/Reference!$D$28,0)&lt;4,0.875,0.9375)))))</f>
        <v>0</v>
      </c>
      <c r="N42" s="135">
        <f>HLOOKUP($B42,$C$35:$Q$36,2,FALSE)*Reference!$C$23*(1-IF(ROUNDDOWN((N$35-$B42)/Reference!$D$23,0)&lt;1,0,IF(ROUNDDOWN((N$35-$B42)/Reference!$D$23,0)&lt;2,0.5,IF(ROUNDDOWN((N$35-$B42)/Reference!$D$23,0)&lt;3,0.75,IF(ROUNDDOWN((N$35-$B42)/Reference!$D$23,0)&lt;4,0.875,0.9375)))))+HLOOKUP($B42,$C$35:$Q$36,2,FALSE)*Reference!$C$24*(1-IF(ROUNDDOWN((N$35-$B42)/Reference!$D$24,0)&lt;1,0,IF(ROUNDDOWN((N$35-$B42)/Reference!$D$24,0)&lt;2,0.5,IF(ROUNDDOWN((N$35-$B42)/Reference!$D$24,0)&lt;3,0.75,IF(ROUNDDOWN((N$35-$B42)/Reference!$D$24,0)&lt;4,0.875,0.9375)))))+HLOOKUP($B42,$C$35:$Q$36,2,FALSE)*Reference!$C$25*(1-IF(ROUNDDOWN((N$35-$B42)/Reference!$D$25,0)&lt;1,0,IF(ROUNDDOWN((N$35-$B42)/Reference!$D$25,0)&lt;2,0.5,IF(ROUNDDOWN((N$35-$B42)/Reference!$D$25,0)&lt;3,0.75,IF(ROUNDDOWN((N$35-$B42)/Reference!$D$25,0)&lt;4,0.875,0.9375)))))+HLOOKUP($B42,$C$35:$Q$36,2,FALSE)*Reference!$C$26*(1-IF(ROUNDDOWN((N$35-$B42)/Reference!$D$26,0)&lt;1,0,IF(ROUNDDOWN((N$35-$B42)/Reference!$D$26,0)&lt;2,0.5,IF(ROUNDDOWN((N$35-$B42)/Reference!$D$26,0)&lt;3,0.75,IF(ROUNDDOWN((N$35-$B42)/Reference!$D$26,0)&lt;4,0.875,0.9375)))))+HLOOKUP($B42,$C$35:$Q$36,2,FALSE)*Reference!$C$27*(1-IF(ROUNDDOWN((N$35-$B42)/Reference!$D$27,0)&lt;1,0,IF(ROUNDDOWN((N$35-$B42)/Reference!$D$27,0)&lt;2,0.5,IF(ROUNDDOWN((N$35-$B42)/Reference!$D$27,0)&lt;3,0.75,IF(ROUNDDOWN((N$35-$B42)/Reference!$D$27,0)&lt;4,0.875,0.9375)))))+HLOOKUP($B42,$C$35:$Q$36,2,FALSE)*Reference!$C$28*(1-IF(ROUNDDOWN((N$35-$B42)/Reference!$D$28,0)&lt;1,0,IF(ROUNDDOWN((N$35-$B42)/Reference!$D$28,0)&lt;2,0.5,IF(ROUNDDOWN((N$35-$B42)/Reference!$D$28,0)&lt;3,0.75,IF(ROUNDDOWN((N$35-$B42)/Reference!$D$28,0)&lt;4,0.875,0.9375)))))</f>
        <v>0</v>
      </c>
      <c r="O42" s="135">
        <f>HLOOKUP($B42,$C$35:$Q$36,2,FALSE)*Reference!$C$23*(1-IF(ROUNDDOWN((O$35-$B42)/Reference!$D$23,0)&lt;1,0,IF(ROUNDDOWN((O$35-$B42)/Reference!$D$23,0)&lt;2,0.5,IF(ROUNDDOWN((O$35-$B42)/Reference!$D$23,0)&lt;3,0.75,IF(ROUNDDOWN((O$35-$B42)/Reference!$D$23,0)&lt;4,0.875,0.9375)))))+HLOOKUP($B42,$C$35:$Q$36,2,FALSE)*Reference!$C$24*(1-IF(ROUNDDOWN((O$35-$B42)/Reference!$D$24,0)&lt;1,0,IF(ROUNDDOWN((O$35-$B42)/Reference!$D$24,0)&lt;2,0.5,IF(ROUNDDOWN((O$35-$B42)/Reference!$D$24,0)&lt;3,0.75,IF(ROUNDDOWN((O$35-$B42)/Reference!$D$24,0)&lt;4,0.875,0.9375)))))+HLOOKUP($B42,$C$35:$Q$36,2,FALSE)*Reference!$C$25*(1-IF(ROUNDDOWN((O$35-$B42)/Reference!$D$25,0)&lt;1,0,IF(ROUNDDOWN((O$35-$B42)/Reference!$D$25,0)&lt;2,0.5,IF(ROUNDDOWN((O$35-$B42)/Reference!$D$25,0)&lt;3,0.75,IF(ROUNDDOWN((O$35-$B42)/Reference!$D$25,0)&lt;4,0.875,0.9375)))))+HLOOKUP($B42,$C$35:$Q$36,2,FALSE)*Reference!$C$26*(1-IF(ROUNDDOWN((O$35-$B42)/Reference!$D$26,0)&lt;1,0,IF(ROUNDDOWN((O$35-$B42)/Reference!$D$26,0)&lt;2,0.5,IF(ROUNDDOWN((O$35-$B42)/Reference!$D$26,0)&lt;3,0.75,IF(ROUNDDOWN((O$35-$B42)/Reference!$D$26,0)&lt;4,0.875,0.9375)))))+HLOOKUP($B42,$C$35:$Q$36,2,FALSE)*Reference!$C$27*(1-IF(ROUNDDOWN((O$35-$B42)/Reference!$D$27,0)&lt;1,0,IF(ROUNDDOWN((O$35-$B42)/Reference!$D$27,0)&lt;2,0.5,IF(ROUNDDOWN((O$35-$B42)/Reference!$D$27,0)&lt;3,0.75,IF(ROUNDDOWN((O$35-$B42)/Reference!$D$27,0)&lt;4,0.875,0.9375)))))+HLOOKUP($B42,$C$35:$Q$36,2,FALSE)*Reference!$C$28*(1-IF(ROUNDDOWN((O$35-$B42)/Reference!$D$28,0)&lt;1,0,IF(ROUNDDOWN((O$35-$B42)/Reference!$D$28,0)&lt;2,0.5,IF(ROUNDDOWN((O$35-$B42)/Reference!$D$28,0)&lt;3,0.75,IF(ROUNDDOWN((O$35-$B42)/Reference!$D$28,0)&lt;4,0.875,0.9375)))))</f>
        <v>0</v>
      </c>
      <c r="P42" s="135">
        <f>HLOOKUP($B42,$C$35:$Q$36,2,FALSE)*Reference!$C$23*(1-IF(ROUNDDOWN((P$35-$B42)/Reference!$D$23,0)&lt;1,0,IF(ROUNDDOWN((P$35-$B42)/Reference!$D$23,0)&lt;2,0.5,IF(ROUNDDOWN((P$35-$B42)/Reference!$D$23,0)&lt;3,0.75,IF(ROUNDDOWN((P$35-$B42)/Reference!$D$23,0)&lt;4,0.875,0.9375)))))+HLOOKUP($B42,$C$35:$Q$36,2,FALSE)*Reference!$C$24*(1-IF(ROUNDDOWN((P$35-$B42)/Reference!$D$24,0)&lt;1,0,IF(ROUNDDOWN((P$35-$B42)/Reference!$D$24,0)&lt;2,0.5,IF(ROUNDDOWN((P$35-$B42)/Reference!$D$24,0)&lt;3,0.75,IF(ROUNDDOWN((P$35-$B42)/Reference!$D$24,0)&lt;4,0.875,0.9375)))))+HLOOKUP($B42,$C$35:$Q$36,2,FALSE)*Reference!$C$25*(1-IF(ROUNDDOWN((P$35-$B42)/Reference!$D$25,0)&lt;1,0,IF(ROUNDDOWN((P$35-$B42)/Reference!$D$25,0)&lt;2,0.5,IF(ROUNDDOWN((P$35-$B42)/Reference!$D$25,0)&lt;3,0.75,IF(ROUNDDOWN((P$35-$B42)/Reference!$D$25,0)&lt;4,0.875,0.9375)))))+HLOOKUP($B42,$C$35:$Q$36,2,FALSE)*Reference!$C$26*(1-IF(ROUNDDOWN((P$35-$B42)/Reference!$D$26,0)&lt;1,0,IF(ROUNDDOWN((P$35-$B42)/Reference!$D$26,0)&lt;2,0.5,IF(ROUNDDOWN((P$35-$B42)/Reference!$D$26,0)&lt;3,0.75,IF(ROUNDDOWN((P$35-$B42)/Reference!$D$26,0)&lt;4,0.875,0.9375)))))+HLOOKUP($B42,$C$35:$Q$36,2,FALSE)*Reference!$C$27*(1-IF(ROUNDDOWN((P$35-$B42)/Reference!$D$27,0)&lt;1,0,IF(ROUNDDOWN((P$35-$B42)/Reference!$D$27,0)&lt;2,0.5,IF(ROUNDDOWN((P$35-$B42)/Reference!$D$27,0)&lt;3,0.75,IF(ROUNDDOWN((P$35-$B42)/Reference!$D$27,0)&lt;4,0.875,0.9375)))))+HLOOKUP($B42,$C$35:$Q$36,2,FALSE)*Reference!$C$28*(1-IF(ROUNDDOWN((P$35-$B42)/Reference!$D$28,0)&lt;1,0,IF(ROUNDDOWN((P$35-$B42)/Reference!$D$28,0)&lt;2,0.5,IF(ROUNDDOWN((P$35-$B42)/Reference!$D$28,0)&lt;3,0.75,IF(ROUNDDOWN((P$35-$B42)/Reference!$D$28,0)&lt;4,0.875,0.9375)))))</f>
        <v>0</v>
      </c>
      <c r="Q42" s="135">
        <f>HLOOKUP($B42,$C$35:$Q$36,2,FALSE)*Reference!$C$23*(1-IF(ROUNDDOWN((Q$35-$B42)/Reference!$D$23,0)&lt;1,0,IF(ROUNDDOWN((Q$35-$B42)/Reference!$D$23,0)&lt;2,0.5,IF(ROUNDDOWN((Q$35-$B42)/Reference!$D$23,0)&lt;3,0.75,IF(ROUNDDOWN((Q$35-$B42)/Reference!$D$23,0)&lt;4,0.875,0.9375)))))+HLOOKUP($B42,$C$35:$Q$36,2,FALSE)*Reference!$C$24*(1-IF(ROUNDDOWN((Q$35-$B42)/Reference!$D$24,0)&lt;1,0,IF(ROUNDDOWN((Q$35-$B42)/Reference!$D$24,0)&lt;2,0.5,IF(ROUNDDOWN((Q$35-$B42)/Reference!$D$24,0)&lt;3,0.75,IF(ROUNDDOWN((Q$35-$B42)/Reference!$D$24,0)&lt;4,0.875,0.9375)))))+HLOOKUP($B42,$C$35:$Q$36,2,FALSE)*Reference!$C$25*(1-IF(ROUNDDOWN((Q$35-$B42)/Reference!$D$25,0)&lt;1,0,IF(ROUNDDOWN((Q$35-$B42)/Reference!$D$25,0)&lt;2,0.5,IF(ROUNDDOWN((Q$35-$B42)/Reference!$D$25,0)&lt;3,0.75,IF(ROUNDDOWN((Q$35-$B42)/Reference!$D$25,0)&lt;4,0.875,0.9375)))))+HLOOKUP($B42,$C$35:$Q$36,2,FALSE)*Reference!$C$26*(1-IF(ROUNDDOWN((Q$35-$B42)/Reference!$D$26,0)&lt;1,0,IF(ROUNDDOWN((Q$35-$B42)/Reference!$D$26,0)&lt;2,0.5,IF(ROUNDDOWN((Q$35-$B42)/Reference!$D$26,0)&lt;3,0.75,IF(ROUNDDOWN((Q$35-$B42)/Reference!$D$26,0)&lt;4,0.875,0.9375)))))+HLOOKUP($B42,$C$35:$Q$36,2,FALSE)*Reference!$C$27*(1-IF(ROUNDDOWN((Q$35-$B42)/Reference!$D$27,0)&lt;1,0,IF(ROUNDDOWN((Q$35-$B42)/Reference!$D$27,0)&lt;2,0.5,IF(ROUNDDOWN((Q$35-$B42)/Reference!$D$27,0)&lt;3,0.75,IF(ROUNDDOWN((Q$35-$B42)/Reference!$D$27,0)&lt;4,0.875,0.9375)))))+HLOOKUP($B42,$C$35:$Q$36,2,FALSE)*Reference!$C$28*(1-IF(ROUNDDOWN((Q$35-$B42)/Reference!$D$28,0)&lt;1,0,IF(ROUNDDOWN((Q$35-$B42)/Reference!$D$28,0)&lt;2,0.5,IF(ROUNDDOWN((Q$35-$B42)/Reference!$D$28,0)&lt;3,0.75,IF(ROUNDDOWN((Q$35-$B42)/Reference!$D$28,0)&lt;4,0.875,0.9375)))))</f>
        <v>0</v>
      </c>
      <c r="R42" s="50"/>
    </row>
    <row r="43" spans="2:18" x14ac:dyDescent="0.3">
      <c r="B43" s="237">
        <f t="shared" si="5"/>
        <v>2019</v>
      </c>
      <c r="C43" s="135"/>
      <c r="D43" s="135"/>
      <c r="E43" s="135"/>
      <c r="F43" s="135"/>
      <c r="G43" s="135">
        <f>HLOOKUP($B43,$C$35:$Q$36,2,FALSE)*Reference!$C$23*(1-IF(ROUNDDOWN((G$35-$B43)/Reference!$D$23,0)&lt;1,0,IF(ROUNDDOWN((G$35-$B43)/Reference!$D$23,0)&lt;2,0.5,IF(ROUNDDOWN((G$35-$B43)/Reference!$D$23,0)&lt;3,0.75,IF(ROUNDDOWN((G$35-$B43)/Reference!$D$23,0)&lt;4,0.875,0.9375)))))+HLOOKUP($B43,$C$35:$Q$36,2,FALSE)*Reference!$C$24*(1-IF(ROUNDDOWN((G$35-$B43)/Reference!$D$24,0)&lt;1,0,IF(ROUNDDOWN((G$35-$B43)/Reference!$D$24,0)&lt;2,0.5,IF(ROUNDDOWN((G$35-$B43)/Reference!$D$24,0)&lt;3,0.75,IF(ROUNDDOWN((G$35-$B43)/Reference!$D$24,0)&lt;4,0.875,0.9375)))))+HLOOKUP($B43,$C$35:$Q$36,2,FALSE)*Reference!$C$25*(1-IF(ROUNDDOWN((G$35-$B43)/Reference!$D$25,0)&lt;1,0,IF(ROUNDDOWN((G$35-$B43)/Reference!$D$25,0)&lt;2,0.5,IF(ROUNDDOWN((G$35-$B43)/Reference!$D$25,0)&lt;3,0.75,IF(ROUNDDOWN((G$35-$B43)/Reference!$D$25,0)&lt;4,0.875,0.9375)))))+HLOOKUP($B43,$C$35:$Q$36,2,FALSE)*Reference!$C$26*(1-IF(ROUNDDOWN((G$35-$B43)/Reference!$D$26,0)&lt;1,0,IF(ROUNDDOWN((G$35-$B43)/Reference!$D$26,0)&lt;2,0.5,IF(ROUNDDOWN((G$35-$B43)/Reference!$D$26,0)&lt;3,0.75,IF(ROUNDDOWN((G$35-$B43)/Reference!$D$26,0)&lt;4,0.875,0.9375)))))+HLOOKUP($B43,$C$35:$Q$36,2,FALSE)*Reference!$C$27*(1-IF(ROUNDDOWN((G$35-$B43)/Reference!$D$27,0)&lt;1,0,IF(ROUNDDOWN((G$35-$B43)/Reference!$D$27,0)&lt;2,0.5,IF(ROUNDDOWN((G$35-$B43)/Reference!$D$27,0)&lt;3,0.75,IF(ROUNDDOWN((G$35-$B43)/Reference!$D$27,0)&lt;4,0.875,0.9375)))))+HLOOKUP($B43,$C$35:$Q$36,2,FALSE)*Reference!$C$28*(1-IF(ROUNDDOWN((G$35-$B43)/Reference!$D$28,0)&lt;1,0,IF(ROUNDDOWN((G$35-$B43)/Reference!$D$28,0)&lt;2,0.5,IF(ROUNDDOWN((G$35-$B43)/Reference!$D$28,0)&lt;3,0.75,IF(ROUNDDOWN((G$35-$B43)/Reference!$D$28,0)&lt;4,0.875,0.9375)))))</f>
        <v>0</v>
      </c>
      <c r="H43" s="135">
        <f>HLOOKUP($B43,$C$35:$Q$36,2,FALSE)*Reference!$C$23*(1-IF(ROUNDDOWN((H$35-$B43)/Reference!$D$23,0)&lt;1,0,IF(ROUNDDOWN((H$35-$B43)/Reference!$D$23,0)&lt;2,0.5,IF(ROUNDDOWN((H$35-$B43)/Reference!$D$23,0)&lt;3,0.75,IF(ROUNDDOWN((H$35-$B43)/Reference!$D$23,0)&lt;4,0.875,0.9375)))))+HLOOKUP($B43,$C$35:$Q$36,2,FALSE)*Reference!$C$24*(1-IF(ROUNDDOWN((H$35-$B43)/Reference!$D$24,0)&lt;1,0,IF(ROUNDDOWN((H$35-$B43)/Reference!$D$24,0)&lt;2,0.5,IF(ROUNDDOWN((H$35-$B43)/Reference!$D$24,0)&lt;3,0.75,IF(ROUNDDOWN((H$35-$B43)/Reference!$D$24,0)&lt;4,0.875,0.9375)))))+HLOOKUP($B43,$C$35:$Q$36,2,FALSE)*Reference!$C$25*(1-IF(ROUNDDOWN((H$35-$B43)/Reference!$D$25,0)&lt;1,0,IF(ROUNDDOWN((H$35-$B43)/Reference!$D$25,0)&lt;2,0.5,IF(ROUNDDOWN((H$35-$B43)/Reference!$D$25,0)&lt;3,0.75,IF(ROUNDDOWN((H$35-$B43)/Reference!$D$25,0)&lt;4,0.875,0.9375)))))+HLOOKUP($B43,$C$35:$Q$36,2,FALSE)*Reference!$C$26*(1-IF(ROUNDDOWN((H$35-$B43)/Reference!$D$26,0)&lt;1,0,IF(ROUNDDOWN((H$35-$B43)/Reference!$D$26,0)&lt;2,0.5,IF(ROUNDDOWN((H$35-$B43)/Reference!$D$26,0)&lt;3,0.75,IF(ROUNDDOWN((H$35-$B43)/Reference!$D$26,0)&lt;4,0.875,0.9375)))))+HLOOKUP($B43,$C$35:$Q$36,2,FALSE)*Reference!$C$27*(1-IF(ROUNDDOWN((H$35-$B43)/Reference!$D$27,0)&lt;1,0,IF(ROUNDDOWN((H$35-$B43)/Reference!$D$27,0)&lt;2,0.5,IF(ROUNDDOWN((H$35-$B43)/Reference!$D$27,0)&lt;3,0.75,IF(ROUNDDOWN((H$35-$B43)/Reference!$D$27,0)&lt;4,0.875,0.9375)))))+HLOOKUP($B43,$C$35:$Q$36,2,FALSE)*Reference!$C$28*(1-IF(ROUNDDOWN((H$35-$B43)/Reference!$D$28,0)&lt;1,0,IF(ROUNDDOWN((H$35-$B43)/Reference!$D$28,0)&lt;2,0.5,IF(ROUNDDOWN((H$35-$B43)/Reference!$D$28,0)&lt;3,0.75,IF(ROUNDDOWN((H$35-$B43)/Reference!$D$28,0)&lt;4,0.875,0.9375)))))</f>
        <v>0</v>
      </c>
      <c r="I43" s="135">
        <f>HLOOKUP($B43,$C$35:$Q$36,2,FALSE)*Reference!$C$23*(1-IF(ROUNDDOWN((I$35-$B43)/Reference!$D$23,0)&lt;1,0,IF(ROUNDDOWN((I$35-$B43)/Reference!$D$23,0)&lt;2,0.5,IF(ROUNDDOWN((I$35-$B43)/Reference!$D$23,0)&lt;3,0.75,IF(ROUNDDOWN((I$35-$B43)/Reference!$D$23,0)&lt;4,0.875,0.9375)))))+HLOOKUP($B43,$C$35:$Q$36,2,FALSE)*Reference!$C$24*(1-IF(ROUNDDOWN((I$35-$B43)/Reference!$D$24,0)&lt;1,0,IF(ROUNDDOWN((I$35-$B43)/Reference!$D$24,0)&lt;2,0.5,IF(ROUNDDOWN((I$35-$B43)/Reference!$D$24,0)&lt;3,0.75,IF(ROUNDDOWN((I$35-$B43)/Reference!$D$24,0)&lt;4,0.875,0.9375)))))+HLOOKUP($B43,$C$35:$Q$36,2,FALSE)*Reference!$C$25*(1-IF(ROUNDDOWN((I$35-$B43)/Reference!$D$25,0)&lt;1,0,IF(ROUNDDOWN((I$35-$B43)/Reference!$D$25,0)&lt;2,0.5,IF(ROUNDDOWN((I$35-$B43)/Reference!$D$25,0)&lt;3,0.75,IF(ROUNDDOWN((I$35-$B43)/Reference!$D$25,0)&lt;4,0.875,0.9375)))))+HLOOKUP($B43,$C$35:$Q$36,2,FALSE)*Reference!$C$26*(1-IF(ROUNDDOWN((I$35-$B43)/Reference!$D$26,0)&lt;1,0,IF(ROUNDDOWN((I$35-$B43)/Reference!$D$26,0)&lt;2,0.5,IF(ROUNDDOWN((I$35-$B43)/Reference!$D$26,0)&lt;3,0.75,IF(ROUNDDOWN((I$35-$B43)/Reference!$D$26,0)&lt;4,0.875,0.9375)))))+HLOOKUP($B43,$C$35:$Q$36,2,FALSE)*Reference!$C$27*(1-IF(ROUNDDOWN((I$35-$B43)/Reference!$D$27,0)&lt;1,0,IF(ROUNDDOWN((I$35-$B43)/Reference!$D$27,0)&lt;2,0.5,IF(ROUNDDOWN((I$35-$B43)/Reference!$D$27,0)&lt;3,0.75,IF(ROUNDDOWN((I$35-$B43)/Reference!$D$27,0)&lt;4,0.875,0.9375)))))+HLOOKUP($B43,$C$35:$Q$36,2,FALSE)*Reference!$C$28*(1-IF(ROUNDDOWN((I$35-$B43)/Reference!$D$28,0)&lt;1,0,IF(ROUNDDOWN((I$35-$B43)/Reference!$D$28,0)&lt;2,0.5,IF(ROUNDDOWN((I$35-$B43)/Reference!$D$28,0)&lt;3,0.75,IF(ROUNDDOWN((I$35-$B43)/Reference!$D$28,0)&lt;4,0.875,0.9375)))))</f>
        <v>0</v>
      </c>
      <c r="J43" s="135">
        <f>HLOOKUP($B43,$C$35:$Q$36,2,FALSE)*Reference!$C$23*(1-IF(ROUNDDOWN((J$35-$B43)/Reference!$D$23,0)&lt;1,0,IF(ROUNDDOWN((J$35-$B43)/Reference!$D$23,0)&lt;2,0.5,IF(ROUNDDOWN((J$35-$B43)/Reference!$D$23,0)&lt;3,0.75,IF(ROUNDDOWN((J$35-$B43)/Reference!$D$23,0)&lt;4,0.875,0.9375)))))+HLOOKUP($B43,$C$35:$Q$36,2,FALSE)*Reference!$C$24*(1-IF(ROUNDDOWN((J$35-$B43)/Reference!$D$24,0)&lt;1,0,IF(ROUNDDOWN((J$35-$B43)/Reference!$D$24,0)&lt;2,0.5,IF(ROUNDDOWN((J$35-$B43)/Reference!$D$24,0)&lt;3,0.75,IF(ROUNDDOWN((J$35-$B43)/Reference!$D$24,0)&lt;4,0.875,0.9375)))))+HLOOKUP($B43,$C$35:$Q$36,2,FALSE)*Reference!$C$25*(1-IF(ROUNDDOWN((J$35-$B43)/Reference!$D$25,0)&lt;1,0,IF(ROUNDDOWN((J$35-$B43)/Reference!$D$25,0)&lt;2,0.5,IF(ROUNDDOWN((J$35-$B43)/Reference!$D$25,0)&lt;3,0.75,IF(ROUNDDOWN((J$35-$B43)/Reference!$D$25,0)&lt;4,0.875,0.9375)))))+HLOOKUP($B43,$C$35:$Q$36,2,FALSE)*Reference!$C$26*(1-IF(ROUNDDOWN((J$35-$B43)/Reference!$D$26,0)&lt;1,0,IF(ROUNDDOWN((J$35-$B43)/Reference!$D$26,0)&lt;2,0.5,IF(ROUNDDOWN((J$35-$B43)/Reference!$D$26,0)&lt;3,0.75,IF(ROUNDDOWN((J$35-$B43)/Reference!$D$26,0)&lt;4,0.875,0.9375)))))+HLOOKUP($B43,$C$35:$Q$36,2,FALSE)*Reference!$C$27*(1-IF(ROUNDDOWN((J$35-$B43)/Reference!$D$27,0)&lt;1,0,IF(ROUNDDOWN((J$35-$B43)/Reference!$D$27,0)&lt;2,0.5,IF(ROUNDDOWN((J$35-$B43)/Reference!$D$27,0)&lt;3,0.75,IF(ROUNDDOWN((J$35-$B43)/Reference!$D$27,0)&lt;4,0.875,0.9375)))))+HLOOKUP($B43,$C$35:$Q$36,2,FALSE)*Reference!$C$28*(1-IF(ROUNDDOWN((J$35-$B43)/Reference!$D$28,0)&lt;1,0,IF(ROUNDDOWN((J$35-$B43)/Reference!$D$28,0)&lt;2,0.5,IF(ROUNDDOWN((J$35-$B43)/Reference!$D$28,0)&lt;3,0.75,IF(ROUNDDOWN((J$35-$B43)/Reference!$D$28,0)&lt;4,0.875,0.9375)))))</f>
        <v>0</v>
      </c>
      <c r="K43" s="135">
        <f>HLOOKUP($B43,$C$35:$Q$36,2,FALSE)*Reference!$C$23*(1-IF(ROUNDDOWN((K$35-$B43)/Reference!$D$23,0)&lt;1,0,IF(ROUNDDOWN((K$35-$B43)/Reference!$D$23,0)&lt;2,0.5,IF(ROUNDDOWN((K$35-$B43)/Reference!$D$23,0)&lt;3,0.75,IF(ROUNDDOWN((K$35-$B43)/Reference!$D$23,0)&lt;4,0.875,0.9375)))))+HLOOKUP($B43,$C$35:$Q$36,2,FALSE)*Reference!$C$24*(1-IF(ROUNDDOWN((K$35-$B43)/Reference!$D$24,0)&lt;1,0,IF(ROUNDDOWN((K$35-$B43)/Reference!$D$24,0)&lt;2,0.5,IF(ROUNDDOWN((K$35-$B43)/Reference!$D$24,0)&lt;3,0.75,IF(ROUNDDOWN((K$35-$B43)/Reference!$D$24,0)&lt;4,0.875,0.9375)))))+HLOOKUP($B43,$C$35:$Q$36,2,FALSE)*Reference!$C$25*(1-IF(ROUNDDOWN((K$35-$B43)/Reference!$D$25,0)&lt;1,0,IF(ROUNDDOWN((K$35-$B43)/Reference!$D$25,0)&lt;2,0.5,IF(ROUNDDOWN((K$35-$B43)/Reference!$D$25,0)&lt;3,0.75,IF(ROUNDDOWN((K$35-$B43)/Reference!$D$25,0)&lt;4,0.875,0.9375)))))+HLOOKUP($B43,$C$35:$Q$36,2,FALSE)*Reference!$C$26*(1-IF(ROUNDDOWN((K$35-$B43)/Reference!$D$26,0)&lt;1,0,IF(ROUNDDOWN((K$35-$B43)/Reference!$D$26,0)&lt;2,0.5,IF(ROUNDDOWN((K$35-$B43)/Reference!$D$26,0)&lt;3,0.75,IF(ROUNDDOWN((K$35-$B43)/Reference!$D$26,0)&lt;4,0.875,0.9375)))))+HLOOKUP($B43,$C$35:$Q$36,2,FALSE)*Reference!$C$27*(1-IF(ROUNDDOWN((K$35-$B43)/Reference!$D$27,0)&lt;1,0,IF(ROUNDDOWN((K$35-$B43)/Reference!$D$27,0)&lt;2,0.5,IF(ROUNDDOWN((K$35-$B43)/Reference!$D$27,0)&lt;3,0.75,IF(ROUNDDOWN((K$35-$B43)/Reference!$D$27,0)&lt;4,0.875,0.9375)))))+HLOOKUP($B43,$C$35:$Q$36,2,FALSE)*Reference!$C$28*(1-IF(ROUNDDOWN((K$35-$B43)/Reference!$D$28,0)&lt;1,0,IF(ROUNDDOWN((K$35-$B43)/Reference!$D$28,0)&lt;2,0.5,IF(ROUNDDOWN((K$35-$B43)/Reference!$D$28,0)&lt;3,0.75,IF(ROUNDDOWN((K$35-$B43)/Reference!$D$28,0)&lt;4,0.875,0.9375)))))</f>
        <v>0</v>
      </c>
      <c r="L43" s="135">
        <f>HLOOKUP($B43,$C$35:$Q$36,2,FALSE)*Reference!$C$23*(1-IF(ROUNDDOWN((L$35-$B43)/Reference!$D$23,0)&lt;1,0,IF(ROUNDDOWN((L$35-$B43)/Reference!$D$23,0)&lt;2,0.5,IF(ROUNDDOWN((L$35-$B43)/Reference!$D$23,0)&lt;3,0.75,IF(ROUNDDOWN((L$35-$B43)/Reference!$D$23,0)&lt;4,0.875,0.9375)))))+HLOOKUP($B43,$C$35:$Q$36,2,FALSE)*Reference!$C$24*(1-IF(ROUNDDOWN((L$35-$B43)/Reference!$D$24,0)&lt;1,0,IF(ROUNDDOWN((L$35-$B43)/Reference!$D$24,0)&lt;2,0.5,IF(ROUNDDOWN((L$35-$B43)/Reference!$D$24,0)&lt;3,0.75,IF(ROUNDDOWN((L$35-$B43)/Reference!$D$24,0)&lt;4,0.875,0.9375)))))+HLOOKUP($B43,$C$35:$Q$36,2,FALSE)*Reference!$C$25*(1-IF(ROUNDDOWN((L$35-$B43)/Reference!$D$25,0)&lt;1,0,IF(ROUNDDOWN((L$35-$B43)/Reference!$D$25,0)&lt;2,0.5,IF(ROUNDDOWN((L$35-$B43)/Reference!$D$25,0)&lt;3,0.75,IF(ROUNDDOWN((L$35-$B43)/Reference!$D$25,0)&lt;4,0.875,0.9375)))))+HLOOKUP($B43,$C$35:$Q$36,2,FALSE)*Reference!$C$26*(1-IF(ROUNDDOWN((L$35-$B43)/Reference!$D$26,0)&lt;1,0,IF(ROUNDDOWN((L$35-$B43)/Reference!$D$26,0)&lt;2,0.5,IF(ROUNDDOWN((L$35-$B43)/Reference!$D$26,0)&lt;3,0.75,IF(ROUNDDOWN((L$35-$B43)/Reference!$D$26,0)&lt;4,0.875,0.9375)))))+HLOOKUP($B43,$C$35:$Q$36,2,FALSE)*Reference!$C$27*(1-IF(ROUNDDOWN((L$35-$B43)/Reference!$D$27,0)&lt;1,0,IF(ROUNDDOWN((L$35-$B43)/Reference!$D$27,0)&lt;2,0.5,IF(ROUNDDOWN((L$35-$B43)/Reference!$D$27,0)&lt;3,0.75,IF(ROUNDDOWN((L$35-$B43)/Reference!$D$27,0)&lt;4,0.875,0.9375)))))+HLOOKUP($B43,$C$35:$Q$36,2,FALSE)*Reference!$C$28*(1-IF(ROUNDDOWN((L$35-$B43)/Reference!$D$28,0)&lt;1,0,IF(ROUNDDOWN((L$35-$B43)/Reference!$D$28,0)&lt;2,0.5,IF(ROUNDDOWN((L$35-$B43)/Reference!$D$28,0)&lt;3,0.75,IF(ROUNDDOWN((L$35-$B43)/Reference!$D$28,0)&lt;4,0.875,0.9375)))))</f>
        <v>0</v>
      </c>
      <c r="M43" s="135">
        <f>HLOOKUP($B43,$C$35:$Q$36,2,FALSE)*Reference!$C$23*(1-IF(ROUNDDOWN((M$35-$B43)/Reference!$D$23,0)&lt;1,0,IF(ROUNDDOWN((M$35-$B43)/Reference!$D$23,0)&lt;2,0.5,IF(ROUNDDOWN((M$35-$B43)/Reference!$D$23,0)&lt;3,0.75,IF(ROUNDDOWN((M$35-$B43)/Reference!$D$23,0)&lt;4,0.875,0.9375)))))+HLOOKUP($B43,$C$35:$Q$36,2,FALSE)*Reference!$C$24*(1-IF(ROUNDDOWN((M$35-$B43)/Reference!$D$24,0)&lt;1,0,IF(ROUNDDOWN((M$35-$B43)/Reference!$D$24,0)&lt;2,0.5,IF(ROUNDDOWN((M$35-$B43)/Reference!$D$24,0)&lt;3,0.75,IF(ROUNDDOWN((M$35-$B43)/Reference!$D$24,0)&lt;4,0.875,0.9375)))))+HLOOKUP($B43,$C$35:$Q$36,2,FALSE)*Reference!$C$25*(1-IF(ROUNDDOWN((M$35-$B43)/Reference!$D$25,0)&lt;1,0,IF(ROUNDDOWN((M$35-$B43)/Reference!$D$25,0)&lt;2,0.5,IF(ROUNDDOWN((M$35-$B43)/Reference!$D$25,0)&lt;3,0.75,IF(ROUNDDOWN((M$35-$B43)/Reference!$D$25,0)&lt;4,0.875,0.9375)))))+HLOOKUP($B43,$C$35:$Q$36,2,FALSE)*Reference!$C$26*(1-IF(ROUNDDOWN((M$35-$B43)/Reference!$D$26,0)&lt;1,0,IF(ROUNDDOWN((M$35-$B43)/Reference!$D$26,0)&lt;2,0.5,IF(ROUNDDOWN((M$35-$B43)/Reference!$D$26,0)&lt;3,0.75,IF(ROUNDDOWN((M$35-$B43)/Reference!$D$26,0)&lt;4,0.875,0.9375)))))+HLOOKUP($B43,$C$35:$Q$36,2,FALSE)*Reference!$C$27*(1-IF(ROUNDDOWN((M$35-$B43)/Reference!$D$27,0)&lt;1,0,IF(ROUNDDOWN((M$35-$B43)/Reference!$D$27,0)&lt;2,0.5,IF(ROUNDDOWN((M$35-$B43)/Reference!$D$27,0)&lt;3,0.75,IF(ROUNDDOWN((M$35-$B43)/Reference!$D$27,0)&lt;4,0.875,0.9375)))))+HLOOKUP($B43,$C$35:$Q$36,2,FALSE)*Reference!$C$28*(1-IF(ROUNDDOWN((M$35-$B43)/Reference!$D$28,0)&lt;1,0,IF(ROUNDDOWN((M$35-$B43)/Reference!$D$28,0)&lt;2,0.5,IF(ROUNDDOWN((M$35-$B43)/Reference!$D$28,0)&lt;3,0.75,IF(ROUNDDOWN((M$35-$B43)/Reference!$D$28,0)&lt;4,0.875,0.9375)))))</f>
        <v>0</v>
      </c>
      <c r="N43" s="135">
        <f>HLOOKUP($B43,$C$35:$Q$36,2,FALSE)*Reference!$C$23*(1-IF(ROUNDDOWN((N$35-$B43)/Reference!$D$23,0)&lt;1,0,IF(ROUNDDOWN((N$35-$B43)/Reference!$D$23,0)&lt;2,0.5,IF(ROUNDDOWN((N$35-$B43)/Reference!$D$23,0)&lt;3,0.75,IF(ROUNDDOWN((N$35-$B43)/Reference!$D$23,0)&lt;4,0.875,0.9375)))))+HLOOKUP($B43,$C$35:$Q$36,2,FALSE)*Reference!$C$24*(1-IF(ROUNDDOWN((N$35-$B43)/Reference!$D$24,0)&lt;1,0,IF(ROUNDDOWN((N$35-$B43)/Reference!$D$24,0)&lt;2,0.5,IF(ROUNDDOWN((N$35-$B43)/Reference!$D$24,0)&lt;3,0.75,IF(ROUNDDOWN((N$35-$B43)/Reference!$D$24,0)&lt;4,0.875,0.9375)))))+HLOOKUP($B43,$C$35:$Q$36,2,FALSE)*Reference!$C$25*(1-IF(ROUNDDOWN((N$35-$B43)/Reference!$D$25,0)&lt;1,0,IF(ROUNDDOWN((N$35-$B43)/Reference!$D$25,0)&lt;2,0.5,IF(ROUNDDOWN((N$35-$B43)/Reference!$D$25,0)&lt;3,0.75,IF(ROUNDDOWN((N$35-$B43)/Reference!$D$25,0)&lt;4,0.875,0.9375)))))+HLOOKUP($B43,$C$35:$Q$36,2,FALSE)*Reference!$C$26*(1-IF(ROUNDDOWN((N$35-$B43)/Reference!$D$26,0)&lt;1,0,IF(ROUNDDOWN((N$35-$B43)/Reference!$D$26,0)&lt;2,0.5,IF(ROUNDDOWN((N$35-$B43)/Reference!$D$26,0)&lt;3,0.75,IF(ROUNDDOWN((N$35-$B43)/Reference!$D$26,0)&lt;4,0.875,0.9375)))))+HLOOKUP($B43,$C$35:$Q$36,2,FALSE)*Reference!$C$27*(1-IF(ROUNDDOWN((N$35-$B43)/Reference!$D$27,0)&lt;1,0,IF(ROUNDDOWN((N$35-$B43)/Reference!$D$27,0)&lt;2,0.5,IF(ROUNDDOWN((N$35-$B43)/Reference!$D$27,0)&lt;3,0.75,IF(ROUNDDOWN((N$35-$B43)/Reference!$D$27,0)&lt;4,0.875,0.9375)))))+HLOOKUP($B43,$C$35:$Q$36,2,FALSE)*Reference!$C$28*(1-IF(ROUNDDOWN((N$35-$B43)/Reference!$D$28,0)&lt;1,0,IF(ROUNDDOWN((N$35-$B43)/Reference!$D$28,0)&lt;2,0.5,IF(ROUNDDOWN((N$35-$B43)/Reference!$D$28,0)&lt;3,0.75,IF(ROUNDDOWN((N$35-$B43)/Reference!$D$28,0)&lt;4,0.875,0.9375)))))</f>
        <v>0</v>
      </c>
      <c r="O43" s="135">
        <f>HLOOKUP($B43,$C$35:$Q$36,2,FALSE)*Reference!$C$23*(1-IF(ROUNDDOWN((O$35-$B43)/Reference!$D$23,0)&lt;1,0,IF(ROUNDDOWN((O$35-$B43)/Reference!$D$23,0)&lt;2,0.5,IF(ROUNDDOWN((O$35-$B43)/Reference!$D$23,0)&lt;3,0.75,IF(ROUNDDOWN((O$35-$B43)/Reference!$D$23,0)&lt;4,0.875,0.9375)))))+HLOOKUP($B43,$C$35:$Q$36,2,FALSE)*Reference!$C$24*(1-IF(ROUNDDOWN((O$35-$B43)/Reference!$D$24,0)&lt;1,0,IF(ROUNDDOWN((O$35-$B43)/Reference!$D$24,0)&lt;2,0.5,IF(ROUNDDOWN((O$35-$B43)/Reference!$D$24,0)&lt;3,0.75,IF(ROUNDDOWN((O$35-$B43)/Reference!$D$24,0)&lt;4,0.875,0.9375)))))+HLOOKUP($B43,$C$35:$Q$36,2,FALSE)*Reference!$C$25*(1-IF(ROUNDDOWN((O$35-$B43)/Reference!$D$25,0)&lt;1,0,IF(ROUNDDOWN((O$35-$B43)/Reference!$D$25,0)&lt;2,0.5,IF(ROUNDDOWN((O$35-$B43)/Reference!$D$25,0)&lt;3,0.75,IF(ROUNDDOWN((O$35-$B43)/Reference!$D$25,0)&lt;4,0.875,0.9375)))))+HLOOKUP($B43,$C$35:$Q$36,2,FALSE)*Reference!$C$26*(1-IF(ROUNDDOWN((O$35-$B43)/Reference!$D$26,0)&lt;1,0,IF(ROUNDDOWN((O$35-$B43)/Reference!$D$26,0)&lt;2,0.5,IF(ROUNDDOWN((O$35-$B43)/Reference!$D$26,0)&lt;3,0.75,IF(ROUNDDOWN((O$35-$B43)/Reference!$D$26,0)&lt;4,0.875,0.9375)))))+HLOOKUP($B43,$C$35:$Q$36,2,FALSE)*Reference!$C$27*(1-IF(ROUNDDOWN((O$35-$B43)/Reference!$D$27,0)&lt;1,0,IF(ROUNDDOWN((O$35-$B43)/Reference!$D$27,0)&lt;2,0.5,IF(ROUNDDOWN((O$35-$B43)/Reference!$D$27,0)&lt;3,0.75,IF(ROUNDDOWN((O$35-$B43)/Reference!$D$27,0)&lt;4,0.875,0.9375)))))+HLOOKUP($B43,$C$35:$Q$36,2,FALSE)*Reference!$C$28*(1-IF(ROUNDDOWN((O$35-$B43)/Reference!$D$28,0)&lt;1,0,IF(ROUNDDOWN((O$35-$B43)/Reference!$D$28,0)&lt;2,0.5,IF(ROUNDDOWN((O$35-$B43)/Reference!$D$28,0)&lt;3,0.75,IF(ROUNDDOWN((O$35-$B43)/Reference!$D$28,0)&lt;4,0.875,0.9375)))))</f>
        <v>0</v>
      </c>
      <c r="P43" s="135">
        <f>HLOOKUP($B43,$C$35:$Q$36,2,FALSE)*Reference!$C$23*(1-IF(ROUNDDOWN((P$35-$B43)/Reference!$D$23,0)&lt;1,0,IF(ROUNDDOWN((P$35-$B43)/Reference!$D$23,0)&lt;2,0.5,IF(ROUNDDOWN((P$35-$B43)/Reference!$D$23,0)&lt;3,0.75,IF(ROUNDDOWN((P$35-$B43)/Reference!$D$23,0)&lt;4,0.875,0.9375)))))+HLOOKUP($B43,$C$35:$Q$36,2,FALSE)*Reference!$C$24*(1-IF(ROUNDDOWN((P$35-$B43)/Reference!$D$24,0)&lt;1,0,IF(ROUNDDOWN((P$35-$B43)/Reference!$D$24,0)&lt;2,0.5,IF(ROUNDDOWN((P$35-$B43)/Reference!$D$24,0)&lt;3,0.75,IF(ROUNDDOWN((P$35-$B43)/Reference!$D$24,0)&lt;4,0.875,0.9375)))))+HLOOKUP($B43,$C$35:$Q$36,2,FALSE)*Reference!$C$25*(1-IF(ROUNDDOWN((P$35-$B43)/Reference!$D$25,0)&lt;1,0,IF(ROUNDDOWN((P$35-$B43)/Reference!$D$25,0)&lt;2,0.5,IF(ROUNDDOWN((P$35-$B43)/Reference!$D$25,0)&lt;3,0.75,IF(ROUNDDOWN((P$35-$B43)/Reference!$D$25,0)&lt;4,0.875,0.9375)))))+HLOOKUP($B43,$C$35:$Q$36,2,FALSE)*Reference!$C$26*(1-IF(ROUNDDOWN((P$35-$B43)/Reference!$D$26,0)&lt;1,0,IF(ROUNDDOWN((P$35-$B43)/Reference!$D$26,0)&lt;2,0.5,IF(ROUNDDOWN((P$35-$B43)/Reference!$D$26,0)&lt;3,0.75,IF(ROUNDDOWN((P$35-$B43)/Reference!$D$26,0)&lt;4,0.875,0.9375)))))+HLOOKUP($B43,$C$35:$Q$36,2,FALSE)*Reference!$C$27*(1-IF(ROUNDDOWN((P$35-$B43)/Reference!$D$27,0)&lt;1,0,IF(ROUNDDOWN((P$35-$B43)/Reference!$D$27,0)&lt;2,0.5,IF(ROUNDDOWN((P$35-$B43)/Reference!$D$27,0)&lt;3,0.75,IF(ROUNDDOWN((P$35-$B43)/Reference!$D$27,0)&lt;4,0.875,0.9375)))))+HLOOKUP($B43,$C$35:$Q$36,2,FALSE)*Reference!$C$28*(1-IF(ROUNDDOWN((P$35-$B43)/Reference!$D$28,0)&lt;1,0,IF(ROUNDDOWN((P$35-$B43)/Reference!$D$28,0)&lt;2,0.5,IF(ROUNDDOWN((P$35-$B43)/Reference!$D$28,0)&lt;3,0.75,IF(ROUNDDOWN((P$35-$B43)/Reference!$D$28,0)&lt;4,0.875,0.9375)))))</f>
        <v>0</v>
      </c>
      <c r="Q43" s="135">
        <f>HLOOKUP($B43,$C$35:$Q$36,2,FALSE)*Reference!$C$23*(1-IF(ROUNDDOWN((Q$35-$B43)/Reference!$D$23,0)&lt;1,0,IF(ROUNDDOWN((Q$35-$B43)/Reference!$D$23,0)&lt;2,0.5,IF(ROUNDDOWN((Q$35-$B43)/Reference!$D$23,0)&lt;3,0.75,IF(ROUNDDOWN((Q$35-$B43)/Reference!$D$23,0)&lt;4,0.875,0.9375)))))+HLOOKUP($B43,$C$35:$Q$36,2,FALSE)*Reference!$C$24*(1-IF(ROUNDDOWN((Q$35-$B43)/Reference!$D$24,0)&lt;1,0,IF(ROUNDDOWN((Q$35-$B43)/Reference!$D$24,0)&lt;2,0.5,IF(ROUNDDOWN((Q$35-$B43)/Reference!$D$24,0)&lt;3,0.75,IF(ROUNDDOWN((Q$35-$B43)/Reference!$D$24,0)&lt;4,0.875,0.9375)))))+HLOOKUP($B43,$C$35:$Q$36,2,FALSE)*Reference!$C$25*(1-IF(ROUNDDOWN((Q$35-$B43)/Reference!$D$25,0)&lt;1,0,IF(ROUNDDOWN((Q$35-$B43)/Reference!$D$25,0)&lt;2,0.5,IF(ROUNDDOWN((Q$35-$B43)/Reference!$D$25,0)&lt;3,0.75,IF(ROUNDDOWN((Q$35-$B43)/Reference!$D$25,0)&lt;4,0.875,0.9375)))))+HLOOKUP($B43,$C$35:$Q$36,2,FALSE)*Reference!$C$26*(1-IF(ROUNDDOWN((Q$35-$B43)/Reference!$D$26,0)&lt;1,0,IF(ROUNDDOWN((Q$35-$B43)/Reference!$D$26,0)&lt;2,0.5,IF(ROUNDDOWN((Q$35-$B43)/Reference!$D$26,0)&lt;3,0.75,IF(ROUNDDOWN((Q$35-$B43)/Reference!$D$26,0)&lt;4,0.875,0.9375)))))+HLOOKUP($B43,$C$35:$Q$36,2,FALSE)*Reference!$C$27*(1-IF(ROUNDDOWN((Q$35-$B43)/Reference!$D$27,0)&lt;1,0,IF(ROUNDDOWN((Q$35-$B43)/Reference!$D$27,0)&lt;2,0.5,IF(ROUNDDOWN((Q$35-$B43)/Reference!$D$27,0)&lt;3,0.75,IF(ROUNDDOWN((Q$35-$B43)/Reference!$D$27,0)&lt;4,0.875,0.9375)))))+HLOOKUP($B43,$C$35:$Q$36,2,FALSE)*Reference!$C$28*(1-IF(ROUNDDOWN((Q$35-$B43)/Reference!$D$28,0)&lt;1,0,IF(ROUNDDOWN((Q$35-$B43)/Reference!$D$28,0)&lt;2,0.5,IF(ROUNDDOWN((Q$35-$B43)/Reference!$D$28,0)&lt;3,0.75,IF(ROUNDDOWN((Q$35-$B43)/Reference!$D$28,0)&lt;4,0.875,0.9375)))))</f>
        <v>0</v>
      </c>
      <c r="R43" s="50"/>
    </row>
    <row r="44" spans="2:18" x14ac:dyDescent="0.3">
      <c r="B44" s="237">
        <f t="shared" si="5"/>
        <v>2020</v>
      </c>
      <c r="C44" s="135"/>
      <c r="D44" s="135"/>
      <c r="E44" s="135"/>
      <c r="F44" s="135"/>
      <c r="G44" s="135"/>
      <c r="H44" s="135">
        <f>HLOOKUP($B44,$C$35:$Q$36,2,FALSE)*Reference!$C$23*(1-IF(ROUNDDOWN((H$35-$B44)/Reference!$D$23,0)&lt;1,0,IF(ROUNDDOWN((H$35-$B44)/Reference!$D$23,0)&lt;2,0.5,IF(ROUNDDOWN((H$35-$B44)/Reference!$D$23,0)&lt;3,0.75,IF(ROUNDDOWN((H$35-$B44)/Reference!$D$23,0)&lt;4,0.875,0.9375)))))+HLOOKUP($B44,$C$35:$Q$36,2,FALSE)*Reference!$C$24*(1-IF(ROUNDDOWN((H$35-$B44)/Reference!$D$24,0)&lt;1,0,IF(ROUNDDOWN((H$35-$B44)/Reference!$D$24,0)&lt;2,0.5,IF(ROUNDDOWN((H$35-$B44)/Reference!$D$24,0)&lt;3,0.75,IF(ROUNDDOWN((H$35-$B44)/Reference!$D$24,0)&lt;4,0.875,0.9375)))))+HLOOKUP($B44,$C$35:$Q$36,2,FALSE)*Reference!$C$25*(1-IF(ROUNDDOWN((H$35-$B44)/Reference!$D$25,0)&lt;1,0,IF(ROUNDDOWN((H$35-$B44)/Reference!$D$25,0)&lt;2,0.5,IF(ROUNDDOWN((H$35-$B44)/Reference!$D$25,0)&lt;3,0.75,IF(ROUNDDOWN((H$35-$B44)/Reference!$D$25,0)&lt;4,0.875,0.9375)))))+HLOOKUP($B44,$C$35:$Q$36,2,FALSE)*Reference!$C$26*(1-IF(ROUNDDOWN((H$35-$B44)/Reference!$D$26,0)&lt;1,0,IF(ROUNDDOWN((H$35-$B44)/Reference!$D$26,0)&lt;2,0.5,IF(ROUNDDOWN((H$35-$B44)/Reference!$D$26,0)&lt;3,0.75,IF(ROUNDDOWN((H$35-$B44)/Reference!$D$26,0)&lt;4,0.875,0.9375)))))+HLOOKUP($B44,$C$35:$Q$36,2,FALSE)*Reference!$C$27*(1-IF(ROUNDDOWN((H$35-$B44)/Reference!$D$27,0)&lt;1,0,IF(ROUNDDOWN((H$35-$B44)/Reference!$D$27,0)&lt;2,0.5,IF(ROUNDDOWN((H$35-$B44)/Reference!$D$27,0)&lt;3,0.75,IF(ROUNDDOWN((H$35-$B44)/Reference!$D$27,0)&lt;4,0.875,0.9375)))))+HLOOKUP($B44,$C$35:$Q$36,2,FALSE)*Reference!$C$28*(1-IF(ROUNDDOWN((H$35-$B44)/Reference!$D$28,0)&lt;1,0,IF(ROUNDDOWN((H$35-$B44)/Reference!$D$28,0)&lt;2,0.5,IF(ROUNDDOWN((H$35-$B44)/Reference!$D$28,0)&lt;3,0.75,IF(ROUNDDOWN((H$35-$B44)/Reference!$D$28,0)&lt;4,0.875,0.9375)))))</f>
        <v>0</v>
      </c>
      <c r="I44" s="135">
        <f>HLOOKUP($B44,$C$35:$Q$36,2,FALSE)*Reference!$C$23*(1-IF(ROUNDDOWN((I$35-$B44)/Reference!$D$23,0)&lt;1,0,IF(ROUNDDOWN((I$35-$B44)/Reference!$D$23,0)&lt;2,0.5,IF(ROUNDDOWN((I$35-$B44)/Reference!$D$23,0)&lt;3,0.75,IF(ROUNDDOWN((I$35-$B44)/Reference!$D$23,0)&lt;4,0.875,0.9375)))))+HLOOKUP($B44,$C$35:$Q$36,2,FALSE)*Reference!$C$24*(1-IF(ROUNDDOWN((I$35-$B44)/Reference!$D$24,0)&lt;1,0,IF(ROUNDDOWN((I$35-$B44)/Reference!$D$24,0)&lt;2,0.5,IF(ROUNDDOWN((I$35-$B44)/Reference!$D$24,0)&lt;3,0.75,IF(ROUNDDOWN((I$35-$B44)/Reference!$D$24,0)&lt;4,0.875,0.9375)))))+HLOOKUP($B44,$C$35:$Q$36,2,FALSE)*Reference!$C$25*(1-IF(ROUNDDOWN((I$35-$B44)/Reference!$D$25,0)&lt;1,0,IF(ROUNDDOWN((I$35-$B44)/Reference!$D$25,0)&lt;2,0.5,IF(ROUNDDOWN((I$35-$B44)/Reference!$D$25,0)&lt;3,0.75,IF(ROUNDDOWN((I$35-$B44)/Reference!$D$25,0)&lt;4,0.875,0.9375)))))+HLOOKUP($B44,$C$35:$Q$36,2,FALSE)*Reference!$C$26*(1-IF(ROUNDDOWN((I$35-$B44)/Reference!$D$26,0)&lt;1,0,IF(ROUNDDOWN((I$35-$B44)/Reference!$D$26,0)&lt;2,0.5,IF(ROUNDDOWN((I$35-$B44)/Reference!$D$26,0)&lt;3,0.75,IF(ROUNDDOWN((I$35-$B44)/Reference!$D$26,0)&lt;4,0.875,0.9375)))))+HLOOKUP($B44,$C$35:$Q$36,2,FALSE)*Reference!$C$27*(1-IF(ROUNDDOWN((I$35-$B44)/Reference!$D$27,0)&lt;1,0,IF(ROUNDDOWN((I$35-$B44)/Reference!$D$27,0)&lt;2,0.5,IF(ROUNDDOWN((I$35-$B44)/Reference!$D$27,0)&lt;3,0.75,IF(ROUNDDOWN((I$35-$B44)/Reference!$D$27,0)&lt;4,0.875,0.9375)))))+HLOOKUP($B44,$C$35:$Q$36,2,FALSE)*Reference!$C$28*(1-IF(ROUNDDOWN((I$35-$B44)/Reference!$D$28,0)&lt;1,0,IF(ROUNDDOWN((I$35-$B44)/Reference!$D$28,0)&lt;2,0.5,IF(ROUNDDOWN((I$35-$B44)/Reference!$D$28,0)&lt;3,0.75,IF(ROUNDDOWN((I$35-$B44)/Reference!$D$28,0)&lt;4,0.875,0.9375)))))</f>
        <v>0</v>
      </c>
      <c r="J44" s="135">
        <f>HLOOKUP($B44,$C$35:$Q$36,2,FALSE)*Reference!$C$23*(1-IF(ROUNDDOWN((J$35-$B44)/Reference!$D$23,0)&lt;1,0,IF(ROUNDDOWN((J$35-$B44)/Reference!$D$23,0)&lt;2,0.5,IF(ROUNDDOWN((J$35-$B44)/Reference!$D$23,0)&lt;3,0.75,IF(ROUNDDOWN((J$35-$B44)/Reference!$D$23,0)&lt;4,0.875,0.9375)))))+HLOOKUP($B44,$C$35:$Q$36,2,FALSE)*Reference!$C$24*(1-IF(ROUNDDOWN((J$35-$B44)/Reference!$D$24,0)&lt;1,0,IF(ROUNDDOWN((J$35-$B44)/Reference!$D$24,0)&lt;2,0.5,IF(ROUNDDOWN((J$35-$B44)/Reference!$D$24,0)&lt;3,0.75,IF(ROUNDDOWN((J$35-$B44)/Reference!$D$24,0)&lt;4,0.875,0.9375)))))+HLOOKUP($B44,$C$35:$Q$36,2,FALSE)*Reference!$C$25*(1-IF(ROUNDDOWN((J$35-$B44)/Reference!$D$25,0)&lt;1,0,IF(ROUNDDOWN((J$35-$B44)/Reference!$D$25,0)&lt;2,0.5,IF(ROUNDDOWN((J$35-$B44)/Reference!$D$25,0)&lt;3,0.75,IF(ROUNDDOWN((J$35-$B44)/Reference!$D$25,0)&lt;4,0.875,0.9375)))))+HLOOKUP($B44,$C$35:$Q$36,2,FALSE)*Reference!$C$26*(1-IF(ROUNDDOWN((J$35-$B44)/Reference!$D$26,0)&lt;1,0,IF(ROUNDDOWN((J$35-$B44)/Reference!$D$26,0)&lt;2,0.5,IF(ROUNDDOWN((J$35-$B44)/Reference!$D$26,0)&lt;3,0.75,IF(ROUNDDOWN((J$35-$B44)/Reference!$D$26,0)&lt;4,0.875,0.9375)))))+HLOOKUP($B44,$C$35:$Q$36,2,FALSE)*Reference!$C$27*(1-IF(ROUNDDOWN((J$35-$B44)/Reference!$D$27,0)&lt;1,0,IF(ROUNDDOWN((J$35-$B44)/Reference!$D$27,0)&lt;2,0.5,IF(ROUNDDOWN((J$35-$B44)/Reference!$D$27,0)&lt;3,0.75,IF(ROUNDDOWN((J$35-$B44)/Reference!$D$27,0)&lt;4,0.875,0.9375)))))+HLOOKUP($B44,$C$35:$Q$36,2,FALSE)*Reference!$C$28*(1-IF(ROUNDDOWN((J$35-$B44)/Reference!$D$28,0)&lt;1,0,IF(ROUNDDOWN((J$35-$B44)/Reference!$D$28,0)&lt;2,0.5,IF(ROUNDDOWN((J$35-$B44)/Reference!$D$28,0)&lt;3,0.75,IF(ROUNDDOWN((J$35-$B44)/Reference!$D$28,0)&lt;4,0.875,0.9375)))))</f>
        <v>0</v>
      </c>
      <c r="K44" s="135">
        <f>HLOOKUP($B44,$C$35:$Q$36,2,FALSE)*Reference!$C$23*(1-IF(ROUNDDOWN((K$35-$B44)/Reference!$D$23,0)&lt;1,0,IF(ROUNDDOWN((K$35-$B44)/Reference!$D$23,0)&lt;2,0.5,IF(ROUNDDOWN((K$35-$B44)/Reference!$D$23,0)&lt;3,0.75,IF(ROUNDDOWN((K$35-$B44)/Reference!$D$23,0)&lt;4,0.875,0.9375)))))+HLOOKUP($B44,$C$35:$Q$36,2,FALSE)*Reference!$C$24*(1-IF(ROUNDDOWN((K$35-$B44)/Reference!$D$24,0)&lt;1,0,IF(ROUNDDOWN((K$35-$B44)/Reference!$D$24,0)&lt;2,0.5,IF(ROUNDDOWN((K$35-$B44)/Reference!$D$24,0)&lt;3,0.75,IF(ROUNDDOWN((K$35-$B44)/Reference!$D$24,0)&lt;4,0.875,0.9375)))))+HLOOKUP($B44,$C$35:$Q$36,2,FALSE)*Reference!$C$25*(1-IF(ROUNDDOWN((K$35-$B44)/Reference!$D$25,0)&lt;1,0,IF(ROUNDDOWN((K$35-$B44)/Reference!$D$25,0)&lt;2,0.5,IF(ROUNDDOWN((K$35-$B44)/Reference!$D$25,0)&lt;3,0.75,IF(ROUNDDOWN((K$35-$B44)/Reference!$D$25,0)&lt;4,0.875,0.9375)))))+HLOOKUP($B44,$C$35:$Q$36,2,FALSE)*Reference!$C$26*(1-IF(ROUNDDOWN((K$35-$B44)/Reference!$D$26,0)&lt;1,0,IF(ROUNDDOWN((K$35-$B44)/Reference!$D$26,0)&lt;2,0.5,IF(ROUNDDOWN((K$35-$B44)/Reference!$D$26,0)&lt;3,0.75,IF(ROUNDDOWN((K$35-$B44)/Reference!$D$26,0)&lt;4,0.875,0.9375)))))+HLOOKUP($B44,$C$35:$Q$36,2,FALSE)*Reference!$C$27*(1-IF(ROUNDDOWN((K$35-$B44)/Reference!$D$27,0)&lt;1,0,IF(ROUNDDOWN((K$35-$B44)/Reference!$D$27,0)&lt;2,0.5,IF(ROUNDDOWN((K$35-$B44)/Reference!$D$27,0)&lt;3,0.75,IF(ROUNDDOWN((K$35-$B44)/Reference!$D$27,0)&lt;4,0.875,0.9375)))))+HLOOKUP($B44,$C$35:$Q$36,2,FALSE)*Reference!$C$28*(1-IF(ROUNDDOWN((K$35-$B44)/Reference!$D$28,0)&lt;1,0,IF(ROUNDDOWN((K$35-$B44)/Reference!$D$28,0)&lt;2,0.5,IF(ROUNDDOWN((K$35-$B44)/Reference!$D$28,0)&lt;3,0.75,IF(ROUNDDOWN((K$35-$B44)/Reference!$D$28,0)&lt;4,0.875,0.9375)))))</f>
        <v>0</v>
      </c>
      <c r="L44" s="135">
        <f>HLOOKUP($B44,$C$35:$Q$36,2,FALSE)*Reference!$C$23*(1-IF(ROUNDDOWN((L$35-$B44)/Reference!$D$23,0)&lt;1,0,IF(ROUNDDOWN((L$35-$B44)/Reference!$D$23,0)&lt;2,0.5,IF(ROUNDDOWN((L$35-$B44)/Reference!$D$23,0)&lt;3,0.75,IF(ROUNDDOWN((L$35-$B44)/Reference!$D$23,0)&lt;4,0.875,0.9375)))))+HLOOKUP($B44,$C$35:$Q$36,2,FALSE)*Reference!$C$24*(1-IF(ROUNDDOWN((L$35-$B44)/Reference!$D$24,0)&lt;1,0,IF(ROUNDDOWN((L$35-$B44)/Reference!$D$24,0)&lt;2,0.5,IF(ROUNDDOWN((L$35-$B44)/Reference!$D$24,0)&lt;3,0.75,IF(ROUNDDOWN((L$35-$B44)/Reference!$D$24,0)&lt;4,0.875,0.9375)))))+HLOOKUP($B44,$C$35:$Q$36,2,FALSE)*Reference!$C$25*(1-IF(ROUNDDOWN((L$35-$B44)/Reference!$D$25,0)&lt;1,0,IF(ROUNDDOWN((L$35-$B44)/Reference!$D$25,0)&lt;2,0.5,IF(ROUNDDOWN((L$35-$B44)/Reference!$D$25,0)&lt;3,0.75,IF(ROUNDDOWN((L$35-$B44)/Reference!$D$25,0)&lt;4,0.875,0.9375)))))+HLOOKUP($B44,$C$35:$Q$36,2,FALSE)*Reference!$C$26*(1-IF(ROUNDDOWN((L$35-$B44)/Reference!$D$26,0)&lt;1,0,IF(ROUNDDOWN((L$35-$B44)/Reference!$D$26,0)&lt;2,0.5,IF(ROUNDDOWN((L$35-$B44)/Reference!$D$26,0)&lt;3,0.75,IF(ROUNDDOWN((L$35-$B44)/Reference!$D$26,0)&lt;4,0.875,0.9375)))))+HLOOKUP($B44,$C$35:$Q$36,2,FALSE)*Reference!$C$27*(1-IF(ROUNDDOWN((L$35-$B44)/Reference!$D$27,0)&lt;1,0,IF(ROUNDDOWN((L$35-$B44)/Reference!$D$27,0)&lt;2,0.5,IF(ROUNDDOWN((L$35-$B44)/Reference!$D$27,0)&lt;3,0.75,IF(ROUNDDOWN((L$35-$B44)/Reference!$D$27,0)&lt;4,0.875,0.9375)))))+HLOOKUP($B44,$C$35:$Q$36,2,FALSE)*Reference!$C$28*(1-IF(ROUNDDOWN((L$35-$B44)/Reference!$D$28,0)&lt;1,0,IF(ROUNDDOWN((L$35-$B44)/Reference!$D$28,0)&lt;2,0.5,IF(ROUNDDOWN((L$35-$B44)/Reference!$D$28,0)&lt;3,0.75,IF(ROUNDDOWN((L$35-$B44)/Reference!$D$28,0)&lt;4,0.875,0.9375)))))</f>
        <v>0</v>
      </c>
      <c r="M44" s="135">
        <f>HLOOKUP($B44,$C$35:$Q$36,2,FALSE)*Reference!$C$23*(1-IF(ROUNDDOWN((M$35-$B44)/Reference!$D$23,0)&lt;1,0,IF(ROUNDDOWN((M$35-$B44)/Reference!$D$23,0)&lt;2,0.5,IF(ROUNDDOWN((M$35-$B44)/Reference!$D$23,0)&lt;3,0.75,IF(ROUNDDOWN((M$35-$B44)/Reference!$D$23,0)&lt;4,0.875,0.9375)))))+HLOOKUP($B44,$C$35:$Q$36,2,FALSE)*Reference!$C$24*(1-IF(ROUNDDOWN((M$35-$B44)/Reference!$D$24,0)&lt;1,0,IF(ROUNDDOWN((M$35-$B44)/Reference!$D$24,0)&lt;2,0.5,IF(ROUNDDOWN((M$35-$B44)/Reference!$D$24,0)&lt;3,0.75,IF(ROUNDDOWN((M$35-$B44)/Reference!$D$24,0)&lt;4,0.875,0.9375)))))+HLOOKUP($B44,$C$35:$Q$36,2,FALSE)*Reference!$C$25*(1-IF(ROUNDDOWN((M$35-$B44)/Reference!$D$25,0)&lt;1,0,IF(ROUNDDOWN((M$35-$B44)/Reference!$D$25,0)&lt;2,0.5,IF(ROUNDDOWN((M$35-$B44)/Reference!$D$25,0)&lt;3,0.75,IF(ROUNDDOWN((M$35-$B44)/Reference!$D$25,0)&lt;4,0.875,0.9375)))))+HLOOKUP($B44,$C$35:$Q$36,2,FALSE)*Reference!$C$26*(1-IF(ROUNDDOWN((M$35-$B44)/Reference!$D$26,0)&lt;1,0,IF(ROUNDDOWN((M$35-$B44)/Reference!$D$26,0)&lt;2,0.5,IF(ROUNDDOWN((M$35-$B44)/Reference!$D$26,0)&lt;3,0.75,IF(ROUNDDOWN((M$35-$B44)/Reference!$D$26,0)&lt;4,0.875,0.9375)))))+HLOOKUP($B44,$C$35:$Q$36,2,FALSE)*Reference!$C$27*(1-IF(ROUNDDOWN((M$35-$B44)/Reference!$D$27,0)&lt;1,0,IF(ROUNDDOWN((M$35-$B44)/Reference!$D$27,0)&lt;2,0.5,IF(ROUNDDOWN((M$35-$B44)/Reference!$D$27,0)&lt;3,0.75,IF(ROUNDDOWN((M$35-$B44)/Reference!$D$27,0)&lt;4,0.875,0.9375)))))+HLOOKUP($B44,$C$35:$Q$36,2,FALSE)*Reference!$C$28*(1-IF(ROUNDDOWN((M$35-$B44)/Reference!$D$28,0)&lt;1,0,IF(ROUNDDOWN((M$35-$B44)/Reference!$D$28,0)&lt;2,0.5,IF(ROUNDDOWN((M$35-$B44)/Reference!$D$28,0)&lt;3,0.75,IF(ROUNDDOWN((M$35-$B44)/Reference!$D$28,0)&lt;4,0.875,0.9375)))))</f>
        <v>0</v>
      </c>
      <c r="N44" s="135">
        <f>HLOOKUP($B44,$C$35:$Q$36,2,FALSE)*Reference!$C$23*(1-IF(ROUNDDOWN((N$35-$B44)/Reference!$D$23,0)&lt;1,0,IF(ROUNDDOWN((N$35-$B44)/Reference!$D$23,0)&lt;2,0.5,IF(ROUNDDOWN((N$35-$B44)/Reference!$D$23,0)&lt;3,0.75,IF(ROUNDDOWN((N$35-$B44)/Reference!$D$23,0)&lt;4,0.875,0.9375)))))+HLOOKUP($B44,$C$35:$Q$36,2,FALSE)*Reference!$C$24*(1-IF(ROUNDDOWN((N$35-$B44)/Reference!$D$24,0)&lt;1,0,IF(ROUNDDOWN((N$35-$B44)/Reference!$D$24,0)&lt;2,0.5,IF(ROUNDDOWN((N$35-$B44)/Reference!$D$24,0)&lt;3,0.75,IF(ROUNDDOWN((N$35-$B44)/Reference!$D$24,0)&lt;4,0.875,0.9375)))))+HLOOKUP($B44,$C$35:$Q$36,2,FALSE)*Reference!$C$25*(1-IF(ROUNDDOWN((N$35-$B44)/Reference!$D$25,0)&lt;1,0,IF(ROUNDDOWN((N$35-$B44)/Reference!$D$25,0)&lt;2,0.5,IF(ROUNDDOWN((N$35-$B44)/Reference!$D$25,0)&lt;3,0.75,IF(ROUNDDOWN((N$35-$B44)/Reference!$D$25,0)&lt;4,0.875,0.9375)))))+HLOOKUP($B44,$C$35:$Q$36,2,FALSE)*Reference!$C$26*(1-IF(ROUNDDOWN((N$35-$B44)/Reference!$D$26,0)&lt;1,0,IF(ROUNDDOWN((N$35-$B44)/Reference!$D$26,0)&lt;2,0.5,IF(ROUNDDOWN((N$35-$B44)/Reference!$D$26,0)&lt;3,0.75,IF(ROUNDDOWN((N$35-$B44)/Reference!$D$26,0)&lt;4,0.875,0.9375)))))+HLOOKUP($B44,$C$35:$Q$36,2,FALSE)*Reference!$C$27*(1-IF(ROUNDDOWN((N$35-$B44)/Reference!$D$27,0)&lt;1,0,IF(ROUNDDOWN((N$35-$B44)/Reference!$D$27,0)&lt;2,0.5,IF(ROUNDDOWN((N$35-$B44)/Reference!$D$27,0)&lt;3,0.75,IF(ROUNDDOWN((N$35-$B44)/Reference!$D$27,0)&lt;4,0.875,0.9375)))))+HLOOKUP($B44,$C$35:$Q$36,2,FALSE)*Reference!$C$28*(1-IF(ROUNDDOWN((N$35-$B44)/Reference!$D$28,0)&lt;1,0,IF(ROUNDDOWN((N$35-$B44)/Reference!$D$28,0)&lt;2,0.5,IF(ROUNDDOWN((N$35-$B44)/Reference!$D$28,0)&lt;3,0.75,IF(ROUNDDOWN((N$35-$B44)/Reference!$D$28,0)&lt;4,0.875,0.9375)))))</f>
        <v>0</v>
      </c>
      <c r="O44" s="135">
        <f>HLOOKUP($B44,$C$35:$Q$36,2,FALSE)*Reference!$C$23*(1-IF(ROUNDDOWN((O$35-$B44)/Reference!$D$23,0)&lt;1,0,IF(ROUNDDOWN((O$35-$B44)/Reference!$D$23,0)&lt;2,0.5,IF(ROUNDDOWN((O$35-$B44)/Reference!$D$23,0)&lt;3,0.75,IF(ROUNDDOWN((O$35-$B44)/Reference!$D$23,0)&lt;4,0.875,0.9375)))))+HLOOKUP($B44,$C$35:$Q$36,2,FALSE)*Reference!$C$24*(1-IF(ROUNDDOWN((O$35-$B44)/Reference!$D$24,0)&lt;1,0,IF(ROUNDDOWN((O$35-$B44)/Reference!$D$24,0)&lt;2,0.5,IF(ROUNDDOWN((O$35-$B44)/Reference!$D$24,0)&lt;3,0.75,IF(ROUNDDOWN((O$35-$B44)/Reference!$D$24,0)&lt;4,0.875,0.9375)))))+HLOOKUP($B44,$C$35:$Q$36,2,FALSE)*Reference!$C$25*(1-IF(ROUNDDOWN((O$35-$B44)/Reference!$D$25,0)&lt;1,0,IF(ROUNDDOWN((O$35-$B44)/Reference!$D$25,0)&lt;2,0.5,IF(ROUNDDOWN((O$35-$B44)/Reference!$D$25,0)&lt;3,0.75,IF(ROUNDDOWN((O$35-$B44)/Reference!$D$25,0)&lt;4,0.875,0.9375)))))+HLOOKUP($B44,$C$35:$Q$36,2,FALSE)*Reference!$C$26*(1-IF(ROUNDDOWN((O$35-$B44)/Reference!$D$26,0)&lt;1,0,IF(ROUNDDOWN((O$35-$B44)/Reference!$D$26,0)&lt;2,0.5,IF(ROUNDDOWN((O$35-$B44)/Reference!$D$26,0)&lt;3,0.75,IF(ROUNDDOWN((O$35-$B44)/Reference!$D$26,0)&lt;4,0.875,0.9375)))))+HLOOKUP($B44,$C$35:$Q$36,2,FALSE)*Reference!$C$27*(1-IF(ROUNDDOWN((O$35-$B44)/Reference!$D$27,0)&lt;1,0,IF(ROUNDDOWN((O$35-$B44)/Reference!$D$27,0)&lt;2,0.5,IF(ROUNDDOWN((O$35-$B44)/Reference!$D$27,0)&lt;3,0.75,IF(ROUNDDOWN((O$35-$B44)/Reference!$D$27,0)&lt;4,0.875,0.9375)))))+HLOOKUP($B44,$C$35:$Q$36,2,FALSE)*Reference!$C$28*(1-IF(ROUNDDOWN((O$35-$B44)/Reference!$D$28,0)&lt;1,0,IF(ROUNDDOWN((O$35-$B44)/Reference!$D$28,0)&lt;2,0.5,IF(ROUNDDOWN((O$35-$B44)/Reference!$D$28,0)&lt;3,0.75,IF(ROUNDDOWN((O$35-$B44)/Reference!$D$28,0)&lt;4,0.875,0.9375)))))</f>
        <v>0</v>
      </c>
      <c r="P44" s="135">
        <f>HLOOKUP($B44,$C$35:$Q$36,2,FALSE)*Reference!$C$23*(1-IF(ROUNDDOWN((P$35-$B44)/Reference!$D$23,0)&lt;1,0,IF(ROUNDDOWN((P$35-$B44)/Reference!$D$23,0)&lt;2,0.5,IF(ROUNDDOWN((P$35-$B44)/Reference!$D$23,0)&lt;3,0.75,IF(ROUNDDOWN((P$35-$B44)/Reference!$D$23,0)&lt;4,0.875,0.9375)))))+HLOOKUP($B44,$C$35:$Q$36,2,FALSE)*Reference!$C$24*(1-IF(ROUNDDOWN((P$35-$B44)/Reference!$D$24,0)&lt;1,0,IF(ROUNDDOWN((P$35-$B44)/Reference!$D$24,0)&lt;2,0.5,IF(ROUNDDOWN((P$35-$B44)/Reference!$D$24,0)&lt;3,0.75,IF(ROUNDDOWN((P$35-$B44)/Reference!$D$24,0)&lt;4,0.875,0.9375)))))+HLOOKUP($B44,$C$35:$Q$36,2,FALSE)*Reference!$C$25*(1-IF(ROUNDDOWN((P$35-$B44)/Reference!$D$25,0)&lt;1,0,IF(ROUNDDOWN((P$35-$B44)/Reference!$D$25,0)&lt;2,0.5,IF(ROUNDDOWN((P$35-$B44)/Reference!$D$25,0)&lt;3,0.75,IF(ROUNDDOWN((P$35-$B44)/Reference!$D$25,0)&lt;4,0.875,0.9375)))))+HLOOKUP($B44,$C$35:$Q$36,2,FALSE)*Reference!$C$26*(1-IF(ROUNDDOWN((P$35-$B44)/Reference!$D$26,0)&lt;1,0,IF(ROUNDDOWN((P$35-$B44)/Reference!$D$26,0)&lt;2,0.5,IF(ROUNDDOWN((P$35-$B44)/Reference!$D$26,0)&lt;3,0.75,IF(ROUNDDOWN((P$35-$B44)/Reference!$D$26,0)&lt;4,0.875,0.9375)))))+HLOOKUP($B44,$C$35:$Q$36,2,FALSE)*Reference!$C$27*(1-IF(ROUNDDOWN((P$35-$B44)/Reference!$D$27,0)&lt;1,0,IF(ROUNDDOWN((P$35-$B44)/Reference!$D$27,0)&lt;2,0.5,IF(ROUNDDOWN((P$35-$B44)/Reference!$D$27,0)&lt;3,0.75,IF(ROUNDDOWN((P$35-$B44)/Reference!$D$27,0)&lt;4,0.875,0.9375)))))+HLOOKUP($B44,$C$35:$Q$36,2,FALSE)*Reference!$C$28*(1-IF(ROUNDDOWN((P$35-$B44)/Reference!$D$28,0)&lt;1,0,IF(ROUNDDOWN((P$35-$B44)/Reference!$D$28,0)&lt;2,0.5,IF(ROUNDDOWN((P$35-$B44)/Reference!$D$28,0)&lt;3,0.75,IF(ROUNDDOWN((P$35-$B44)/Reference!$D$28,0)&lt;4,0.875,0.9375)))))</f>
        <v>0</v>
      </c>
      <c r="Q44" s="135">
        <f>HLOOKUP($B44,$C$35:$Q$36,2,FALSE)*Reference!$C$23*(1-IF(ROUNDDOWN((Q$35-$B44)/Reference!$D$23,0)&lt;1,0,IF(ROUNDDOWN((Q$35-$B44)/Reference!$D$23,0)&lt;2,0.5,IF(ROUNDDOWN((Q$35-$B44)/Reference!$D$23,0)&lt;3,0.75,IF(ROUNDDOWN((Q$35-$B44)/Reference!$D$23,0)&lt;4,0.875,0.9375)))))+HLOOKUP($B44,$C$35:$Q$36,2,FALSE)*Reference!$C$24*(1-IF(ROUNDDOWN((Q$35-$B44)/Reference!$D$24,0)&lt;1,0,IF(ROUNDDOWN((Q$35-$B44)/Reference!$D$24,0)&lt;2,0.5,IF(ROUNDDOWN((Q$35-$B44)/Reference!$D$24,0)&lt;3,0.75,IF(ROUNDDOWN((Q$35-$B44)/Reference!$D$24,0)&lt;4,0.875,0.9375)))))+HLOOKUP($B44,$C$35:$Q$36,2,FALSE)*Reference!$C$25*(1-IF(ROUNDDOWN((Q$35-$B44)/Reference!$D$25,0)&lt;1,0,IF(ROUNDDOWN((Q$35-$B44)/Reference!$D$25,0)&lt;2,0.5,IF(ROUNDDOWN((Q$35-$B44)/Reference!$D$25,0)&lt;3,0.75,IF(ROUNDDOWN((Q$35-$B44)/Reference!$D$25,0)&lt;4,0.875,0.9375)))))+HLOOKUP($B44,$C$35:$Q$36,2,FALSE)*Reference!$C$26*(1-IF(ROUNDDOWN((Q$35-$B44)/Reference!$D$26,0)&lt;1,0,IF(ROUNDDOWN((Q$35-$B44)/Reference!$D$26,0)&lt;2,0.5,IF(ROUNDDOWN((Q$35-$B44)/Reference!$D$26,0)&lt;3,0.75,IF(ROUNDDOWN((Q$35-$B44)/Reference!$D$26,0)&lt;4,0.875,0.9375)))))+HLOOKUP($B44,$C$35:$Q$36,2,FALSE)*Reference!$C$27*(1-IF(ROUNDDOWN((Q$35-$B44)/Reference!$D$27,0)&lt;1,0,IF(ROUNDDOWN((Q$35-$B44)/Reference!$D$27,0)&lt;2,0.5,IF(ROUNDDOWN((Q$35-$B44)/Reference!$D$27,0)&lt;3,0.75,IF(ROUNDDOWN((Q$35-$B44)/Reference!$D$27,0)&lt;4,0.875,0.9375)))))+HLOOKUP($B44,$C$35:$Q$36,2,FALSE)*Reference!$C$28*(1-IF(ROUNDDOWN((Q$35-$B44)/Reference!$D$28,0)&lt;1,0,IF(ROUNDDOWN((Q$35-$B44)/Reference!$D$28,0)&lt;2,0.5,IF(ROUNDDOWN((Q$35-$B44)/Reference!$D$28,0)&lt;3,0.75,IF(ROUNDDOWN((Q$35-$B44)/Reference!$D$28,0)&lt;4,0.875,0.9375)))))</f>
        <v>0</v>
      </c>
      <c r="R44" s="50"/>
    </row>
    <row r="45" spans="2:18" x14ac:dyDescent="0.3">
      <c r="B45" s="237">
        <f t="shared" si="5"/>
        <v>2021</v>
      </c>
      <c r="C45" s="135"/>
      <c r="D45" s="135"/>
      <c r="E45" s="135"/>
      <c r="F45" s="135"/>
      <c r="G45" s="135"/>
      <c r="H45" s="135"/>
      <c r="I45" s="135">
        <f>HLOOKUP($B45,$C$35:$Q$36,2,FALSE)*Reference!$C$23*(1-IF(ROUNDDOWN((I$35-$B45)/Reference!$D$23,0)&lt;1,0,IF(ROUNDDOWN((I$35-$B45)/Reference!$D$23,0)&lt;2,0.5,IF(ROUNDDOWN((I$35-$B45)/Reference!$D$23,0)&lt;3,0.75,IF(ROUNDDOWN((I$35-$B45)/Reference!$D$23,0)&lt;4,0.875,0.9375)))))+HLOOKUP($B45,$C$35:$Q$36,2,FALSE)*Reference!$C$24*(1-IF(ROUNDDOWN((I$35-$B45)/Reference!$D$24,0)&lt;1,0,IF(ROUNDDOWN((I$35-$B45)/Reference!$D$24,0)&lt;2,0.5,IF(ROUNDDOWN((I$35-$B45)/Reference!$D$24,0)&lt;3,0.75,IF(ROUNDDOWN((I$35-$B45)/Reference!$D$24,0)&lt;4,0.875,0.9375)))))+HLOOKUP($B45,$C$35:$Q$36,2,FALSE)*Reference!$C$25*(1-IF(ROUNDDOWN((I$35-$B45)/Reference!$D$25,0)&lt;1,0,IF(ROUNDDOWN((I$35-$B45)/Reference!$D$25,0)&lt;2,0.5,IF(ROUNDDOWN((I$35-$B45)/Reference!$D$25,0)&lt;3,0.75,IF(ROUNDDOWN((I$35-$B45)/Reference!$D$25,0)&lt;4,0.875,0.9375)))))+HLOOKUP($B45,$C$35:$Q$36,2,FALSE)*Reference!$C$26*(1-IF(ROUNDDOWN((I$35-$B45)/Reference!$D$26,0)&lt;1,0,IF(ROUNDDOWN((I$35-$B45)/Reference!$D$26,0)&lt;2,0.5,IF(ROUNDDOWN((I$35-$B45)/Reference!$D$26,0)&lt;3,0.75,IF(ROUNDDOWN((I$35-$B45)/Reference!$D$26,0)&lt;4,0.875,0.9375)))))+HLOOKUP($B45,$C$35:$Q$36,2,FALSE)*Reference!$C$27*(1-IF(ROUNDDOWN((I$35-$B45)/Reference!$D$27,0)&lt;1,0,IF(ROUNDDOWN((I$35-$B45)/Reference!$D$27,0)&lt;2,0.5,IF(ROUNDDOWN((I$35-$B45)/Reference!$D$27,0)&lt;3,0.75,IF(ROUNDDOWN((I$35-$B45)/Reference!$D$27,0)&lt;4,0.875,0.9375)))))+HLOOKUP($B45,$C$35:$Q$36,2,FALSE)*Reference!$C$28*(1-IF(ROUNDDOWN((I$35-$B45)/Reference!$D$28,0)&lt;1,0,IF(ROUNDDOWN((I$35-$B45)/Reference!$D$28,0)&lt;2,0.5,IF(ROUNDDOWN((I$35-$B45)/Reference!$D$28,0)&lt;3,0.75,IF(ROUNDDOWN((I$35-$B45)/Reference!$D$28,0)&lt;4,0.875,0.9375)))))</f>
        <v>4.4373115401321046</v>
      </c>
      <c r="J45" s="135">
        <f>HLOOKUP($B45,$C$35:$Q$36,2,FALSE)*Reference!$C$23*(1-IF(ROUNDDOWN((J$35-$B45)/Reference!$D$23,0)&lt;1,0,IF(ROUNDDOWN((J$35-$B45)/Reference!$D$23,0)&lt;2,0.5,IF(ROUNDDOWN((J$35-$B45)/Reference!$D$23,0)&lt;3,0.75,IF(ROUNDDOWN((J$35-$B45)/Reference!$D$23,0)&lt;4,0.875,0.9375)))))+HLOOKUP($B45,$C$35:$Q$36,2,FALSE)*Reference!$C$24*(1-IF(ROUNDDOWN((J$35-$B45)/Reference!$D$24,0)&lt;1,0,IF(ROUNDDOWN((J$35-$B45)/Reference!$D$24,0)&lt;2,0.5,IF(ROUNDDOWN((J$35-$B45)/Reference!$D$24,0)&lt;3,0.75,IF(ROUNDDOWN((J$35-$B45)/Reference!$D$24,0)&lt;4,0.875,0.9375)))))+HLOOKUP($B45,$C$35:$Q$36,2,FALSE)*Reference!$C$25*(1-IF(ROUNDDOWN((J$35-$B45)/Reference!$D$25,0)&lt;1,0,IF(ROUNDDOWN((J$35-$B45)/Reference!$D$25,0)&lt;2,0.5,IF(ROUNDDOWN((J$35-$B45)/Reference!$D$25,0)&lt;3,0.75,IF(ROUNDDOWN((J$35-$B45)/Reference!$D$25,0)&lt;4,0.875,0.9375)))))+HLOOKUP($B45,$C$35:$Q$36,2,FALSE)*Reference!$C$26*(1-IF(ROUNDDOWN((J$35-$B45)/Reference!$D$26,0)&lt;1,0,IF(ROUNDDOWN((J$35-$B45)/Reference!$D$26,0)&lt;2,0.5,IF(ROUNDDOWN((J$35-$B45)/Reference!$D$26,0)&lt;3,0.75,IF(ROUNDDOWN((J$35-$B45)/Reference!$D$26,0)&lt;4,0.875,0.9375)))))+HLOOKUP($B45,$C$35:$Q$36,2,FALSE)*Reference!$C$27*(1-IF(ROUNDDOWN((J$35-$B45)/Reference!$D$27,0)&lt;1,0,IF(ROUNDDOWN((J$35-$B45)/Reference!$D$27,0)&lt;2,0.5,IF(ROUNDDOWN((J$35-$B45)/Reference!$D$27,0)&lt;3,0.75,IF(ROUNDDOWN((J$35-$B45)/Reference!$D$27,0)&lt;4,0.875,0.9375)))))+HLOOKUP($B45,$C$35:$Q$36,2,FALSE)*Reference!$C$28*(1-IF(ROUNDDOWN((J$35-$B45)/Reference!$D$28,0)&lt;1,0,IF(ROUNDDOWN((J$35-$B45)/Reference!$D$28,0)&lt;2,0.5,IF(ROUNDDOWN((J$35-$B45)/Reference!$D$28,0)&lt;3,0.75,IF(ROUNDDOWN((J$35-$B45)/Reference!$D$28,0)&lt;4,0.875,0.9375)))))</f>
        <v>4.4373115401321046</v>
      </c>
      <c r="K45" s="135">
        <f>HLOOKUP($B45,$C$35:$Q$36,2,FALSE)*Reference!$C$23*(1-IF(ROUNDDOWN((K$35-$B45)/Reference!$D$23,0)&lt;1,0,IF(ROUNDDOWN((K$35-$B45)/Reference!$D$23,0)&lt;2,0.5,IF(ROUNDDOWN((K$35-$B45)/Reference!$D$23,0)&lt;3,0.75,IF(ROUNDDOWN((K$35-$B45)/Reference!$D$23,0)&lt;4,0.875,0.9375)))))+HLOOKUP($B45,$C$35:$Q$36,2,FALSE)*Reference!$C$24*(1-IF(ROUNDDOWN((K$35-$B45)/Reference!$D$24,0)&lt;1,0,IF(ROUNDDOWN((K$35-$B45)/Reference!$D$24,0)&lt;2,0.5,IF(ROUNDDOWN((K$35-$B45)/Reference!$D$24,0)&lt;3,0.75,IF(ROUNDDOWN((K$35-$B45)/Reference!$D$24,0)&lt;4,0.875,0.9375)))))+HLOOKUP($B45,$C$35:$Q$36,2,FALSE)*Reference!$C$25*(1-IF(ROUNDDOWN((K$35-$B45)/Reference!$D$25,0)&lt;1,0,IF(ROUNDDOWN((K$35-$B45)/Reference!$D$25,0)&lt;2,0.5,IF(ROUNDDOWN((K$35-$B45)/Reference!$D$25,0)&lt;3,0.75,IF(ROUNDDOWN((K$35-$B45)/Reference!$D$25,0)&lt;4,0.875,0.9375)))))+HLOOKUP($B45,$C$35:$Q$36,2,FALSE)*Reference!$C$26*(1-IF(ROUNDDOWN((K$35-$B45)/Reference!$D$26,0)&lt;1,0,IF(ROUNDDOWN((K$35-$B45)/Reference!$D$26,0)&lt;2,0.5,IF(ROUNDDOWN((K$35-$B45)/Reference!$D$26,0)&lt;3,0.75,IF(ROUNDDOWN((K$35-$B45)/Reference!$D$26,0)&lt;4,0.875,0.9375)))))+HLOOKUP($B45,$C$35:$Q$36,2,FALSE)*Reference!$C$27*(1-IF(ROUNDDOWN((K$35-$B45)/Reference!$D$27,0)&lt;1,0,IF(ROUNDDOWN((K$35-$B45)/Reference!$D$27,0)&lt;2,0.5,IF(ROUNDDOWN((K$35-$B45)/Reference!$D$27,0)&lt;3,0.75,IF(ROUNDDOWN((K$35-$B45)/Reference!$D$27,0)&lt;4,0.875,0.9375)))))+HLOOKUP($B45,$C$35:$Q$36,2,FALSE)*Reference!$C$28*(1-IF(ROUNDDOWN((K$35-$B45)/Reference!$D$28,0)&lt;1,0,IF(ROUNDDOWN((K$35-$B45)/Reference!$D$28,0)&lt;2,0.5,IF(ROUNDDOWN((K$35-$B45)/Reference!$D$28,0)&lt;3,0.75,IF(ROUNDDOWN((K$35-$B45)/Reference!$D$28,0)&lt;4,0.875,0.9375)))))</f>
        <v>4.4373115401321046</v>
      </c>
      <c r="L45" s="135">
        <f>HLOOKUP($B45,$C$35:$Q$36,2,FALSE)*Reference!$C$23*(1-IF(ROUNDDOWN((L$35-$B45)/Reference!$D$23,0)&lt;1,0,IF(ROUNDDOWN((L$35-$B45)/Reference!$D$23,0)&lt;2,0.5,IF(ROUNDDOWN((L$35-$B45)/Reference!$D$23,0)&lt;3,0.75,IF(ROUNDDOWN((L$35-$B45)/Reference!$D$23,0)&lt;4,0.875,0.9375)))))+HLOOKUP($B45,$C$35:$Q$36,2,FALSE)*Reference!$C$24*(1-IF(ROUNDDOWN((L$35-$B45)/Reference!$D$24,0)&lt;1,0,IF(ROUNDDOWN((L$35-$B45)/Reference!$D$24,0)&lt;2,0.5,IF(ROUNDDOWN((L$35-$B45)/Reference!$D$24,0)&lt;3,0.75,IF(ROUNDDOWN((L$35-$B45)/Reference!$D$24,0)&lt;4,0.875,0.9375)))))+HLOOKUP($B45,$C$35:$Q$36,2,FALSE)*Reference!$C$25*(1-IF(ROUNDDOWN((L$35-$B45)/Reference!$D$25,0)&lt;1,0,IF(ROUNDDOWN((L$35-$B45)/Reference!$D$25,0)&lt;2,0.5,IF(ROUNDDOWN((L$35-$B45)/Reference!$D$25,0)&lt;3,0.75,IF(ROUNDDOWN((L$35-$B45)/Reference!$D$25,0)&lt;4,0.875,0.9375)))))+HLOOKUP($B45,$C$35:$Q$36,2,FALSE)*Reference!$C$26*(1-IF(ROUNDDOWN((L$35-$B45)/Reference!$D$26,0)&lt;1,0,IF(ROUNDDOWN((L$35-$B45)/Reference!$D$26,0)&lt;2,0.5,IF(ROUNDDOWN((L$35-$B45)/Reference!$D$26,0)&lt;3,0.75,IF(ROUNDDOWN((L$35-$B45)/Reference!$D$26,0)&lt;4,0.875,0.9375)))))+HLOOKUP($B45,$C$35:$Q$36,2,FALSE)*Reference!$C$27*(1-IF(ROUNDDOWN((L$35-$B45)/Reference!$D$27,0)&lt;1,0,IF(ROUNDDOWN((L$35-$B45)/Reference!$D$27,0)&lt;2,0.5,IF(ROUNDDOWN((L$35-$B45)/Reference!$D$27,0)&lt;3,0.75,IF(ROUNDDOWN((L$35-$B45)/Reference!$D$27,0)&lt;4,0.875,0.9375)))))+HLOOKUP($B45,$C$35:$Q$36,2,FALSE)*Reference!$C$28*(1-IF(ROUNDDOWN((L$35-$B45)/Reference!$D$28,0)&lt;1,0,IF(ROUNDDOWN((L$35-$B45)/Reference!$D$28,0)&lt;2,0.5,IF(ROUNDDOWN((L$35-$B45)/Reference!$D$28,0)&lt;3,0.75,IF(ROUNDDOWN((L$35-$B45)/Reference!$D$28,0)&lt;4,0.875,0.9375)))))</f>
        <v>4.2465071439064239</v>
      </c>
      <c r="M45" s="135">
        <f>HLOOKUP($B45,$C$35:$Q$36,2,FALSE)*Reference!$C$23*(1-IF(ROUNDDOWN((M$35-$B45)/Reference!$D$23,0)&lt;1,0,IF(ROUNDDOWN((M$35-$B45)/Reference!$D$23,0)&lt;2,0.5,IF(ROUNDDOWN((M$35-$B45)/Reference!$D$23,0)&lt;3,0.75,IF(ROUNDDOWN((M$35-$B45)/Reference!$D$23,0)&lt;4,0.875,0.9375)))))+HLOOKUP($B45,$C$35:$Q$36,2,FALSE)*Reference!$C$24*(1-IF(ROUNDDOWN((M$35-$B45)/Reference!$D$24,0)&lt;1,0,IF(ROUNDDOWN((M$35-$B45)/Reference!$D$24,0)&lt;2,0.5,IF(ROUNDDOWN((M$35-$B45)/Reference!$D$24,0)&lt;3,0.75,IF(ROUNDDOWN((M$35-$B45)/Reference!$D$24,0)&lt;4,0.875,0.9375)))))+HLOOKUP($B45,$C$35:$Q$36,2,FALSE)*Reference!$C$25*(1-IF(ROUNDDOWN((M$35-$B45)/Reference!$D$25,0)&lt;1,0,IF(ROUNDDOWN((M$35-$B45)/Reference!$D$25,0)&lt;2,0.5,IF(ROUNDDOWN((M$35-$B45)/Reference!$D$25,0)&lt;3,0.75,IF(ROUNDDOWN((M$35-$B45)/Reference!$D$25,0)&lt;4,0.875,0.9375)))))+HLOOKUP($B45,$C$35:$Q$36,2,FALSE)*Reference!$C$26*(1-IF(ROUNDDOWN((M$35-$B45)/Reference!$D$26,0)&lt;1,0,IF(ROUNDDOWN((M$35-$B45)/Reference!$D$26,0)&lt;2,0.5,IF(ROUNDDOWN((M$35-$B45)/Reference!$D$26,0)&lt;3,0.75,IF(ROUNDDOWN((M$35-$B45)/Reference!$D$26,0)&lt;4,0.875,0.9375)))))+HLOOKUP($B45,$C$35:$Q$36,2,FALSE)*Reference!$C$27*(1-IF(ROUNDDOWN((M$35-$B45)/Reference!$D$27,0)&lt;1,0,IF(ROUNDDOWN((M$35-$B45)/Reference!$D$27,0)&lt;2,0.5,IF(ROUNDDOWN((M$35-$B45)/Reference!$D$27,0)&lt;3,0.75,IF(ROUNDDOWN((M$35-$B45)/Reference!$D$27,0)&lt;4,0.875,0.9375)))))+HLOOKUP($B45,$C$35:$Q$36,2,FALSE)*Reference!$C$28*(1-IF(ROUNDDOWN((M$35-$B45)/Reference!$D$28,0)&lt;1,0,IF(ROUNDDOWN((M$35-$B45)/Reference!$D$28,0)&lt;2,0.5,IF(ROUNDDOWN((M$35-$B45)/Reference!$D$28,0)&lt;3,0.75,IF(ROUNDDOWN((M$35-$B45)/Reference!$D$28,0)&lt;4,0.875,0.9375)))))</f>
        <v>4.2465071439064239</v>
      </c>
      <c r="N45" s="135">
        <f>HLOOKUP($B45,$C$35:$Q$36,2,FALSE)*Reference!$C$23*(1-IF(ROUNDDOWN((N$35-$B45)/Reference!$D$23,0)&lt;1,0,IF(ROUNDDOWN((N$35-$B45)/Reference!$D$23,0)&lt;2,0.5,IF(ROUNDDOWN((N$35-$B45)/Reference!$D$23,0)&lt;3,0.75,IF(ROUNDDOWN((N$35-$B45)/Reference!$D$23,0)&lt;4,0.875,0.9375)))))+HLOOKUP($B45,$C$35:$Q$36,2,FALSE)*Reference!$C$24*(1-IF(ROUNDDOWN((N$35-$B45)/Reference!$D$24,0)&lt;1,0,IF(ROUNDDOWN((N$35-$B45)/Reference!$D$24,0)&lt;2,0.5,IF(ROUNDDOWN((N$35-$B45)/Reference!$D$24,0)&lt;3,0.75,IF(ROUNDDOWN((N$35-$B45)/Reference!$D$24,0)&lt;4,0.875,0.9375)))))+HLOOKUP($B45,$C$35:$Q$36,2,FALSE)*Reference!$C$25*(1-IF(ROUNDDOWN((N$35-$B45)/Reference!$D$25,0)&lt;1,0,IF(ROUNDDOWN((N$35-$B45)/Reference!$D$25,0)&lt;2,0.5,IF(ROUNDDOWN((N$35-$B45)/Reference!$D$25,0)&lt;3,0.75,IF(ROUNDDOWN((N$35-$B45)/Reference!$D$25,0)&lt;4,0.875,0.9375)))))+HLOOKUP($B45,$C$35:$Q$36,2,FALSE)*Reference!$C$26*(1-IF(ROUNDDOWN((N$35-$B45)/Reference!$D$26,0)&lt;1,0,IF(ROUNDDOWN((N$35-$B45)/Reference!$D$26,0)&lt;2,0.5,IF(ROUNDDOWN((N$35-$B45)/Reference!$D$26,0)&lt;3,0.75,IF(ROUNDDOWN((N$35-$B45)/Reference!$D$26,0)&lt;4,0.875,0.9375)))))+HLOOKUP($B45,$C$35:$Q$36,2,FALSE)*Reference!$C$27*(1-IF(ROUNDDOWN((N$35-$B45)/Reference!$D$27,0)&lt;1,0,IF(ROUNDDOWN((N$35-$B45)/Reference!$D$27,0)&lt;2,0.5,IF(ROUNDDOWN((N$35-$B45)/Reference!$D$27,0)&lt;3,0.75,IF(ROUNDDOWN((N$35-$B45)/Reference!$D$27,0)&lt;4,0.875,0.9375)))))+HLOOKUP($B45,$C$35:$Q$36,2,FALSE)*Reference!$C$28*(1-IF(ROUNDDOWN((N$35-$B45)/Reference!$D$28,0)&lt;1,0,IF(ROUNDDOWN((N$35-$B45)/Reference!$D$28,0)&lt;2,0.5,IF(ROUNDDOWN((N$35-$B45)/Reference!$D$28,0)&lt;3,0.75,IF(ROUNDDOWN((N$35-$B45)/Reference!$D$28,0)&lt;4,0.875,0.9375)))))</f>
        <v>4.2465071439064239</v>
      </c>
      <c r="O45" s="135">
        <f>HLOOKUP($B45,$C$35:$Q$36,2,FALSE)*Reference!$C$23*(1-IF(ROUNDDOWN((O$35-$B45)/Reference!$D$23,0)&lt;1,0,IF(ROUNDDOWN((O$35-$B45)/Reference!$D$23,0)&lt;2,0.5,IF(ROUNDDOWN((O$35-$B45)/Reference!$D$23,0)&lt;3,0.75,IF(ROUNDDOWN((O$35-$B45)/Reference!$D$23,0)&lt;4,0.875,0.9375)))))+HLOOKUP($B45,$C$35:$Q$36,2,FALSE)*Reference!$C$24*(1-IF(ROUNDDOWN((O$35-$B45)/Reference!$D$24,0)&lt;1,0,IF(ROUNDDOWN((O$35-$B45)/Reference!$D$24,0)&lt;2,0.5,IF(ROUNDDOWN((O$35-$B45)/Reference!$D$24,0)&lt;3,0.75,IF(ROUNDDOWN((O$35-$B45)/Reference!$D$24,0)&lt;4,0.875,0.9375)))))+HLOOKUP($B45,$C$35:$Q$36,2,FALSE)*Reference!$C$25*(1-IF(ROUNDDOWN((O$35-$B45)/Reference!$D$25,0)&lt;1,0,IF(ROUNDDOWN((O$35-$B45)/Reference!$D$25,0)&lt;2,0.5,IF(ROUNDDOWN((O$35-$B45)/Reference!$D$25,0)&lt;3,0.75,IF(ROUNDDOWN((O$35-$B45)/Reference!$D$25,0)&lt;4,0.875,0.9375)))))+HLOOKUP($B45,$C$35:$Q$36,2,FALSE)*Reference!$C$26*(1-IF(ROUNDDOWN((O$35-$B45)/Reference!$D$26,0)&lt;1,0,IF(ROUNDDOWN((O$35-$B45)/Reference!$D$26,0)&lt;2,0.5,IF(ROUNDDOWN((O$35-$B45)/Reference!$D$26,0)&lt;3,0.75,IF(ROUNDDOWN((O$35-$B45)/Reference!$D$26,0)&lt;4,0.875,0.9375)))))+HLOOKUP($B45,$C$35:$Q$36,2,FALSE)*Reference!$C$27*(1-IF(ROUNDDOWN((O$35-$B45)/Reference!$D$27,0)&lt;1,0,IF(ROUNDDOWN((O$35-$B45)/Reference!$D$27,0)&lt;2,0.5,IF(ROUNDDOWN((O$35-$B45)/Reference!$D$27,0)&lt;3,0.75,IF(ROUNDDOWN((O$35-$B45)/Reference!$D$27,0)&lt;4,0.875,0.9375)))))+HLOOKUP($B45,$C$35:$Q$36,2,FALSE)*Reference!$C$28*(1-IF(ROUNDDOWN((O$35-$B45)/Reference!$D$28,0)&lt;1,0,IF(ROUNDDOWN((O$35-$B45)/Reference!$D$28,0)&lt;2,0.5,IF(ROUNDDOWN((O$35-$B45)/Reference!$D$28,0)&lt;3,0.75,IF(ROUNDDOWN((O$35-$B45)/Reference!$D$28,0)&lt;4,0.875,0.9375)))))</f>
        <v>4.151104945793584</v>
      </c>
      <c r="P45" s="135">
        <f>HLOOKUP($B45,$C$35:$Q$36,2,FALSE)*Reference!$C$23*(1-IF(ROUNDDOWN((P$35-$B45)/Reference!$D$23,0)&lt;1,0,IF(ROUNDDOWN((P$35-$B45)/Reference!$D$23,0)&lt;2,0.5,IF(ROUNDDOWN((P$35-$B45)/Reference!$D$23,0)&lt;3,0.75,IF(ROUNDDOWN((P$35-$B45)/Reference!$D$23,0)&lt;4,0.875,0.9375)))))+HLOOKUP($B45,$C$35:$Q$36,2,FALSE)*Reference!$C$24*(1-IF(ROUNDDOWN((P$35-$B45)/Reference!$D$24,0)&lt;1,0,IF(ROUNDDOWN((P$35-$B45)/Reference!$D$24,0)&lt;2,0.5,IF(ROUNDDOWN((P$35-$B45)/Reference!$D$24,0)&lt;3,0.75,IF(ROUNDDOWN((P$35-$B45)/Reference!$D$24,0)&lt;4,0.875,0.9375)))))+HLOOKUP($B45,$C$35:$Q$36,2,FALSE)*Reference!$C$25*(1-IF(ROUNDDOWN((P$35-$B45)/Reference!$D$25,0)&lt;1,0,IF(ROUNDDOWN((P$35-$B45)/Reference!$D$25,0)&lt;2,0.5,IF(ROUNDDOWN((P$35-$B45)/Reference!$D$25,0)&lt;3,0.75,IF(ROUNDDOWN((P$35-$B45)/Reference!$D$25,0)&lt;4,0.875,0.9375)))))+HLOOKUP($B45,$C$35:$Q$36,2,FALSE)*Reference!$C$26*(1-IF(ROUNDDOWN((P$35-$B45)/Reference!$D$26,0)&lt;1,0,IF(ROUNDDOWN((P$35-$B45)/Reference!$D$26,0)&lt;2,0.5,IF(ROUNDDOWN((P$35-$B45)/Reference!$D$26,0)&lt;3,0.75,IF(ROUNDDOWN((P$35-$B45)/Reference!$D$26,0)&lt;4,0.875,0.9375)))))+HLOOKUP($B45,$C$35:$Q$36,2,FALSE)*Reference!$C$27*(1-IF(ROUNDDOWN((P$35-$B45)/Reference!$D$27,0)&lt;1,0,IF(ROUNDDOWN((P$35-$B45)/Reference!$D$27,0)&lt;2,0.5,IF(ROUNDDOWN((P$35-$B45)/Reference!$D$27,0)&lt;3,0.75,IF(ROUNDDOWN((P$35-$B45)/Reference!$D$27,0)&lt;4,0.875,0.9375)))))+HLOOKUP($B45,$C$35:$Q$36,2,FALSE)*Reference!$C$28*(1-IF(ROUNDDOWN((P$35-$B45)/Reference!$D$28,0)&lt;1,0,IF(ROUNDDOWN((P$35-$B45)/Reference!$D$28,0)&lt;2,0.5,IF(ROUNDDOWN((P$35-$B45)/Reference!$D$28,0)&lt;3,0.75,IF(ROUNDDOWN((P$35-$B45)/Reference!$D$28,0)&lt;4,0.875,0.9375)))))</f>
        <v>4.151104945793584</v>
      </c>
      <c r="Q45" s="135">
        <f>HLOOKUP($B45,$C$35:$Q$36,2,FALSE)*Reference!$C$23*(1-IF(ROUNDDOWN((Q$35-$B45)/Reference!$D$23,0)&lt;1,0,IF(ROUNDDOWN((Q$35-$B45)/Reference!$D$23,0)&lt;2,0.5,IF(ROUNDDOWN((Q$35-$B45)/Reference!$D$23,0)&lt;3,0.75,IF(ROUNDDOWN((Q$35-$B45)/Reference!$D$23,0)&lt;4,0.875,0.9375)))))+HLOOKUP($B45,$C$35:$Q$36,2,FALSE)*Reference!$C$24*(1-IF(ROUNDDOWN((Q$35-$B45)/Reference!$D$24,0)&lt;1,0,IF(ROUNDDOWN((Q$35-$B45)/Reference!$D$24,0)&lt;2,0.5,IF(ROUNDDOWN((Q$35-$B45)/Reference!$D$24,0)&lt;3,0.75,IF(ROUNDDOWN((Q$35-$B45)/Reference!$D$24,0)&lt;4,0.875,0.9375)))))+HLOOKUP($B45,$C$35:$Q$36,2,FALSE)*Reference!$C$25*(1-IF(ROUNDDOWN((Q$35-$B45)/Reference!$D$25,0)&lt;1,0,IF(ROUNDDOWN((Q$35-$B45)/Reference!$D$25,0)&lt;2,0.5,IF(ROUNDDOWN((Q$35-$B45)/Reference!$D$25,0)&lt;3,0.75,IF(ROUNDDOWN((Q$35-$B45)/Reference!$D$25,0)&lt;4,0.875,0.9375)))))+HLOOKUP($B45,$C$35:$Q$36,2,FALSE)*Reference!$C$26*(1-IF(ROUNDDOWN((Q$35-$B45)/Reference!$D$26,0)&lt;1,0,IF(ROUNDDOWN((Q$35-$B45)/Reference!$D$26,0)&lt;2,0.5,IF(ROUNDDOWN((Q$35-$B45)/Reference!$D$26,0)&lt;3,0.75,IF(ROUNDDOWN((Q$35-$B45)/Reference!$D$26,0)&lt;4,0.875,0.9375)))))+HLOOKUP($B45,$C$35:$Q$36,2,FALSE)*Reference!$C$27*(1-IF(ROUNDDOWN((Q$35-$B45)/Reference!$D$27,0)&lt;1,0,IF(ROUNDDOWN((Q$35-$B45)/Reference!$D$27,0)&lt;2,0.5,IF(ROUNDDOWN((Q$35-$B45)/Reference!$D$27,0)&lt;3,0.75,IF(ROUNDDOWN((Q$35-$B45)/Reference!$D$27,0)&lt;4,0.875,0.9375)))))+HLOOKUP($B45,$C$35:$Q$36,2,FALSE)*Reference!$C$28*(1-IF(ROUNDDOWN((Q$35-$B45)/Reference!$D$28,0)&lt;1,0,IF(ROUNDDOWN((Q$35-$B45)/Reference!$D$28,0)&lt;2,0.5,IF(ROUNDDOWN((Q$35-$B45)/Reference!$D$28,0)&lt;3,0.75,IF(ROUNDDOWN((Q$35-$B45)/Reference!$D$28,0)&lt;4,0.875,0.9375)))))</f>
        <v>3.9736124841882998</v>
      </c>
      <c r="R45" s="50"/>
    </row>
    <row r="46" spans="2:18" x14ac:dyDescent="0.3">
      <c r="B46" s="237">
        <f t="shared" si="5"/>
        <v>2022</v>
      </c>
      <c r="C46" s="135"/>
      <c r="D46" s="135"/>
      <c r="E46" s="135"/>
      <c r="F46" s="135"/>
      <c r="G46" s="135"/>
      <c r="H46" s="135"/>
      <c r="I46" s="135"/>
      <c r="J46" s="135">
        <f>HLOOKUP($B46,$C$35:$Q$36,2,FALSE)*Reference!$C$23*(1-IF(ROUNDDOWN((J$35-$B46)/Reference!$D$23,0)&lt;1,0,IF(ROUNDDOWN((J$35-$B46)/Reference!$D$23,0)&lt;2,0.5,IF(ROUNDDOWN((J$35-$B46)/Reference!$D$23,0)&lt;3,0.75,IF(ROUNDDOWN((J$35-$B46)/Reference!$D$23,0)&lt;4,0.875,0.9375)))))+HLOOKUP($B46,$C$35:$Q$36,2,FALSE)*Reference!$C$24*(1-IF(ROUNDDOWN((J$35-$B46)/Reference!$D$24,0)&lt;1,0,IF(ROUNDDOWN((J$35-$B46)/Reference!$D$24,0)&lt;2,0.5,IF(ROUNDDOWN((J$35-$B46)/Reference!$D$24,0)&lt;3,0.75,IF(ROUNDDOWN((J$35-$B46)/Reference!$D$24,0)&lt;4,0.875,0.9375)))))+HLOOKUP($B46,$C$35:$Q$36,2,FALSE)*Reference!$C$25*(1-IF(ROUNDDOWN((J$35-$B46)/Reference!$D$25,0)&lt;1,0,IF(ROUNDDOWN((J$35-$B46)/Reference!$D$25,0)&lt;2,0.5,IF(ROUNDDOWN((J$35-$B46)/Reference!$D$25,0)&lt;3,0.75,IF(ROUNDDOWN((J$35-$B46)/Reference!$D$25,0)&lt;4,0.875,0.9375)))))+HLOOKUP($B46,$C$35:$Q$36,2,FALSE)*Reference!$C$26*(1-IF(ROUNDDOWN((J$35-$B46)/Reference!$D$26,0)&lt;1,0,IF(ROUNDDOWN((J$35-$B46)/Reference!$D$26,0)&lt;2,0.5,IF(ROUNDDOWN((J$35-$B46)/Reference!$D$26,0)&lt;3,0.75,IF(ROUNDDOWN((J$35-$B46)/Reference!$D$26,0)&lt;4,0.875,0.9375)))))+HLOOKUP($B46,$C$35:$Q$36,2,FALSE)*Reference!$C$27*(1-IF(ROUNDDOWN((J$35-$B46)/Reference!$D$27,0)&lt;1,0,IF(ROUNDDOWN((J$35-$B46)/Reference!$D$27,0)&lt;2,0.5,IF(ROUNDDOWN((J$35-$B46)/Reference!$D$27,0)&lt;3,0.75,IF(ROUNDDOWN((J$35-$B46)/Reference!$D$27,0)&lt;4,0.875,0.9375)))))+HLOOKUP($B46,$C$35:$Q$36,2,FALSE)*Reference!$C$28*(1-IF(ROUNDDOWN((J$35-$B46)/Reference!$D$28,0)&lt;1,0,IF(ROUNDDOWN((J$35-$B46)/Reference!$D$28,0)&lt;2,0.5,IF(ROUNDDOWN((J$35-$B46)/Reference!$D$28,0)&lt;3,0.75,IF(ROUNDDOWN((J$35-$B46)/Reference!$D$28,0)&lt;4,0.875,0.9375)))))</f>
        <v>4.4373115401321046</v>
      </c>
      <c r="K46" s="135">
        <f>HLOOKUP($B46,$C$35:$Q$36,2,FALSE)*Reference!$C$23*(1-IF(ROUNDDOWN((K$35-$B46)/Reference!$D$23,0)&lt;1,0,IF(ROUNDDOWN((K$35-$B46)/Reference!$D$23,0)&lt;2,0.5,IF(ROUNDDOWN((K$35-$B46)/Reference!$D$23,0)&lt;3,0.75,IF(ROUNDDOWN((K$35-$B46)/Reference!$D$23,0)&lt;4,0.875,0.9375)))))+HLOOKUP($B46,$C$35:$Q$36,2,FALSE)*Reference!$C$24*(1-IF(ROUNDDOWN((K$35-$B46)/Reference!$D$24,0)&lt;1,0,IF(ROUNDDOWN((K$35-$B46)/Reference!$D$24,0)&lt;2,0.5,IF(ROUNDDOWN((K$35-$B46)/Reference!$D$24,0)&lt;3,0.75,IF(ROUNDDOWN((K$35-$B46)/Reference!$D$24,0)&lt;4,0.875,0.9375)))))+HLOOKUP($B46,$C$35:$Q$36,2,FALSE)*Reference!$C$25*(1-IF(ROUNDDOWN((K$35-$B46)/Reference!$D$25,0)&lt;1,0,IF(ROUNDDOWN((K$35-$B46)/Reference!$D$25,0)&lt;2,0.5,IF(ROUNDDOWN((K$35-$B46)/Reference!$D$25,0)&lt;3,0.75,IF(ROUNDDOWN((K$35-$B46)/Reference!$D$25,0)&lt;4,0.875,0.9375)))))+HLOOKUP($B46,$C$35:$Q$36,2,FALSE)*Reference!$C$26*(1-IF(ROUNDDOWN((K$35-$B46)/Reference!$D$26,0)&lt;1,0,IF(ROUNDDOWN((K$35-$B46)/Reference!$D$26,0)&lt;2,0.5,IF(ROUNDDOWN((K$35-$B46)/Reference!$D$26,0)&lt;3,0.75,IF(ROUNDDOWN((K$35-$B46)/Reference!$D$26,0)&lt;4,0.875,0.9375)))))+HLOOKUP($B46,$C$35:$Q$36,2,FALSE)*Reference!$C$27*(1-IF(ROUNDDOWN((K$35-$B46)/Reference!$D$27,0)&lt;1,0,IF(ROUNDDOWN((K$35-$B46)/Reference!$D$27,0)&lt;2,0.5,IF(ROUNDDOWN((K$35-$B46)/Reference!$D$27,0)&lt;3,0.75,IF(ROUNDDOWN((K$35-$B46)/Reference!$D$27,0)&lt;4,0.875,0.9375)))))+HLOOKUP($B46,$C$35:$Q$36,2,FALSE)*Reference!$C$28*(1-IF(ROUNDDOWN((K$35-$B46)/Reference!$D$28,0)&lt;1,0,IF(ROUNDDOWN((K$35-$B46)/Reference!$D$28,0)&lt;2,0.5,IF(ROUNDDOWN((K$35-$B46)/Reference!$D$28,0)&lt;3,0.75,IF(ROUNDDOWN((K$35-$B46)/Reference!$D$28,0)&lt;4,0.875,0.9375)))))</f>
        <v>4.4373115401321046</v>
      </c>
      <c r="L46" s="135">
        <f>HLOOKUP($B46,$C$35:$Q$36,2,FALSE)*Reference!$C$23*(1-IF(ROUNDDOWN((L$35-$B46)/Reference!$D$23,0)&lt;1,0,IF(ROUNDDOWN((L$35-$B46)/Reference!$D$23,0)&lt;2,0.5,IF(ROUNDDOWN((L$35-$B46)/Reference!$D$23,0)&lt;3,0.75,IF(ROUNDDOWN((L$35-$B46)/Reference!$D$23,0)&lt;4,0.875,0.9375)))))+HLOOKUP($B46,$C$35:$Q$36,2,FALSE)*Reference!$C$24*(1-IF(ROUNDDOWN((L$35-$B46)/Reference!$D$24,0)&lt;1,0,IF(ROUNDDOWN((L$35-$B46)/Reference!$D$24,0)&lt;2,0.5,IF(ROUNDDOWN((L$35-$B46)/Reference!$D$24,0)&lt;3,0.75,IF(ROUNDDOWN((L$35-$B46)/Reference!$D$24,0)&lt;4,0.875,0.9375)))))+HLOOKUP($B46,$C$35:$Q$36,2,FALSE)*Reference!$C$25*(1-IF(ROUNDDOWN((L$35-$B46)/Reference!$D$25,0)&lt;1,0,IF(ROUNDDOWN((L$35-$B46)/Reference!$D$25,0)&lt;2,0.5,IF(ROUNDDOWN((L$35-$B46)/Reference!$D$25,0)&lt;3,0.75,IF(ROUNDDOWN((L$35-$B46)/Reference!$D$25,0)&lt;4,0.875,0.9375)))))+HLOOKUP($B46,$C$35:$Q$36,2,FALSE)*Reference!$C$26*(1-IF(ROUNDDOWN((L$35-$B46)/Reference!$D$26,0)&lt;1,0,IF(ROUNDDOWN((L$35-$B46)/Reference!$D$26,0)&lt;2,0.5,IF(ROUNDDOWN((L$35-$B46)/Reference!$D$26,0)&lt;3,0.75,IF(ROUNDDOWN((L$35-$B46)/Reference!$D$26,0)&lt;4,0.875,0.9375)))))+HLOOKUP($B46,$C$35:$Q$36,2,FALSE)*Reference!$C$27*(1-IF(ROUNDDOWN((L$35-$B46)/Reference!$D$27,0)&lt;1,0,IF(ROUNDDOWN((L$35-$B46)/Reference!$D$27,0)&lt;2,0.5,IF(ROUNDDOWN((L$35-$B46)/Reference!$D$27,0)&lt;3,0.75,IF(ROUNDDOWN((L$35-$B46)/Reference!$D$27,0)&lt;4,0.875,0.9375)))))+HLOOKUP($B46,$C$35:$Q$36,2,FALSE)*Reference!$C$28*(1-IF(ROUNDDOWN((L$35-$B46)/Reference!$D$28,0)&lt;1,0,IF(ROUNDDOWN((L$35-$B46)/Reference!$D$28,0)&lt;2,0.5,IF(ROUNDDOWN((L$35-$B46)/Reference!$D$28,0)&lt;3,0.75,IF(ROUNDDOWN((L$35-$B46)/Reference!$D$28,0)&lt;4,0.875,0.9375)))))</f>
        <v>4.4373115401321046</v>
      </c>
      <c r="M46" s="135">
        <f>HLOOKUP($B46,$C$35:$Q$36,2,FALSE)*Reference!$C$23*(1-IF(ROUNDDOWN((M$35-$B46)/Reference!$D$23,0)&lt;1,0,IF(ROUNDDOWN((M$35-$B46)/Reference!$D$23,0)&lt;2,0.5,IF(ROUNDDOWN((M$35-$B46)/Reference!$D$23,0)&lt;3,0.75,IF(ROUNDDOWN((M$35-$B46)/Reference!$D$23,0)&lt;4,0.875,0.9375)))))+HLOOKUP($B46,$C$35:$Q$36,2,FALSE)*Reference!$C$24*(1-IF(ROUNDDOWN((M$35-$B46)/Reference!$D$24,0)&lt;1,0,IF(ROUNDDOWN((M$35-$B46)/Reference!$D$24,0)&lt;2,0.5,IF(ROUNDDOWN((M$35-$B46)/Reference!$D$24,0)&lt;3,0.75,IF(ROUNDDOWN((M$35-$B46)/Reference!$D$24,0)&lt;4,0.875,0.9375)))))+HLOOKUP($B46,$C$35:$Q$36,2,FALSE)*Reference!$C$25*(1-IF(ROUNDDOWN((M$35-$B46)/Reference!$D$25,0)&lt;1,0,IF(ROUNDDOWN((M$35-$B46)/Reference!$D$25,0)&lt;2,0.5,IF(ROUNDDOWN((M$35-$B46)/Reference!$D$25,0)&lt;3,0.75,IF(ROUNDDOWN((M$35-$B46)/Reference!$D$25,0)&lt;4,0.875,0.9375)))))+HLOOKUP($B46,$C$35:$Q$36,2,FALSE)*Reference!$C$26*(1-IF(ROUNDDOWN((M$35-$B46)/Reference!$D$26,0)&lt;1,0,IF(ROUNDDOWN((M$35-$B46)/Reference!$D$26,0)&lt;2,0.5,IF(ROUNDDOWN((M$35-$B46)/Reference!$D$26,0)&lt;3,0.75,IF(ROUNDDOWN((M$35-$B46)/Reference!$D$26,0)&lt;4,0.875,0.9375)))))+HLOOKUP($B46,$C$35:$Q$36,2,FALSE)*Reference!$C$27*(1-IF(ROUNDDOWN((M$35-$B46)/Reference!$D$27,0)&lt;1,0,IF(ROUNDDOWN((M$35-$B46)/Reference!$D$27,0)&lt;2,0.5,IF(ROUNDDOWN((M$35-$B46)/Reference!$D$27,0)&lt;3,0.75,IF(ROUNDDOWN((M$35-$B46)/Reference!$D$27,0)&lt;4,0.875,0.9375)))))+HLOOKUP($B46,$C$35:$Q$36,2,FALSE)*Reference!$C$28*(1-IF(ROUNDDOWN((M$35-$B46)/Reference!$D$28,0)&lt;1,0,IF(ROUNDDOWN((M$35-$B46)/Reference!$D$28,0)&lt;2,0.5,IF(ROUNDDOWN((M$35-$B46)/Reference!$D$28,0)&lt;3,0.75,IF(ROUNDDOWN((M$35-$B46)/Reference!$D$28,0)&lt;4,0.875,0.9375)))))</f>
        <v>4.2465071439064239</v>
      </c>
      <c r="N46" s="135">
        <f>HLOOKUP($B46,$C$35:$Q$36,2,FALSE)*Reference!$C$23*(1-IF(ROUNDDOWN((N$35-$B46)/Reference!$D$23,0)&lt;1,0,IF(ROUNDDOWN((N$35-$B46)/Reference!$D$23,0)&lt;2,0.5,IF(ROUNDDOWN((N$35-$B46)/Reference!$D$23,0)&lt;3,0.75,IF(ROUNDDOWN((N$35-$B46)/Reference!$D$23,0)&lt;4,0.875,0.9375)))))+HLOOKUP($B46,$C$35:$Q$36,2,FALSE)*Reference!$C$24*(1-IF(ROUNDDOWN((N$35-$B46)/Reference!$D$24,0)&lt;1,0,IF(ROUNDDOWN((N$35-$B46)/Reference!$D$24,0)&lt;2,0.5,IF(ROUNDDOWN((N$35-$B46)/Reference!$D$24,0)&lt;3,0.75,IF(ROUNDDOWN((N$35-$B46)/Reference!$D$24,0)&lt;4,0.875,0.9375)))))+HLOOKUP($B46,$C$35:$Q$36,2,FALSE)*Reference!$C$25*(1-IF(ROUNDDOWN((N$35-$B46)/Reference!$D$25,0)&lt;1,0,IF(ROUNDDOWN((N$35-$B46)/Reference!$D$25,0)&lt;2,0.5,IF(ROUNDDOWN((N$35-$B46)/Reference!$D$25,0)&lt;3,0.75,IF(ROUNDDOWN((N$35-$B46)/Reference!$D$25,0)&lt;4,0.875,0.9375)))))+HLOOKUP($B46,$C$35:$Q$36,2,FALSE)*Reference!$C$26*(1-IF(ROUNDDOWN((N$35-$B46)/Reference!$D$26,0)&lt;1,0,IF(ROUNDDOWN((N$35-$B46)/Reference!$D$26,0)&lt;2,0.5,IF(ROUNDDOWN((N$35-$B46)/Reference!$D$26,0)&lt;3,0.75,IF(ROUNDDOWN((N$35-$B46)/Reference!$D$26,0)&lt;4,0.875,0.9375)))))+HLOOKUP($B46,$C$35:$Q$36,2,FALSE)*Reference!$C$27*(1-IF(ROUNDDOWN((N$35-$B46)/Reference!$D$27,0)&lt;1,0,IF(ROUNDDOWN((N$35-$B46)/Reference!$D$27,0)&lt;2,0.5,IF(ROUNDDOWN((N$35-$B46)/Reference!$D$27,0)&lt;3,0.75,IF(ROUNDDOWN((N$35-$B46)/Reference!$D$27,0)&lt;4,0.875,0.9375)))))+HLOOKUP($B46,$C$35:$Q$36,2,FALSE)*Reference!$C$28*(1-IF(ROUNDDOWN((N$35-$B46)/Reference!$D$28,0)&lt;1,0,IF(ROUNDDOWN((N$35-$B46)/Reference!$D$28,0)&lt;2,0.5,IF(ROUNDDOWN((N$35-$B46)/Reference!$D$28,0)&lt;3,0.75,IF(ROUNDDOWN((N$35-$B46)/Reference!$D$28,0)&lt;4,0.875,0.9375)))))</f>
        <v>4.2465071439064239</v>
      </c>
      <c r="O46" s="135">
        <f>HLOOKUP($B46,$C$35:$Q$36,2,FALSE)*Reference!$C$23*(1-IF(ROUNDDOWN((O$35-$B46)/Reference!$D$23,0)&lt;1,0,IF(ROUNDDOWN((O$35-$B46)/Reference!$D$23,0)&lt;2,0.5,IF(ROUNDDOWN((O$35-$B46)/Reference!$D$23,0)&lt;3,0.75,IF(ROUNDDOWN((O$35-$B46)/Reference!$D$23,0)&lt;4,0.875,0.9375)))))+HLOOKUP($B46,$C$35:$Q$36,2,FALSE)*Reference!$C$24*(1-IF(ROUNDDOWN((O$35-$B46)/Reference!$D$24,0)&lt;1,0,IF(ROUNDDOWN((O$35-$B46)/Reference!$D$24,0)&lt;2,0.5,IF(ROUNDDOWN((O$35-$B46)/Reference!$D$24,0)&lt;3,0.75,IF(ROUNDDOWN((O$35-$B46)/Reference!$D$24,0)&lt;4,0.875,0.9375)))))+HLOOKUP($B46,$C$35:$Q$36,2,FALSE)*Reference!$C$25*(1-IF(ROUNDDOWN((O$35-$B46)/Reference!$D$25,0)&lt;1,0,IF(ROUNDDOWN((O$35-$B46)/Reference!$D$25,0)&lt;2,0.5,IF(ROUNDDOWN((O$35-$B46)/Reference!$D$25,0)&lt;3,0.75,IF(ROUNDDOWN((O$35-$B46)/Reference!$D$25,0)&lt;4,0.875,0.9375)))))+HLOOKUP($B46,$C$35:$Q$36,2,FALSE)*Reference!$C$26*(1-IF(ROUNDDOWN((O$35-$B46)/Reference!$D$26,0)&lt;1,0,IF(ROUNDDOWN((O$35-$B46)/Reference!$D$26,0)&lt;2,0.5,IF(ROUNDDOWN((O$35-$B46)/Reference!$D$26,0)&lt;3,0.75,IF(ROUNDDOWN((O$35-$B46)/Reference!$D$26,0)&lt;4,0.875,0.9375)))))+HLOOKUP($B46,$C$35:$Q$36,2,FALSE)*Reference!$C$27*(1-IF(ROUNDDOWN((O$35-$B46)/Reference!$D$27,0)&lt;1,0,IF(ROUNDDOWN((O$35-$B46)/Reference!$D$27,0)&lt;2,0.5,IF(ROUNDDOWN((O$35-$B46)/Reference!$D$27,0)&lt;3,0.75,IF(ROUNDDOWN((O$35-$B46)/Reference!$D$27,0)&lt;4,0.875,0.9375)))))+HLOOKUP($B46,$C$35:$Q$36,2,FALSE)*Reference!$C$28*(1-IF(ROUNDDOWN((O$35-$B46)/Reference!$D$28,0)&lt;1,0,IF(ROUNDDOWN((O$35-$B46)/Reference!$D$28,0)&lt;2,0.5,IF(ROUNDDOWN((O$35-$B46)/Reference!$D$28,0)&lt;3,0.75,IF(ROUNDDOWN((O$35-$B46)/Reference!$D$28,0)&lt;4,0.875,0.9375)))))</f>
        <v>4.2465071439064239</v>
      </c>
      <c r="P46" s="135">
        <f>HLOOKUP($B46,$C$35:$Q$36,2,FALSE)*Reference!$C$23*(1-IF(ROUNDDOWN((P$35-$B46)/Reference!$D$23,0)&lt;1,0,IF(ROUNDDOWN((P$35-$B46)/Reference!$D$23,0)&lt;2,0.5,IF(ROUNDDOWN((P$35-$B46)/Reference!$D$23,0)&lt;3,0.75,IF(ROUNDDOWN((P$35-$B46)/Reference!$D$23,0)&lt;4,0.875,0.9375)))))+HLOOKUP($B46,$C$35:$Q$36,2,FALSE)*Reference!$C$24*(1-IF(ROUNDDOWN((P$35-$B46)/Reference!$D$24,0)&lt;1,0,IF(ROUNDDOWN((P$35-$B46)/Reference!$D$24,0)&lt;2,0.5,IF(ROUNDDOWN((P$35-$B46)/Reference!$D$24,0)&lt;3,0.75,IF(ROUNDDOWN((P$35-$B46)/Reference!$D$24,0)&lt;4,0.875,0.9375)))))+HLOOKUP($B46,$C$35:$Q$36,2,FALSE)*Reference!$C$25*(1-IF(ROUNDDOWN((P$35-$B46)/Reference!$D$25,0)&lt;1,0,IF(ROUNDDOWN((P$35-$B46)/Reference!$D$25,0)&lt;2,0.5,IF(ROUNDDOWN((P$35-$B46)/Reference!$D$25,0)&lt;3,0.75,IF(ROUNDDOWN((P$35-$B46)/Reference!$D$25,0)&lt;4,0.875,0.9375)))))+HLOOKUP($B46,$C$35:$Q$36,2,FALSE)*Reference!$C$26*(1-IF(ROUNDDOWN((P$35-$B46)/Reference!$D$26,0)&lt;1,0,IF(ROUNDDOWN((P$35-$B46)/Reference!$D$26,0)&lt;2,0.5,IF(ROUNDDOWN((P$35-$B46)/Reference!$D$26,0)&lt;3,0.75,IF(ROUNDDOWN((P$35-$B46)/Reference!$D$26,0)&lt;4,0.875,0.9375)))))+HLOOKUP($B46,$C$35:$Q$36,2,FALSE)*Reference!$C$27*(1-IF(ROUNDDOWN((P$35-$B46)/Reference!$D$27,0)&lt;1,0,IF(ROUNDDOWN((P$35-$B46)/Reference!$D$27,0)&lt;2,0.5,IF(ROUNDDOWN((P$35-$B46)/Reference!$D$27,0)&lt;3,0.75,IF(ROUNDDOWN((P$35-$B46)/Reference!$D$27,0)&lt;4,0.875,0.9375)))))+HLOOKUP($B46,$C$35:$Q$36,2,FALSE)*Reference!$C$28*(1-IF(ROUNDDOWN((P$35-$B46)/Reference!$D$28,0)&lt;1,0,IF(ROUNDDOWN((P$35-$B46)/Reference!$D$28,0)&lt;2,0.5,IF(ROUNDDOWN((P$35-$B46)/Reference!$D$28,0)&lt;3,0.75,IF(ROUNDDOWN((P$35-$B46)/Reference!$D$28,0)&lt;4,0.875,0.9375)))))</f>
        <v>4.151104945793584</v>
      </c>
      <c r="Q46" s="135">
        <f>HLOOKUP($B46,$C$35:$Q$36,2,FALSE)*Reference!$C$23*(1-IF(ROUNDDOWN((Q$35-$B46)/Reference!$D$23,0)&lt;1,0,IF(ROUNDDOWN((Q$35-$B46)/Reference!$D$23,0)&lt;2,0.5,IF(ROUNDDOWN((Q$35-$B46)/Reference!$D$23,0)&lt;3,0.75,IF(ROUNDDOWN((Q$35-$B46)/Reference!$D$23,0)&lt;4,0.875,0.9375)))))+HLOOKUP($B46,$C$35:$Q$36,2,FALSE)*Reference!$C$24*(1-IF(ROUNDDOWN((Q$35-$B46)/Reference!$D$24,0)&lt;1,0,IF(ROUNDDOWN((Q$35-$B46)/Reference!$D$24,0)&lt;2,0.5,IF(ROUNDDOWN((Q$35-$B46)/Reference!$D$24,0)&lt;3,0.75,IF(ROUNDDOWN((Q$35-$B46)/Reference!$D$24,0)&lt;4,0.875,0.9375)))))+HLOOKUP($B46,$C$35:$Q$36,2,FALSE)*Reference!$C$25*(1-IF(ROUNDDOWN((Q$35-$B46)/Reference!$D$25,0)&lt;1,0,IF(ROUNDDOWN((Q$35-$B46)/Reference!$D$25,0)&lt;2,0.5,IF(ROUNDDOWN((Q$35-$B46)/Reference!$D$25,0)&lt;3,0.75,IF(ROUNDDOWN((Q$35-$B46)/Reference!$D$25,0)&lt;4,0.875,0.9375)))))+HLOOKUP($B46,$C$35:$Q$36,2,FALSE)*Reference!$C$26*(1-IF(ROUNDDOWN((Q$35-$B46)/Reference!$D$26,0)&lt;1,0,IF(ROUNDDOWN((Q$35-$B46)/Reference!$D$26,0)&lt;2,0.5,IF(ROUNDDOWN((Q$35-$B46)/Reference!$D$26,0)&lt;3,0.75,IF(ROUNDDOWN((Q$35-$B46)/Reference!$D$26,0)&lt;4,0.875,0.9375)))))+HLOOKUP($B46,$C$35:$Q$36,2,FALSE)*Reference!$C$27*(1-IF(ROUNDDOWN((Q$35-$B46)/Reference!$D$27,0)&lt;1,0,IF(ROUNDDOWN((Q$35-$B46)/Reference!$D$27,0)&lt;2,0.5,IF(ROUNDDOWN((Q$35-$B46)/Reference!$D$27,0)&lt;3,0.75,IF(ROUNDDOWN((Q$35-$B46)/Reference!$D$27,0)&lt;4,0.875,0.9375)))))+HLOOKUP($B46,$C$35:$Q$36,2,FALSE)*Reference!$C$28*(1-IF(ROUNDDOWN((Q$35-$B46)/Reference!$D$28,0)&lt;1,0,IF(ROUNDDOWN((Q$35-$B46)/Reference!$D$28,0)&lt;2,0.5,IF(ROUNDDOWN((Q$35-$B46)/Reference!$D$28,0)&lt;3,0.75,IF(ROUNDDOWN((Q$35-$B46)/Reference!$D$28,0)&lt;4,0.875,0.9375)))))</f>
        <v>4.151104945793584</v>
      </c>
      <c r="R46" s="50"/>
    </row>
    <row r="47" spans="2:18" x14ac:dyDescent="0.3">
      <c r="B47" s="237">
        <f t="shared" si="5"/>
        <v>2023</v>
      </c>
      <c r="C47" s="135"/>
      <c r="D47" s="135"/>
      <c r="E47" s="135"/>
      <c r="F47" s="135"/>
      <c r="G47" s="135"/>
      <c r="H47" s="135"/>
      <c r="I47" s="135"/>
      <c r="J47" s="135"/>
      <c r="K47" s="135">
        <f>HLOOKUP($B47,$C$35:$Q$36,2,FALSE)*Reference!$C$23*(1-IF(ROUNDDOWN((K$35-$B47)/Reference!$D$23,0)&lt;1,0,IF(ROUNDDOWN((K$35-$B47)/Reference!$D$23,0)&lt;2,0.5,IF(ROUNDDOWN((K$35-$B47)/Reference!$D$23,0)&lt;3,0.75,IF(ROUNDDOWN((K$35-$B47)/Reference!$D$23,0)&lt;4,0.875,0.9375)))))+HLOOKUP($B47,$C$35:$Q$36,2,FALSE)*Reference!$C$24*(1-IF(ROUNDDOWN((K$35-$B47)/Reference!$D$24,0)&lt;1,0,IF(ROUNDDOWN((K$35-$B47)/Reference!$D$24,0)&lt;2,0.5,IF(ROUNDDOWN((K$35-$B47)/Reference!$D$24,0)&lt;3,0.75,IF(ROUNDDOWN((K$35-$B47)/Reference!$D$24,0)&lt;4,0.875,0.9375)))))+HLOOKUP($B47,$C$35:$Q$36,2,FALSE)*Reference!$C$25*(1-IF(ROUNDDOWN((K$35-$B47)/Reference!$D$25,0)&lt;1,0,IF(ROUNDDOWN((K$35-$B47)/Reference!$D$25,0)&lt;2,0.5,IF(ROUNDDOWN((K$35-$B47)/Reference!$D$25,0)&lt;3,0.75,IF(ROUNDDOWN((K$35-$B47)/Reference!$D$25,0)&lt;4,0.875,0.9375)))))+HLOOKUP($B47,$C$35:$Q$36,2,FALSE)*Reference!$C$26*(1-IF(ROUNDDOWN((K$35-$B47)/Reference!$D$26,0)&lt;1,0,IF(ROUNDDOWN((K$35-$B47)/Reference!$D$26,0)&lt;2,0.5,IF(ROUNDDOWN((K$35-$B47)/Reference!$D$26,0)&lt;3,0.75,IF(ROUNDDOWN((K$35-$B47)/Reference!$D$26,0)&lt;4,0.875,0.9375)))))+HLOOKUP($B47,$C$35:$Q$36,2,FALSE)*Reference!$C$27*(1-IF(ROUNDDOWN((K$35-$B47)/Reference!$D$27,0)&lt;1,0,IF(ROUNDDOWN((K$35-$B47)/Reference!$D$27,0)&lt;2,0.5,IF(ROUNDDOWN((K$35-$B47)/Reference!$D$27,0)&lt;3,0.75,IF(ROUNDDOWN((K$35-$B47)/Reference!$D$27,0)&lt;4,0.875,0.9375)))))+HLOOKUP($B47,$C$35:$Q$36,2,FALSE)*Reference!$C$28*(1-IF(ROUNDDOWN((K$35-$B47)/Reference!$D$28,0)&lt;1,0,IF(ROUNDDOWN((K$35-$B47)/Reference!$D$28,0)&lt;2,0.5,IF(ROUNDDOWN((K$35-$B47)/Reference!$D$28,0)&lt;3,0.75,IF(ROUNDDOWN((K$35-$B47)/Reference!$D$28,0)&lt;4,0.875,0.9375)))))</f>
        <v>4.4373115401321046</v>
      </c>
      <c r="L47" s="135">
        <f>HLOOKUP($B47,$C$35:$Q$36,2,FALSE)*Reference!$C$23*(1-IF(ROUNDDOWN((L$35-$B47)/Reference!$D$23,0)&lt;1,0,IF(ROUNDDOWN((L$35-$B47)/Reference!$D$23,0)&lt;2,0.5,IF(ROUNDDOWN((L$35-$B47)/Reference!$D$23,0)&lt;3,0.75,IF(ROUNDDOWN((L$35-$B47)/Reference!$D$23,0)&lt;4,0.875,0.9375)))))+HLOOKUP($B47,$C$35:$Q$36,2,FALSE)*Reference!$C$24*(1-IF(ROUNDDOWN((L$35-$B47)/Reference!$D$24,0)&lt;1,0,IF(ROUNDDOWN((L$35-$B47)/Reference!$D$24,0)&lt;2,0.5,IF(ROUNDDOWN((L$35-$B47)/Reference!$D$24,0)&lt;3,0.75,IF(ROUNDDOWN((L$35-$B47)/Reference!$D$24,0)&lt;4,0.875,0.9375)))))+HLOOKUP($B47,$C$35:$Q$36,2,FALSE)*Reference!$C$25*(1-IF(ROUNDDOWN((L$35-$B47)/Reference!$D$25,0)&lt;1,0,IF(ROUNDDOWN((L$35-$B47)/Reference!$D$25,0)&lt;2,0.5,IF(ROUNDDOWN((L$35-$B47)/Reference!$D$25,0)&lt;3,0.75,IF(ROUNDDOWN((L$35-$B47)/Reference!$D$25,0)&lt;4,0.875,0.9375)))))+HLOOKUP($B47,$C$35:$Q$36,2,FALSE)*Reference!$C$26*(1-IF(ROUNDDOWN((L$35-$B47)/Reference!$D$26,0)&lt;1,0,IF(ROUNDDOWN((L$35-$B47)/Reference!$D$26,0)&lt;2,0.5,IF(ROUNDDOWN((L$35-$B47)/Reference!$D$26,0)&lt;3,0.75,IF(ROUNDDOWN((L$35-$B47)/Reference!$D$26,0)&lt;4,0.875,0.9375)))))+HLOOKUP($B47,$C$35:$Q$36,2,FALSE)*Reference!$C$27*(1-IF(ROUNDDOWN((L$35-$B47)/Reference!$D$27,0)&lt;1,0,IF(ROUNDDOWN((L$35-$B47)/Reference!$D$27,0)&lt;2,0.5,IF(ROUNDDOWN((L$35-$B47)/Reference!$D$27,0)&lt;3,0.75,IF(ROUNDDOWN((L$35-$B47)/Reference!$D$27,0)&lt;4,0.875,0.9375)))))+HLOOKUP($B47,$C$35:$Q$36,2,FALSE)*Reference!$C$28*(1-IF(ROUNDDOWN((L$35-$B47)/Reference!$D$28,0)&lt;1,0,IF(ROUNDDOWN((L$35-$B47)/Reference!$D$28,0)&lt;2,0.5,IF(ROUNDDOWN((L$35-$B47)/Reference!$D$28,0)&lt;3,0.75,IF(ROUNDDOWN((L$35-$B47)/Reference!$D$28,0)&lt;4,0.875,0.9375)))))</f>
        <v>4.4373115401321046</v>
      </c>
      <c r="M47" s="135">
        <f>HLOOKUP($B47,$C$35:$Q$36,2,FALSE)*Reference!$C$23*(1-IF(ROUNDDOWN((M$35-$B47)/Reference!$D$23,0)&lt;1,0,IF(ROUNDDOWN((M$35-$B47)/Reference!$D$23,0)&lt;2,0.5,IF(ROUNDDOWN((M$35-$B47)/Reference!$D$23,0)&lt;3,0.75,IF(ROUNDDOWN((M$35-$B47)/Reference!$D$23,0)&lt;4,0.875,0.9375)))))+HLOOKUP($B47,$C$35:$Q$36,2,FALSE)*Reference!$C$24*(1-IF(ROUNDDOWN((M$35-$B47)/Reference!$D$24,0)&lt;1,0,IF(ROUNDDOWN((M$35-$B47)/Reference!$D$24,0)&lt;2,0.5,IF(ROUNDDOWN((M$35-$B47)/Reference!$D$24,0)&lt;3,0.75,IF(ROUNDDOWN((M$35-$B47)/Reference!$D$24,0)&lt;4,0.875,0.9375)))))+HLOOKUP($B47,$C$35:$Q$36,2,FALSE)*Reference!$C$25*(1-IF(ROUNDDOWN((M$35-$B47)/Reference!$D$25,0)&lt;1,0,IF(ROUNDDOWN((M$35-$B47)/Reference!$D$25,0)&lt;2,0.5,IF(ROUNDDOWN((M$35-$B47)/Reference!$D$25,0)&lt;3,0.75,IF(ROUNDDOWN((M$35-$B47)/Reference!$D$25,0)&lt;4,0.875,0.9375)))))+HLOOKUP($B47,$C$35:$Q$36,2,FALSE)*Reference!$C$26*(1-IF(ROUNDDOWN((M$35-$B47)/Reference!$D$26,0)&lt;1,0,IF(ROUNDDOWN((M$35-$B47)/Reference!$D$26,0)&lt;2,0.5,IF(ROUNDDOWN((M$35-$B47)/Reference!$D$26,0)&lt;3,0.75,IF(ROUNDDOWN((M$35-$B47)/Reference!$D$26,0)&lt;4,0.875,0.9375)))))+HLOOKUP($B47,$C$35:$Q$36,2,FALSE)*Reference!$C$27*(1-IF(ROUNDDOWN((M$35-$B47)/Reference!$D$27,0)&lt;1,0,IF(ROUNDDOWN((M$35-$B47)/Reference!$D$27,0)&lt;2,0.5,IF(ROUNDDOWN((M$35-$B47)/Reference!$D$27,0)&lt;3,0.75,IF(ROUNDDOWN((M$35-$B47)/Reference!$D$27,0)&lt;4,0.875,0.9375)))))+HLOOKUP($B47,$C$35:$Q$36,2,FALSE)*Reference!$C$28*(1-IF(ROUNDDOWN((M$35-$B47)/Reference!$D$28,0)&lt;1,0,IF(ROUNDDOWN((M$35-$B47)/Reference!$D$28,0)&lt;2,0.5,IF(ROUNDDOWN((M$35-$B47)/Reference!$D$28,0)&lt;3,0.75,IF(ROUNDDOWN((M$35-$B47)/Reference!$D$28,0)&lt;4,0.875,0.9375)))))</f>
        <v>4.4373115401321046</v>
      </c>
      <c r="N47" s="135">
        <f>HLOOKUP($B47,$C$35:$Q$36,2,FALSE)*Reference!$C$23*(1-IF(ROUNDDOWN((N$35-$B47)/Reference!$D$23,0)&lt;1,0,IF(ROUNDDOWN((N$35-$B47)/Reference!$D$23,0)&lt;2,0.5,IF(ROUNDDOWN((N$35-$B47)/Reference!$D$23,0)&lt;3,0.75,IF(ROUNDDOWN((N$35-$B47)/Reference!$D$23,0)&lt;4,0.875,0.9375)))))+HLOOKUP($B47,$C$35:$Q$36,2,FALSE)*Reference!$C$24*(1-IF(ROUNDDOWN((N$35-$B47)/Reference!$D$24,0)&lt;1,0,IF(ROUNDDOWN((N$35-$B47)/Reference!$D$24,0)&lt;2,0.5,IF(ROUNDDOWN((N$35-$B47)/Reference!$D$24,0)&lt;3,0.75,IF(ROUNDDOWN((N$35-$B47)/Reference!$D$24,0)&lt;4,0.875,0.9375)))))+HLOOKUP($B47,$C$35:$Q$36,2,FALSE)*Reference!$C$25*(1-IF(ROUNDDOWN((N$35-$B47)/Reference!$D$25,0)&lt;1,0,IF(ROUNDDOWN((N$35-$B47)/Reference!$D$25,0)&lt;2,0.5,IF(ROUNDDOWN((N$35-$B47)/Reference!$D$25,0)&lt;3,0.75,IF(ROUNDDOWN((N$35-$B47)/Reference!$D$25,0)&lt;4,0.875,0.9375)))))+HLOOKUP($B47,$C$35:$Q$36,2,FALSE)*Reference!$C$26*(1-IF(ROUNDDOWN((N$35-$B47)/Reference!$D$26,0)&lt;1,0,IF(ROUNDDOWN((N$35-$B47)/Reference!$D$26,0)&lt;2,0.5,IF(ROUNDDOWN((N$35-$B47)/Reference!$D$26,0)&lt;3,0.75,IF(ROUNDDOWN((N$35-$B47)/Reference!$D$26,0)&lt;4,0.875,0.9375)))))+HLOOKUP($B47,$C$35:$Q$36,2,FALSE)*Reference!$C$27*(1-IF(ROUNDDOWN((N$35-$B47)/Reference!$D$27,0)&lt;1,0,IF(ROUNDDOWN((N$35-$B47)/Reference!$D$27,0)&lt;2,0.5,IF(ROUNDDOWN((N$35-$B47)/Reference!$D$27,0)&lt;3,0.75,IF(ROUNDDOWN((N$35-$B47)/Reference!$D$27,0)&lt;4,0.875,0.9375)))))+HLOOKUP($B47,$C$35:$Q$36,2,FALSE)*Reference!$C$28*(1-IF(ROUNDDOWN((N$35-$B47)/Reference!$D$28,0)&lt;1,0,IF(ROUNDDOWN((N$35-$B47)/Reference!$D$28,0)&lt;2,0.5,IF(ROUNDDOWN((N$35-$B47)/Reference!$D$28,0)&lt;3,0.75,IF(ROUNDDOWN((N$35-$B47)/Reference!$D$28,0)&lt;4,0.875,0.9375)))))</f>
        <v>4.2465071439064239</v>
      </c>
      <c r="O47" s="135">
        <f>HLOOKUP($B47,$C$35:$Q$36,2,FALSE)*Reference!$C$23*(1-IF(ROUNDDOWN((O$35-$B47)/Reference!$D$23,0)&lt;1,0,IF(ROUNDDOWN((O$35-$B47)/Reference!$D$23,0)&lt;2,0.5,IF(ROUNDDOWN((O$35-$B47)/Reference!$D$23,0)&lt;3,0.75,IF(ROUNDDOWN((O$35-$B47)/Reference!$D$23,0)&lt;4,0.875,0.9375)))))+HLOOKUP($B47,$C$35:$Q$36,2,FALSE)*Reference!$C$24*(1-IF(ROUNDDOWN((O$35-$B47)/Reference!$D$24,0)&lt;1,0,IF(ROUNDDOWN((O$35-$B47)/Reference!$D$24,0)&lt;2,0.5,IF(ROUNDDOWN((O$35-$B47)/Reference!$D$24,0)&lt;3,0.75,IF(ROUNDDOWN((O$35-$B47)/Reference!$D$24,0)&lt;4,0.875,0.9375)))))+HLOOKUP($B47,$C$35:$Q$36,2,FALSE)*Reference!$C$25*(1-IF(ROUNDDOWN((O$35-$B47)/Reference!$D$25,0)&lt;1,0,IF(ROUNDDOWN((O$35-$B47)/Reference!$D$25,0)&lt;2,0.5,IF(ROUNDDOWN((O$35-$B47)/Reference!$D$25,0)&lt;3,0.75,IF(ROUNDDOWN((O$35-$B47)/Reference!$D$25,0)&lt;4,0.875,0.9375)))))+HLOOKUP($B47,$C$35:$Q$36,2,FALSE)*Reference!$C$26*(1-IF(ROUNDDOWN((O$35-$B47)/Reference!$D$26,0)&lt;1,0,IF(ROUNDDOWN((O$35-$B47)/Reference!$D$26,0)&lt;2,0.5,IF(ROUNDDOWN((O$35-$B47)/Reference!$D$26,0)&lt;3,0.75,IF(ROUNDDOWN((O$35-$B47)/Reference!$D$26,0)&lt;4,0.875,0.9375)))))+HLOOKUP($B47,$C$35:$Q$36,2,FALSE)*Reference!$C$27*(1-IF(ROUNDDOWN((O$35-$B47)/Reference!$D$27,0)&lt;1,0,IF(ROUNDDOWN((O$35-$B47)/Reference!$D$27,0)&lt;2,0.5,IF(ROUNDDOWN((O$35-$B47)/Reference!$D$27,0)&lt;3,0.75,IF(ROUNDDOWN((O$35-$B47)/Reference!$D$27,0)&lt;4,0.875,0.9375)))))+HLOOKUP($B47,$C$35:$Q$36,2,FALSE)*Reference!$C$28*(1-IF(ROUNDDOWN((O$35-$B47)/Reference!$D$28,0)&lt;1,0,IF(ROUNDDOWN((O$35-$B47)/Reference!$D$28,0)&lt;2,0.5,IF(ROUNDDOWN((O$35-$B47)/Reference!$D$28,0)&lt;3,0.75,IF(ROUNDDOWN((O$35-$B47)/Reference!$D$28,0)&lt;4,0.875,0.9375)))))</f>
        <v>4.2465071439064239</v>
      </c>
      <c r="P47" s="135">
        <f>HLOOKUP($B47,$C$35:$Q$36,2,FALSE)*Reference!$C$23*(1-IF(ROUNDDOWN((P$35-$B47)/Reference!$D$23,0)&lt;1,0,IF(ROUNDDOWN((P$35-$B47)/Reference!$D$23,0)&lt;2,0.5,IF(ROUNDDOWN((P$35-$B47)/Reference!$D$23,0)&lt;3,0.75,IF(ROUNDDOWN((P$35-$B47)/Reference!$D$23,0)&lt;4,0.875,0.9375)))))+HLOOKUP($B47,$C$35:$Q$36,2,FALSE)*Reference!$C$24*(1-IF(ROUNDDOWN((P$35-$B47)/Reference!$D$24,0)&lt;1,0,IF(ROUNDDOWN((P$35-$B47)/Reference!$D$24,0)&lt;2,0.5,IF(ROUNDDOWN((P$35-$B47)/Reference!$D$24,0)&lt;3,0.75,IF(ROUNDDOWN((P$35-$B47)/Reference!$D$24,0)&lt;4,0.875,0.9375)))))+HLOOKUP($B47,$C$35:$Q$36,2,FALSE)*Reference!$C$25*(1-IF(ROUNDDOWN((P$35-$B47)/Reference!$D$25,0)&lt;1,0,IF(ROUNDDOWN((P$35-$B47)/Reference!$D$25,0)&lt;2,0.5,IF(ROUNDDOWN((P$35-$B47)/Reference!$D$25,0)&lt;3,0.75,IF(ROUNDDOWN((P$35-$B47)/Reference!$D$25,0)&lt;4,0.875,0.9375)))))+HLOOKUP($B47,$C$35:$Q$36,2,FALSE)*Reference!$C$26*(1-IF(ROUNDDOWN((P$35-$B47)/Reference!$D$26,0)&lt;1,0,IF(ROUNDDOWN((P$35-$B47)/Reference!$D$26,0)&lt;2,0.5,IF(ROUNDDOWN((P$35-$B47)/Reference!$D$26,0)&lt;3,0.75,IF(ROUNDDOWN((P$35-$B47)/Reference!$D$26,0)&lt;4,0.875,0.9375)))))+HLOOKUP($B47,$C$35:$Q$36,2,FALSE)*Reference!$C$27*(1-IF(ROUNDDOWN((P$35-$B47)/Reference!$D$27,0)&lt;1,0,IF(ROUNDDOWN((P$35-$B47)/Reference!$D$27,0)&lt;2,0.5,IF(ROUNDDOWN((P$35-$B47)/Reference!$D$27,0)&lt;3,0.75,IF(ROUNDDOWN((P$35-$B47)/Reference!$D$27,0)&lt;4,0.875,0.9375)))))+HLOOKUP($B47,$C$35:$Q$36,2,FALSE)*Reference!$C$28*(1-IF(ROUNDDOWN((P$35-$B47)/Reference!$D$28,0)&lt;1,0,IF(ROUNDDOWN((P$35-$B47)/Reference!$D$28,0)&lt;2,0.5,IF(ROUNDDOWN((P$35-$B47)/Reference!$D$28,0)&lt;3,0.75,IF(ROUNDDOWN((P$35-$B47)/Reference!$D$28,0)&lt;4,0.875,0.9375)))))</f>
        <v>4.2465071439064239</v>
      </c>
      <c r="Q47" s="135">
        <f>HLOOKUP($B47,$C$35:$Q$36,2,FALSE)*Reference!$C$23*(1-IF(ROUNDDOWN((Q$35-$B47)/Reference!$D$23,0)&lt;1,0,IF(ROUNDDOWN((Q$35-$B47)/Reference!$D$23,0)&lt;2,0.5,IF(ROUNDDOWN((Q$35-$B47)/Reference!$D$23,0)&lt;3,0.75,IF(ROUNDDOWN((Q$35-$B47)/Reference!$D$23,0)&lt;4,0.875,0.9375)))))+HLOOKUP($B47,$C$35:$Q$36,2,FALSE)*Reference!$C$24*(1-IF(ROUNDDOWN((Q$35-$B47)/Reference!$D$24,0)&lt;1,0,IF(ROUNDDOWN((Q$35-$B47)/Reference!$D$24,0)&lt;2,0.5,IF(ROUNDDOWN((Q$35-$B47)/Reference!$D$24,0)&lt;3,0.75,IF(ROUNDDOWN((Q$35-$B47)/Reference!$D$24,0)&lt;4,0.875,0.9375)))))+HLOOKUP($B47,$C$35:$Q$36,2,FALSE)*Reference!$C$25*(1-IF(ROUNDDOWN((Q$35-$B47)/Reference!$D$25,0)&lt;1,0,IF(ROUNDDOWN((Q$35-$B47)/Reference!$D$25,0)&lt;2,0.5,IF(ROUNDDOWN((Q$35-$B47)/Reference!$D$25,0)&lt;3,0.75,IF(ROUNDDOWN((Q$35-$B47)/Reference!$D$25,0)&lt;4,0.875,0.9375)))))+HLOOKUP($B47,$C$35:$Q$36,2,FALSE)*Reference!$C$26*(1-IF(ROUNDDOWN((Q$35-$B47)/Reference!$D$26,0)&lt;1,0,IF(ROUNDDOWN((Q$35-$B47)/Reference!$D$26,0)&lt;2,0.5,IF(ROUNDDOWN((Q$35-$B47)/Reference!$D$26,0)&lt;3,0.75,IF(ROUNDDOWN((Q$35-$B47)/Reference!$D$26,0)&lt;4,0.875,0.9375)))))+HLOOKUP($B47,$C$35:$Q$36,2,FALSE)*Reference!$C$27*(1-IF(ROUNDDOWN((Q$35-$B47)/Reference!$D$27,0)&lt;1,0,IF(ROUNDDOWN((Q$35-$B47)/Reference!$D$27,0)&lt;2,0.5,IF(ROUNDDOWN((Q$35-$B47)/Reference!$D$27,0)&lt;3,0.75,IF(ROUNDDOWN((Q$35-$B47)/Reference!$D$27,0)&lt;4,0.875,0.9375)))))+HLOOKUP($B47,$C$35:$Q$36,2,FALSE)*Reference!$C$28*(1-IF(ROUNDDOWN((Q$35-$B47)/Reference!$D$28,0)&lt;1,0,IF(ROUNDDOWN((Q$35-$B47)/Reference!$D$28,0)&lt;2,0.5,IF(ROUNDDOWN((Q$35-$B47)/Reference!$D$28,0)&lt;3,0.75,IF(ROUNDDOWN((Q$35-$B47)/Reference!$D$28,0)&lt;4,0.875,0.9375)))))</f>
        <v>4.151104945793584</v>
      </c>
      <c r="R47" s="50"/>
    </row>
    <row r="48" spans="2:18" x14ac:dyDescent="0.3">
      <c r="B48" s="237">
        <f t="shared" si="5"/>
        <v>2024</v>
      </c>
      <c r="C48" s="135"/>
      <c r="D48" s="135"/>
      <c r="E48" s="135"/>
      <c r="F48" s="135"/>
      <c r="G48" s="135"/>
      <c r="H48" s="135"/>
      <c r="I48" s="135"/>
      <c r="J48" s="135"/>
      <c r="K48" s="135"/>
      <c r="L48" s="135">
        <f>HLOOKUP($B48,$C$35:$Q$36,2,FALSE)*Reference!$C$23*(1-IF(ROUNDDOWN((L$35-$B48)/Reference!$D$23,0)&lt;1,0,IF(ROUNDDOWN((L$35-$B48)/Reference!$D$23,0)&lt;2,0.5,IF(ROUNDDOWN((L$35-$B48)/Reference!$D$23,0)&lt;3,0.75,IF(ROUNDDOWN((L$35-$B48)/Reference!$D$23,0)&lt;4,0.875,0.9375)))))+HLOOKUP($B48,$C$35:$Q$36,2,FALSE)*Reference!$C$24*(1-IF(ROUNDDOWN((L$35-$B48)/Reference!$D$24,0)&lt;1,0,IF(ROUNDDOWN((L$35-$B48)/Reference!$D$24,0)&lt;2,0.5,IF(ROUNDDOWN((L$35-$B48)/Reference!$D$24,0)&lt;3,0.75,IF(ROUNDDOWN((L$35-$B48)/Reference!$D$24,0)&lt;4,0.875,0.9375)))))+HLOOKUP($B48,$C$35:$Q$36,2,FALSE)*Reference!$C$25*(1-IF(ROUNDDOWN((L$35-$B48)/Reference!$D$25,0)&lt;1,0,IF(ROUNDDOWN((L$35-$B48)/Reference!$D$25,0)&lt;2,0.5,IF(ROUNDDOWN((L$35-$B48)/Reference!$D$25,0)&lt;3,0.75,IF(ROUNDDOWN((L$35-$B48)/Reference!$D$25,0)&lt;4,0.875,0.9375)))))+HLOOKUP($B48,$C$35:$Q$36,2,FALSE)*Reference!$C$26*(1-IF(ROUNDDOWN((L$35-$B48)/Reference!$D$26,0)&lt;1,0,IF(ROUNDDOWN((L$35-$B48)/Reference!$D$26,0)&lt;2,0.5,IF(ROUNDDOWN((L$35-$B48)/Reference!$D$26,0)&lt;3,0.75,IF(ROUNDDOWN((L$35-$B48)/Reference!$D$26,0)&lt;4,0.875,0.9375)))))+HLOOKUP($B48,$C$35:$Q$36,2,FALSE)*Reference!$C$27*(1-IF(ROUNDDOWN((L$35-$B48)/Reference!$D$27,0)&lt;1,0,IF(ROUNDDOWN((L$35-$B48)/Reference!$D$27,0)&lt;2,0.5,IF(ROUNDDOWN((L$35-$B48)/Reference!$D$27,0)&lt;3,0.75,IF(ROUNDDOWN((L$35-$B48)/Reference!$D$27,0)&lt;4,0.875,0.9375)))))+HLOOKUP($B48,$C$35:$Q$36,2,FALSE)*Reference!$C$28*(1-IF(ROUNDDOWN((L$35-$B48)/Reference!$D$28,0)&lt;1,0,IF(ROUNDDOWN((L$35-$B48)/Reference!$D$28,0)&lt;2,0.5,IF(ROUNDDOWN((L$35-$B48)/Reference!$D$28,0)&lt;3,0.75,IF(ROUNDDOWN((L$35-$B48)/Reference!$D$28,0)&lt;4,0.875,0.9375)))))</f>
        <v>4.4373115401321046</v>
      </c>
      <c r="M48" s="135">
        <f>HLOOKUP($B48,$C$35:$Q$36,2,FALSE)*Reference!$C$23*(1-IF(ROUNDDOWN((M$35-$B48)/Reference!$D$23,0)&lt;1,0,IF(ROUNDDOWN((M$35-$B48)/Reference!$D$23,0)&lt;2,0.5,IF(ROUNDDOWN((M$35-$B48)/Reference!$D$23,0)&lt;3,0.75,IF(ROUNDDOWN((M$35-$B48)/Reference!$D$23,0)&lt;4,0.875,0.9375)))))+HLOOKUP($B48,$C$35:$Q$36,2,FALSE)*Reference!$C$24*(1-IF(ROUNDDOWN((M$35-$B48)/Reference!$D$24,0)&lt;1,0,IF(ROUNDDOWN((M$35-$B48)/Reference!$D$24,0)&lt;2,0.5,IF(ROUNDDOWN((M$35-$B48)/Reference!$D$24,0)&lt;3,0.75,IF(ROUNDDOWN((M$35-$B48)/Reference!$D$24,0)&lt;4,0.875,0.9375)))))+HLOOKUP($B48,$C$35:$Q$36,2,FALSE)*Reference!$C$25*(1-IF(ROUNDDOWN((M$35-$B48)/Reference!$D$25,0)&lt;1,0,IF(ROUNDDOWN((M$35-$B48)/Reference!$D$25,0)&lt;2,0.5,IF(ROUNDDOWN((M$35-$B48)/Reference!$D$25,0)&lt;3,0.75,IF(ROUNDDOWN((M$35-$B48)/Reference!$D$25,0)&lt;4,0.875,0.9375)))))+HLOOKUP($B48,$C$35:$Q$36,2,FALSE)*Reference!$C$26*(1-IF(ROUNDDOWN((M$35-$B48)/Reference!$D$26,0)&lt;1,0,IF(ROUNDDOWN((M$35-$B48)/Reference!$D$26,0)&lt;2,0.5,IF(ROUNDDOWN((M$35-$B48)/Reference!$D$26,0)&lt;3,0.75,IF(ROUNDDOWN((M$35-$B48)/Reference!$D$26,0)&lt;4,0.875,0.9375)))))+HLOOKUP($B48,$C$35:$Q$36,2,FALSE)*Reference!$C$27*(1-IF(ROUNDDOWN((M$35-$B48)/Reference!$D$27,0)&lt;1,0,IF(ROUNDDOWN((M$35-$B48)/Reference!$D$27,0)&lt;2,0.5,IF(ROUNDDOWN((M$35-$B48)/Reference!$D$27,0)&lt;3,0.75,IF(ROUNDDOWN((M$35-$B48)/Reference!$D$27,0)&lt;4,0.875,0.9375)))))+HLOOKUP($B48,$C$35:$Q$36,2,FALSE)*Reference!$C$28*(1-IF(ROUNDDOWN((M$35-$B48)/Reference!$D$28,0)&lt;1,0,IF(ROUNDDOWN((M$35-$B48)/Reference!$D$28,0)&lt;2,0.5,IF(ROUNDDOWN((M$35-$B48)/Reference!$D$28,0)&lt;3,0.75,IF(ROUNDDOWN((M$35-$B48)/Reference!$D$28,0)&lt;4,0.875,0.9375)))))</f>
        <v>4.4373115401321046</v>
      </c>
      <c r="N48" s="135">
        <f>HLOOKUP($B48,$C$35:$Q$36,2,FALSE)*Reference!$C$23*(1-IF(ROUNDDOWN((N$35-$B48)/Reference!$D$23,0)&lt;1,0,IF(ROUNDDOWN((N$35-$B48)/Reference!$D$23,0)&lt;2,0.5,IF(ROUNDDOWN((N$35-$B48)/Reference!$D$23,0)&lt;3,0.75,IF(ROUNDDOWN((N$35-$B48)/Reference!$D$23,0)&lt;4,0.875,0.9375)))))+HLOOKUP($B48,$C$35:$Q$36,2,FALSE)*Reference!$C$24*(1-IF(ROUNDDOWN((N$35-$B48)/Reference!$D$24,0)&lt;1,0,IF(ROUNDDOWN((N$35-$B48)/Reference!$D$24,0)&lt;2,0.5,IF(ROUNDDOWN((N$35-$B48)/Reference!$D$24,0)&lt;3,0.75,IF(ROUNDDOWN((N$35-$B48)/Reference!$D$24,0)&lt;4,0.875,0.9375)))))+HLOOKUP($B48,$C$35:$Q$36,2,FALSE)*Reference!$C$25*(1-IF(ROUNDDOWN((N$35-$B48)/Reference!$D$25,0)&lt;1,0,IF(ROUNDDOWN((N$35-$B48)/Reference!$D$25,0)&lt;2,0.5,IF(ROUNDDOWN((N$35-$B48)/Reference!$D$25,0)&lt;3,0.75,IF(ROUNDDOWN((N$35-$B48)/Reference!$D$25,0)&lt;4,0.875,0.9375)))))+HLOOKUP($B48,$C$35:$Q$36,2,FALSE)*Reference!$C$26*(1-IF(ROUNDDOWN((N$35-$B48)/Reference!$D$26,0)&lt;1,0,IF(ROUNDDOWN((N$35-$B48)/Reference!$D$26,0)&lt;2,0.5,IF(ROUNDDOWN((N$35-$B48)/Reference!$D$26,0)&lt;3,0.75,IF(ROUNDDOWN((N$35-$B48)/Reference!$D$26,0)&lt;4,0.875,0.9375)))))+HLOOKUP($B48,$C$35:$Q$36,2,FALSE)*Reference!$C$27*(1-IF(ROUNDDOWN((N$35-$B48)/Reference!$D$27,0)&lt;1,0,IF(ROUNDDOWN((N$35-$B48)/Reference!$D$27,0)&lt;2,0.5,IF(ROUNDDOWN((N$35-$B48)/Reference!$D$27,0)&lt;3,0.75,IF(ROUNDDOWN((N$35-$B48)/Reference!$D$27,0)&lt;4,0.875,0.9375)))))+HLOOKUP($B48,$C$35:$Q$36,2,FALSE)*Reference!$C$28*(1-IF(ROUNDDOWN((N$35-$B48)/Reference!$D$28,0)&lt;1,0,IF(ROUNDDOWN((N$35-$B48)/Reference!$D$28,0)&lt;2,0.5,IF(ROUNDDOWN((N$35-$B48)/Reference!$D$28,0)&lt;3,0.75,IF(ROUNDDOWN((N$35-$B48)/Reference!$D$28,0)&lt;4,0.875,0.9375)))))</f>
        <v>4.4373115401321046</v>
      </c>
      <c r="O48" s="135">
        <f>HLOOKUP($B48,$C$35:$Q$36,2,FALSE)*Reference!$C$23*(1-IF(ROUNDDOWN((O$35-$B48)/Reference!$D$23,0)&lt;1,0,IF(ROUNDDOWN((O$35-$B48)/Reference!$D$23,0)&lt;2,0.5,IF(ROUNDDOWN((O$35-$B48)/Reference!$D$23,0)&lt;3,0.75,IF(ROUNDDOWN((O$35-$B48)/Reference!$D$23,0)&lt;4,0.875,0.9375)))))+HLOOKUP($B48,$C$35:$Q$36,2,FALSE)*Reference!$C$24*(1-IF(ROUNDDOWN((O$35-$B48)/Reference!$D$24,0)&lt;1,0,IF(ROUNDDOWN((O$35-$B48)/Reference!$D$24,0)&lt;2,0.5,IF(ROUNDDOWN((O$35-$B48)/Reference!$D$24,0)&lt;3,0.75,IF(ROUNDDOWN((O$35-$B48)/Reference!$D$24,0)&lt;4,0.875,0.9375)))))+HLOOKUP($B48,$C$35:$Q$36,2,FALSE)*Reference!$C$25*(1-IF(ROUNDDOWN((O$35-$B48)/Reference!$D$25,0)&lt;1,0,IF(ROUNDDOWN((O$35-$B48)/Reference!$D$25,0)&lt;2,0.5,IF(ROUNDDOWN((O$35-$B48)/Reference!$D$25,0)&lt;3,0.75,IF(ROUNDDOWN((O$35-$B48)/Reference!$D$25,0)&lt;4,0.875,0.9375)))))+HLOOKUP($B48,$C$35:$Q$36,2,FALSE)*Reference!$C$26*(1-IF(ROUNDDOWN((O$35-$B48)/Reference!$D$26,0)&lt;1,0,IF(ROUNDDOWN((O$35-$B48)/Reference!$D$26,0)&lt;2,0.5,IF(ROUNDDOWN((O$35-$B48)/Reference!$D$26,0)&lt;3,0.75,IF(ROUNDDOWN((O$35-$B48)/Reference!$D$26,0)&lt;4,0.875,0.9375)))))+HLOOKUP($B48,$C$35:$Q$36,2,FALSE)*Reference!$C$27*(1-IF(ROUNDDOWN((O$35-$B48)/Reference!$D$27,0)&lt;1,0,IF(ROUNDDOWN((O$35-$B48)/Reference!$D$27,0)&lt;2,0.5,IF(ROUNDDOWN((O$35-$B48)/Reference!$D$27,0)&lt;3,0.75,IF(ROUNDDOWN((O$35-$B48)/Reference!$D$27,0)&lt;4,0.875,0.9375)))))+HLOOKUP($B48,$C$35:$Q$36,2,FALSE)*Reference!$C$28*(1-IF(ROUNDDOWN((O$35-$B48)/Reference!$D$28,0)&lt;1,0,IF(ROUNDDOWN((O$35-$B48)/Reference!$D$28,0)&lt;2,0.5,IF(ROUNDDOWN((O$35-$B48)/Reference!$D$28,0)&lt;3,0.75,IF(ROUNDDOWN((O$35-$B48)/Reference!$D$28,0)&lt;4,0.875,0.9375)))))</f>
        <v>4.2465071439064239</v>
      </c>
      <c r="P48" s="135">
        <f>HLOOKUP($B48,$C$35:$Q$36,2,FALSE)*Reference!$C$23*(1-IF(ROUNDDOWN((P$35-$B48)/Reference!$D$23,0)&lt;1,0,IF(ROUNDDOWN((P$35-$B48)/Reference!$D$23,0)&lt;2,0.5,IF(ROUNDDOWN((P$35-$B48)/Reference!$D$23,0)&lt;3,0.75,IF(ROUNDDOWN((P$35-$B48)/Reference!$D$23,0)&lt;4,0.875,0.9375)))))+HLOOKUP($B48,$C$35:$Q$36,2,FALSE)*Reference!$C$24*(1-IF(ROUNDDOWN((P$35-$B48)/Reference!$D$24,0)&lt;1,0,IF(ROUNDDOWN((P$35-$B48)/Reference!$D$24,0)&lt;2,0.5,IF(ROUNDDOWN((P$35-$B48)/Reference!$D$24,0)&lt;3,0.75,IF(ROUNDDOWN((P$35-$B48)/Reference!$D$24,0)&lt;4,0.875,0.9375)))))+HLOOKUP($B48,$C$35:$Q$36,2,FALSE)*Reference!$C$25*(1-IF(ROUNDDOWN((P$35-$B48)/Reference!$D$25,0)&lt;1,0,IF(ROUNDDOWN((P$35-$B48)/Reference!$D$25,0)&lt;2,0.5,IF(ROUNDDOWN((P$35-$B48)/Reference!$D$25,0)&lt;3,0.75,IF(ROUNDDOWN((P$35-$B48)/Reference!$D$25,0)&lt;4,0.875,0.9375)))))+HLOOKUP($B48,$C$35:$Q$36,2,FALSE)*Reference!$C$26*(1-IF(ROUNDDOWN((P$35-$B48)/Reference!$D$26,0)&lt;1,0,IF(ROUNDDOWN((P$35-$B48)/Reference!$D$26,0)&lt;2,0.5,IF(ROUNDDOWN((P$35-$B48)/Reference!$D$26,0)&lt;3,0.75,IF(ROUNDDOWN((P$35-$B48)/Reference!$D$26,0)&lt;4,0.875,0.9375)))))+HLOOKUP($B48,$C$35:$Q$36,2,FALSE)*Reference!$C$27*(1-IF(ROUNDDOWN((P$35-$B48)/Reference!$D$27,0)&lt;1,0,IF(ROUNDDOWN((P$35-$B48)/Reference!$D$27,0)&lt;2,0.5,IF(ROUNDDOWN((P$35-$B48)/Reference!$D$27,0)&lt;3,0.75,IF(ROUNDDOWN((P$35-$B48)/Reference!$D$27,0)&lt;4,0.875,0.9375)))))+HLOOKUP($B48,$C$35:$Q$36,2,FALSE)*Reference!$C$28*(1-IF(ROUNDDOWN((P$35-$B48)/Reference!$D$28,0)&lt;1,0,IF(ROUNDDOWN((P$35-$B48)/Reference!$D$28,0)&lt;2,0.5,IF(ROUNDDOWN((P$35-$B48)/Reference!$D$28,0)&lt;3,0.75,IF(ROUNDDOWN((P$35-$B48)/Reference!$D$28,0)&lt;4,0.875,0.9375)))))</f>
        <v>4.2465071439064239</v>
      </c>
      <c r="Q48" s="135">
        <f>HLOOKUP($B48,$C$35:$Q$36,2,FALSE)*Reference!$C$23*(1-IF(ROUNDDOWN((Q$35-$B48)/Reference!$D$23,0)&lt;1,0,IF(ROUNDDOWN((Q$35-$B48)/Reference!$D$23,0)&lt;2,0.5,IF(ROUNDDOWN((Q$35-$B48)/Reference!$D$23,0)&lt;3,0.75,IF(ROUNDDOWN((Q$35-$B48)/Reference!$D$23,0)&lt;4,0.875,0.9375)))))+HLOOKUP($B48,$C$35:$Q$36,2,FALSE)*Reference!$C$24*(1-IF(ROUNDDOWN((Q$35-$B48)/Reference!$D$24,0)&lt;1,0,IF(ROUNDDOWN((Q$35-$B48)/Reference!$D$24,0)&lt;2,0.5,IF(ROUNDDOWN((Q$35-$B48)/Reference!$D$24,0)&lt;3,0.75,IF(ROUNDDOWN((Q$35-$B48)/Reference!$D$24,0)&lt;4,0.875,0.9375)))))+HLOOKUP($B48,$C$35:$Q$36,2,FALSE)*Reference!$C$25*(1-IF(ROUNDDOWN((Q$35-$B48)/Reference!$D$25,0)&lt;1,0,IF(ROUNDDOWN((Q$35-$B48)/Reference!$D$25,0)&lt;2,0.5,IF(ROUNDDOWN((Q$35-$B48)/Reference!$D$25,0)&lt;3,0.75,IF(ROUNDDOWN((Q$35-$B48)/Reference!$D$25,0)&lt;4,0.875,0.9375)))))+HLOOKUP($B48,$C$35:$Q$36,2,FALSE)*Reference!$C$26*(1-IF(ROUNDDOWN((Q$35-$B48)/Reference!$D$26,0)&lt;1,0,IF(ROUNDDOWN((Q$35-$B48)/Reference!$D$26,0)&lt;2,0.5,IF(ROUNDDOWN((Q$35-$B48)/Reference!$D$26,0)&lt;3,0.75,IF(ROUNDDOWN((Q$35-$B48)/Reference!$D$26,0)&lt;4,0.875,0.9375)))))+HLOOKUP($B48,$C$35:$Q$36,2,FALSE)*Reference!$C$27*(1-IF(ROUNDDOWN((Q$35-$B48)/Reference!$D$27,0)&lt;1,0,IF(ROUNDDOWN((Q$35-$B48)/Reference!$D$27,0)&lt;2,0.5,IF(ROUNDDOWN((Q$35-$B48)/Reference!$D$27,0)&lt;3,0.75,IF(ROUNDDOWN((Q$35-$B48)/Reference!$D$27,0)&lt;4,0.875,0.9375)))))+HLOOKUP($B48,$C$35:$Q$36,2,FALSE)*Reference!$C$28*(1-IF(ROUNDDOWN((Q$35-$B48)/Reference!$D$28,0)&lt;1,0,IF(ROUNDDOWN((Q$35-$B48)/Reference!$D$28,0)&lt;2,0.5,IF(ROUNDDOWN((Q$35-$B48)/Reference!$D$28,0)&lt;3,0.75,IF(ROUNDDOWN((Q$35-$B48)/Reference!$D$28,0)&lt;4,0.875,0.9375)))))</f>
        <v>4.2465071439064239</v>
      </c>
      <c r="R48" s="50"/>
    </row>
    <row r="49" spans="2:18" x14ac:dyDescent="0.3">
      <c r="B49" s="237">
        <f t="shared" si="5"/>
        <v>2025</v>
      </c>
      <c r="C49" s="135"/>
      <c r="D49" s="135"/>
      <c r="E49" s="135"/>
      <c r="F49" s="135"/>
      <c r="G49" s="135"/>
      <c r="H49" s="135"/>
      <c r="I49" s="135"/>
      <c r="J49" s="135"/>
      <c r="K49" s="135"/>
      <c r="L49" s="135"/>
      <c r="M49" s="135">
        <f>HLOOKUP($B49,$C$35:$Q$36,2,FALSE)*Reference!$C$23*(1-IF(ROUNDDOWN((M$35-$B49)/Reference!$D$23,0)&lt;1,0,IF(ROUNDDOWN((M$35-$B49)/Reference!$D$23,0)&lt;2,0.5,IF(ROUNDDOWN((M$35-$B49)/Reference!$D$23,0)&lt;3,0.75,IF(ROUNDDOWN((M$35-$B49)/Reference!$D$23,0)&lt;4,0.875,0.9375)))))+HLOOKUP($B49,$C$35:$Q$36,2,FALSE)*Reference!$C$24*(1-IF(ROUNDDOWN((M$35-$B49)/Reference!$D$24,0)&lt;1,0,IF(ROUNDDOWN((M$35-$B49)/Reference!$D$24,0)&lt;2,0.5,IF(ROUNDDOWN((M$35-$B49)/Reference!$D$24,0)&lt;3,0.75,IF(ROUNDDOWN((M$35-$B49)/Reference!$D$24,0)&lt;4,0.875,0.9375)))))+HLOOKUP($B49,$C$35:$Q$36,2,FALSE)*Reference!$C$25*(1-IF(ROUNDDOWN((M$35-$B49)/Reference!$D$25,0)&lt;1,0,IF(ROUNDDOWN((M$35-$B49)/Reference!$D$25,0)&lt;2,0.5,IF(ROUNDDOWN((M$35-$B49)/Reference!$D$25,0)&lt;3,0.75,IF(ROUNDDOWN((M$35-$B49)/Reference!$D$25,0)&lt;4,0.875,0.9375)))))+HLOOKUP($B49,$C$35:$Q$36,2,FALSE)*Reference!$C$26*(1-IF(ROUNDDOWN((M$35-$B49)/Reference!$D$26,0)&lt;1,0,IF(ROUNDDOWN((M$35-$B49)/Reference!$D$26,0)&lt;2,0.5,IF(ROUNDDOWN((M$35-$B49)/Reference!$D$26,0)&lt;3,0.75,IF(ROUNDDOWN((M$35-$B49)/Reference!$D$26,0)&lt;4,0.875,0.9375)))))+HLOOKUP($B49,$C$35:$Q$36,2,FALSE)*Reference!$C$27*(1-IF(ROUNDDOWN((M$35-$B49)/Reference!$D$27,0)&lt;1,0,IF(ROUNDDOWN((M$35-$B49)/Reference!$D$27,0)&lt;2,0.5,IF(ROUNDDOWN((M$35-$B49)/Reference!$D$27,0)&lt;3,0.75,IF(ROUNDDOWN((M$35-$B49)/Reference!$D$27,0)&lt;4,0.875,0.9375)))))+HLOOKUP($B49,$C$35:$Q$36,2,FALSE)*Reference!$C$28*(1-IF(ROUNDDOWN((M$35-$B49)/Reference!$D$28,0)&lt;1,0,IF(ROUNDDOWN((M$35-$B49)/Reference!$D$28,0)&lt;2,0.5,IF(ROUNDDOWN((M$35-$B49)/Reference!$D$28,0)&lt;3,0.75,IF(ROUNDDOWN((M$35-$B49)/Reference!$D$28,0)&lt;4,0.875,0.9375)))))</f>
        <v>4.4373115401321046</v>
      </c>
      <c r="N49" s="135">
        <f>HLOOKUP($B49,$C$35:$Q$36,2,FALSE)*Reference!$C$23*(1-IF(ROUNDDOWN((N$35-$B49)/Reference!$D$23,0)&lt;1,0,IF(ROUNDDOWN((N$35-$B49)/Reference!$D$23,0)&lt;2,0.5,IF(ROUNDDOWN((N$35-$B49)/Reference!$D$23,0)&lt;3,0.75,IF(ROUNDDOWN((N$35-$B49)/Reference!$D$23,0)&lt;4,0.875,0.9375)))))+HLOOKUP($B49,$C$35:$Q$36,2,FALSE)*Reference!$C$24*(1-IF(ROUNDDOWN((N$35-$B49)/Reference!$D$24,0)&lt;1,0,IF(ROUNDDOWN((N$35-$B49)/Reference!$D$24,0)&lt;2,0.5,IF(ROUNDDOWN((N$35-$B49)/Reference!$D$24,0)&lt;3,0.75,IF(ROUNDDOWN((N$35-$B49)/Reference!$D$24,0)&lt;4,0.875,0.9375)))))+HLOOKUP($B49,$C$35:$Q$36,2,FALSE)*Reference!$C$25*(1-IF(ROUNDDOWN((N$35-$B49)/Reference!$D$25,0)&lt;1,0,IF(ROUNDDOWN((N$35-$B49)/Reference!$D$25,0)&lt;2,0.5,IF(ROUNDDOWN((N$35-$B49)/Reference!$D$25,0)&lt;3,0.75,IF(ROUNDDOWN((N$35-$B49)/Reference!$D$25,0)&lt;4,0.875,0.9375)))))+HLOOKUP($B49,$C$35:$Q$36,2,FALSE)*Reference!$C$26*(1-IF(ROUNDDOWN((N$35-$B49)/Reference!$D$26,0)&lt;1,0,IF(ROUNDDOWN((N$35-$B49)/Reference!$D$26,0)&lt;2,0.5,IF(ROUNDDOWN((N$35-$B49)/Reference!$D$26,0)&lt;3,0.75,IF(ROUNDDOWN((N$35-$B49)/Reference!$D$26,0)&lt;4,0.875,0.9375)))))+HLOOKUP($B49,$C$35:$Q$36,2,FALSE)*Reference!$C$27*(1-IF(ROUNDDOWN((N$35-$B49)/Reference!$D$27,0)&lt;1,0,IF(ROUNDDOWN((N$35-$B49)/Reference!$D$27,0)&lt;2,0.5,IF(ROUNDDOWN((N$35-$B49)/Reference!$D$27,0)&lt;3,0.75,IF(ROUNDDOWN((N$35-$B49)/Reference!$D$27,0)&lt;4,0.875,0.9375)))))+HLOOKUP($B49,$C$35:$Q$36,2,FALSE)*Reference!$C$28*(1-IF(ROUNDDOWN((N$35-$B49)/Reference!$D$28,0)&lt;1,0,IF(ROUNDDOWN((N$35-$B49)/Reference!$D$28,0)&lt;2,0.5,IF(ROUNDDOWN((N$35-$B49)/Reference!$D$28,0)&lt;3,0.75,IF(ROUNDDOWN((N$35-$B49)/Reference!$D$28,0)&lt;4,0.875,0.9375)))))</f>
        <v>4.4373115401321046</v>
      </c>
      <c r="O49" s="135">
        <f>HLOOKUP($B49,$C$35:$Q$36,2,FALSE)*Reference!$C$23*(1-IF(ROUNDDOWN((O$35-$B49)/Reference!$D$23,0)&lt;1,0,IF(ROUNDDOWN((O$35-$B49)/Reference!$D$23,0)&lt;2,0.5,IF(ROUNDDOWN((O$35-$B49)/Reference!$D$23,0)&lt;3,0.75,IF(ROUNDDOWN((O$35-$B49)/Reference!$D$23,0)&lt;4,0.875,0.9375)))))+HLOOKUP($B49,$C$35:$Q$36,2,FALSE)*Reference!$C$24*(1-IF(ROUNDDOWN((O$35-$B49)/Reference!$D$24,0)&lt;1,0,IF(ROUNDDOWN((O$35-$B49)/Reference!$D$24,0)&lt;2,0.5,IF(ROUNDDOWN((O$35-$B49)/Reference!$D$24,0)&lt;3,0.75,IF(ROUNDDOWN((O$35-$B49)/Reference!$D$24,0)&lt;4,0.875,0.9375)))))+HLOOKUP($B49,$C$35:$Q$36,2,FALSE)*Reference!$C$25*(1-IF(ROUNDDOWN((O$35-$B49)/Reference!$D$25,0)&lt;1,0,IF(ROUNDDOWN((O$35-$B49)/Reference!$D$25,0)&lt;2,0.5,IF(ROUNDDOWN((O$35-$B49)/Reference!$D$25,0)&lt;3,0.75,IF(ROUNDDOWN((O$35-$B49)/Reference!$D$25,0)&lt;4,0.875,0.9375)))))+HLOOKUP($B49,$C$35:$Q$36,2,FALSE)*Reference!$C$26*(1-IF(ROUNDDOWN((O$35-$B49)/Reference!$D$26,0)&lt;1,0,IF(ROUNDDOWN((O$35-$B49)/Reference!$D$26,0)&lt;2,0.5,IF(ROUNDDOWN((O$35-$B49)/Reference!$D$26,0)&lt;3,0.75,IF(ROUNDDOWN((O$35-$B49)/Reference!$D$26,0)&lt;4,0.875,0.9375)))))+HLOOKUP($B49,$C$35:$Q$36,2,FALSE)*Reference!$C$27*(1-IF(ROUNDDOWN((O$35-$B49)/Reference!$D$27,0)&lt;1,0,IF(ROUNDDOWN((O$35-$B49)/Reference!$D$27,0)&lt;2,0.5,IF(ROUNDDOWN((O$35-$B49)/Reference!$D$27,0)&lt;3,0.75,IF(ROUNDDOWN((O$35-$B49)/Reference!$D$27,0)&lt;4,0.875,0.9375)))))+HLOOKUP($B49,$C$35:$Q$36,2,FALSE)*Reference!$C$28*(1-IF(ROUNDDOWN((O$35-$B49)/Reference!$D$28,0)&lt;1,0,IF(ROUNDDOWN((O$35-$B49)/Reference!$D$28,0)&lt;2,0.5,IF(ROUNDDOWN((O$35-$B49)/Reference!$D$28,0)&lt;3,0.75,IF(ROUNDDOWN((O$35-$B49)/Reference!$D$28,0)&lt;4,0.875,0.9375)))))</f>
        <v>4.4373115401321046</v>
      </c>
      <c r="P49" s="135">
        <f>HLOOKUP($B49,$C$35:$Q$36,2,FALSE)*Reference!$C$23*(1-IF(ROUNDDOWN((P$35-$B49)/Reference!$D$23,0)&lt;1,0,IF(ROUNDDOWN((P$35-$B49)/Reference!$D$23,0)&lt;2,0.5,IF(ROUNDDOWN((P$35-$B49)/Reference!$D$23,0)&lt;3,0.75,IF(ROUNDDOWN((P$35-$B49)/Reference!$D$23,0)&lt;4,0.875,0.9375)))))+HLOOKUP($B49,$C$35:$Q$36,2,FALSE)*Reference!$C$24*(1-IF(ROUNDDOWN((P$35-$B49)/Reference!$D$24,0)&lt;1,0,IF(ROUNDDOWN((P$35-$B49)/Reference!$D$24,0)&lt;2,0.5,IF(ROUNDDOWN((P$35-$B49)/Reference!$D$24,0)&lt;3,0.75,IF(ROUNDDOWN((P$35-$B49)/Reference!$D$24,0)&lt;4,0.875,0.9375)))))+HLOOKUP($B49,$C$35:$Q$36,2,FALSE)*Reference!$C$25*(1-IF(ROUNDDOWN((P$35-$B49)/Reference!$D$25,0)&lt;1,0,IF(ROUNDDOWN((P$35-$B49)/Reference!$D$25,0)&lt;2,0.5,IF(ROUNDDOWN((P$35-$B49)/Reference!$D$25,0)&lt;3,0.75,IF(ROUNDDOWN((P$35-$B49)/Reference!$D$25,0)&lt;4,0.875,0.9375)))))+HLOOKUP($B49,$C$35:$Q$36,2,FALSE)*Reference!$C$26*(1-IF(ROUNDDOWN((P$35-$B49)/Reference!$D$26,0)&lt;1,0,IF(ROUNDDOWN((P$35-$B49)/Reference!$D$26,0)&lt;2,0.5,IF(ROUNDDOWN((P$35-$B49)/Reference!$D$26,0)&lt;3,0.75,IF(ROUNDDOWN((P$35-$B49)/Reference!$D$26,0)&lt;4,0.875,0.9375)))))+HLOOKUP($B49,$C$35:$Q$36,2,FALSE)*Reference!$C$27*(1-IF(ROUNDDOWN((P$35-$B49)/Reference!$D$27,0)&lt;1,0,IF(ROUNDDOWN((P$35-$B49)/Reference!$D$27,0)&lt;2,0.5,IF(ROUNDDOWN((P$35-$B49)/Reference!$D$27,0)&lt;3,0.75,IF(ROUNDDOWN((P$35-$B49)/Reference!$D$27,0)&lt;4,0.875,0.9375)))))+HLOOKUP($B49,$C$35:$Q$36,2,FALSE)*Reference!$C$28*(1-IF(ROUNDDOWN((P$35-$B49)/Reference!$D$28,0)&lt;1,0,IF(ROUNDDOWN((P$35-$B49)/Reference!$D$28,0)&lt;2,0.5,IF(ROUNDDOWN((P$35-$B49)/Reference!$D$28,0)&lt;3,0.75,IF(ROUNDDOWN((P$35-$B49)/Reference!$D$28,0)&lt;4,0.875,0.9375)))))</f>
        <v>4.2465071439064239</v>
      </c>
      <c r="Q49" s="135">
        <f>HLOOKUP($B49,$C$35:$Q$36,2,FALSE)*Reference!$C$23*(1-IF(ROUNDDOWN((Q$35-$B49)/Reference!$D$23,0)&lt;1,0,IF(ROUNDDOWN((Q$35-$B49)/Reference!$D$23,0)&lt;2,0.5,IF(ROUNDDOWN((Q$35-$B49)/Reference!$D$23,0)&lt;3,0.75,IF(ROUNDDOWN((Q$35-$B49)/Reference!$D$23,0)&lt;4,0.875,0.9375)))))+HLOOKUP($B49,$C$35:$Q$36,2,FALSE)*Reference!$C$24*(1-IF(ROUNDDOWN((Q$35-$B49)/Reference!$D$24,0)&lt;1,0,IF(ROUNDDOWN((Q$35-$B49)/Reference!$D$24,0)&lt;2,0.5,IF(ROUNDDOWN((Q$35-$B49)/Reference!$D$24,0)&lt;3,0.75,IF(ROUNDDOWN((Q$35-$B49)/Reference!$D$24,0)&lt;4,0.875,0.9375)))))+HLOOKUP($B49,$C$35:$Q$36,2,FALSE)*Reference!$C$25*(1-IF(ROUNDDOWN((Q$35-$B49)/Reference!$D$25,0)&lt;1,0,IF(ROUNDDOWN((Q$35-$B49)/Reference!$D$25,0)&lt;2,0.5,IF(ROUNDDOWN((Q$35-$B49)/Reference!$D$25,0)&lt;3,0.75,IF(ROUNDDOWN((Q$35-$B49)/Reference!$D$25,0)&lt;4,0.875,0.9375)))))+HLOOKUP($B49,$C$35:$Q$36,2,FALSE)*Reference!$C$26*(1-IF(ROUNDDOWN((Q$35-$B49)/Reference!$D$26,0)&lt;1,0,IF(ROUNDDOWN((Q$35-$B49)/Reference!$D$26,0)&lt;2,0.5,IF(ROUNDDOWN((Q$35-$B49)/Reference!$D$26,0)&lt;3,0.75,IF(ROUNDDOWN((Q$35-$B49)/Reference!$D$26,0)&lt;4,0.875,0.9375)))))+HLOOKUP($B49,$C$35:$Q$36,2,FALSE)*Reference!$C$27*(1-IF(ROUNDDOWN((Q$35-$B49)/Reference!$D$27,0)&lt;1,0,IF(ROUNDDOWN((Q$35-$B49)/Reference!$D$27,0)&lt;2,0.5,IF(ROUNDDOWN((Q$35-$B49)/Reference!$D$27,0)&lt;3,0.75,IF(ROUNDDOWN((Q$35-$B49)/Reference!$D$27,0)&lt;4,0.875,0.9375)))))+HLOOKUP($B49,$C$35:$Q$36,2,FALSE)*Reference!$C$28*(1-IF(ROUNDDOWN((Q$35-$B49)/Reference!$D$28,0)&lt;1,0,IF(ROUNDDOWN((Q$35-$B49)/Reference!$D$28,0)&lt;2,0.5,IF(ROUNDDOWN((Q$35-$B49)/Reference!$D$28,0)&lt;3,0.75,IF(ROUNDDOWN((Q$35-$B49)/Reference!$D$28,0)&lt;4,0.875,0.9375)))))</f>
        <v>4.2465071439064239</v>
      </c>
      <c r="R49" s="50"/>
    </row>
    <row r="50" spans="2:18" x14ac:dyDescent="0.3">
      <c r="B50" s="237">
        <f t="shared" si="5"/>
        <v>2026</v>
      </c>
      <c r="C50" s="135"/>
      <c r="D50" s="135"/>
      <c r="E50" s="135"/>
      <c r="F50" s="135"/>
      <c r="G50" s="135"/>
      <c r="H50" s="135"/>
      <c r="I50" s="135"/>
      <c r="J50" s="135"/>
      <c r="K50" s="135"/>
      <c r="L50" s="135"/>
      <c r="M50" s="135"/>
      <c r="N50" s="135">
        <f>HLOOKUP($B50,$C$35:$Q$36,2,FALSE)*Reference!$C$23*(1-IF(ROUNDDOWN((N$35-$B50)/Reference!$D$23,0)&lt;1,0,IF(ROUNDDOWN((N$35-$B50)/Reference!$D$23,0)&lt;2,0.5,IF(ROUNDDOWN((N$35-$B50)/Reference!$D$23,0)&lt;3,0.75,IF(ROUNDDOWN((N$35-$B50)/Reference!$D$23,0)&lt;4,0.875,0.9375)))))+HLOOKUP($B50,$C$35:$Q$36,2,FALSE)*Reference!$C$24*(1-IF(ROUNDDOWN((N$35-$B50)/Reference!$D$24,0)&lt;1,0,IF(ROUNDDOWN((N$35-$B50)/Reference!$D$24,0)&lt;2,0.5,IF(ROUNDDOWN((N$35-$B50)/Reference!$D$24,0)&lt;3,0.75,IF(ROUNDDOWN((N$35-$B50)/Reference!$D$24,0)&lt;4,0.875,0.9375)))))+HLOOKUP($B50,$C$35:$Q$36,2,FALSE)*Reference!$C$25*(1-IF(ROUNDDOWN((N$35-$B50)/Reference!$D$25,0)&lt;1,0,IF(ROUNDDOWN((N$35-$B50)/Reference!$D$25,0)&lt;2,0.5,IF(ROUNDDOWN((N$35-$B50)/Reference!$D$25,0)&lt;3,0.75,IF(ROUNDDOWN((N$35-$B50)/Reference!$D$25,0)&lt;4,0.875,0.9375)))))+HLOOKUP($B50,$C$35:$Q$36,2,FALSE)*Reference!$C$26*(1-IF(ROUNDDOWN((N$35-$B50)/Reference!$D$26,0)&lt;1,0,IF(ROUNDDOWN((N$35-$B50)/Reference!$D$26,0)&lt;2,0.5,IF(ROUNDDOWN((N$35-$B50)/Reference!$D$26,0)&lt;3,0.75,IF(ROUNDDOWN((N$35-$B50)/Reference!$D$26,0)&lt;4,0.875,0.9375)))))+HLOOKUP($B50,$C$35:$Q$36,2,FALSE)*Reference!$C$27*(1-IF(ROUNDDOWN((N$35-$B50)/Reference!$D$27,0)&lt;1,0,IF(ROUNDDOWN((N$35-$B50)/Reference!$D$27,0)&lt;2,0.5,IF(ROUNDDOWN((N$35-$B50)/Reference!$D$27,0)&lt;3,0.75,IF(ROUNDDOWN((N$35-$B50)/Reference!$D$27,0)&lt;4,0.875,0.9375)))))+HLOOKUP($B50,$C$35:$Q$36,2,FALSE)*Reference!$C$28*(1-IF(ROUNDDOWN((N$35-$B50)/Reference!$D$28,0)&lt;1,0,IF(ROUNDDOWN((N$35-$B50)/Reference!$D$28,0)&lt;2,0.5,IF(ROUNDDOWN((N$35-$B50)/Reference!$D$28,0)&lt;3,0.75,IF(ROUNDDOWN((N$35-$B50)/Reference!$D$28,0)&lt;4,0.875,0.9375)))))</f>
        <v>4.4373115401321046</v>
      </c>
      <c r="O50" s="135">
        <f>HLOOKUP($B50,$C$35:$Q$36,2,FALSE)*Reference!$C$23*(1-IF(ROUNDDOWN((O$35-$B50)/Reference!$D$23,0)&lt;1,0,IF(ROUNDDOWN((O$35-$B50)/Reference!$D$23,0)&lt;2,0.5,IF(ROUNDDOWN((O$35-$B50)/Reference!$D$23,0)&lt;3,0.75,IF(ROUNDDOWN((O$35-$B50)/Reference!$D$23,0)&lt;4,0.875,0.9375)))))+HLOOKUP($B50,$C$35:$Q$36,2,FALSE)*Reference!$C$24*(1-IF(ROUNDDOWN((O$35-$B50)/Reference!$D$24,0)&lt;1,0,IF(ROUNDDOWN((O$35-$B50)/Reference!$D$24,0)&lt;2,0.5,IF(ROUNDDOWN((O$35-$B50)/Reference!$D$24,0)&lt;3,0.75,IF(ROUNDDOWN((O$35-$B50)/Reference!$D$24,0)&lt;4,0.875,0.9375)))))+HLOOKUP($B50,$C$35:$Q$36,2,FALSE)*Reference!$C$25*(1-IF(ROUNDDOWN((O$35-$B50)/Reference!$D$25,0)&lt;1,0,IF(ROUNDDOWN((O$35-$B50)/Reference!$D$25,0)&lt;2,0.5,IF(ROUNDDOWN((O$35-$B50)/Reference!$D$25,0)&lt;3,0.75,IF(ROUNDDOWN((O$35-$B50)/Reference!$D$25,0)&lt;4,0.875,0.9375)))))+HLOOKUP($B50,$C$35:$Q$36,2,FALSE)*Reference!$C$26*(1-IF(ROUNDDOWN((O$35-$B50)/Reference!$D$26,0)&lt;1,0,IF(ROUNDDOWN((O$35-$B50)/Reference!$D$26,0)&lt;2,0.5,IF(ROUNDDOWN((O$35-$B50)/Reference!$D$26,0)&lt;3,0.75,IF(ROUNDDOWN((O$35-$B50)/Reference!$D$26,0)&lt;4,0.875,0.9375)))))+HLOOKUP($B50,$C$35:$Q$36,2,FALSE)*Reference!$C$27*(1-IF(ROUNDDOWN((O$35-$B50)/Reference!$D$27,0)&lt;1,0,IF(ROUNDDOWN((O$35-$B50)/Reference!$D$27,0)&lt;2,0.5,IF(ROUNDDOWN((O$35-$B50)/Reference!$D$27,0)&lt;3,0.75,IF(ROUNDDOWN((O$35-$B50)/Reference!$D$27,0)&lt;4,0.875,0.9375)))))+HLOOKUP($B50,$C$35:$Q$36,2,FALSE)*Reference!$C$28*(1-IF(ROUNDDOWN((O$35-$B50)/Reference!$D$28,0)&lt;1,0,IF(ROUNDDOWN((O$35-$B50)/Reference!$D$28,0)&lt;2,0.5,IF(ROUNDDOWN((O$35-$B50)/Reference!$D$28,0)&lt;3,0.75,IF(ROUNDDOWN((O$35-$B50)/Reference!$D$28,0)&lt;4,0.875,0.9375)))))</f>
        <v>4.4373115401321046</v>
      </c>
      <c r="P50" s="135">
        <f>HLOOKUP($B50,$C$35:$Q$36,2,FALSE)*Reference!$C$23*(1-IF(ROUNDDOWN((P$35-$B50)/Reference!$D$23,0)&lt;1,0,IF(ROUNDDOWN((P$35-$B50)/Reference!$D$23,0)&lt;2,0.5,IF(ROUNDDOWN((P$35-$B50)/Reference!$D$23,0)&lt;3,0.75,IF(ROUNDDOWN((P$35-$B50)/Reference!$D$23,0)&lt;4,0.875,0.9375)))))+HLOOKUP($B50,$C$35:$Q$36,2,FALSE)*Reference!$C$24*(1-IF(ROUNDDOWN((P$35-$B50)/Reference!$D$24,0)&lt;1,0,IF(ROUNDDOWN((P$35-$B50)/Reference!$D$24,0)&lt;2,0.5,IF(ROUNDDOWN((P$35-$B50)/Reference!$D$24,0)&lt;3,0.75,IF(ROUNDDOWN((P$35-$B50)/Reference!$D$24,0)&lt;4,0.875,0.9375)))))+HLOOKUP($B50,$C$35:$Q$36,2,FALSE)*Reference!$C$25*(1-IF(ROUNDDOWN((P$35-$B50)/Reference!$D$25,0)&lt;1,0,IF(ROUNDDOWN((P$35-$B50)/Reference!$D$25,0)&lt;2,0.5,IF(ROUNDDOWN((P$35-$B50)/Reference!$D$25,0)&lt;3,0.75,IF(ROUNDDOWN((P$35-$B50)/Reference!$D$25,0)&lt;4,0.875,0.9375)))))+HLOOKUP($B50,$C$35:$Q$36,2,FALSE)*Reference!$C$26*(1-IF(ROUNDDOWN((P$35-$B50)/Reference!$D$26,0)&lt;1,0,IF(ROUNDDOWN((P$35-$B50)/Reference!$D$26,0)&lt;2,0.5,IF(ROUNDDOWN((P$35-$B50)/Reference!$D$26,0)&lt;3,0.75,IF(ROUNDDOWN((P$35-$B50)/Reference!$D$26,0)&lt;4,0.875,0.9375)))))+HLOOKUP($B50,$C$35:$Q$36,2,FALSE)*Reference!$C$27*(1-IF(ROUNDDOWN((P$35-$B50)/Reference!$D$27,0)&lt;1,0,IF(ROUNDDOWN((P$35-$B50)/Reference!$D$27,0)&lt;2,0.5,IF(ROUNDDOWN((P$35-$B50)/Reference!$D$27,0)&lt;3,0.75,IF(ROUNDDOWN((P$35-$B50)/Reference!$D$27,0)&lt;4,0.875,0.9375)))))+HLOOKUP($B50,$C$35:$Q$36,2,FALSE)*Reference!$C$28*(1-IF(ROUNDDOWN((P$35-$B50)/Reference!$D$28,0)&lt;1,0,IF(ROUNDDOWN((P$35-$B50)/Reference!$D$28,0)&lt;2,0.5,IF(ROUNDDOWN((P$35-$B50)/Reference!$D$28,0)&lt;3,0.75,IF(ROUNDDOWN((P$35-$B50)/Reference!$D$28,0)&lt;4,0.875,0.9375)))))</f>
        <v>4.4373115401321046</v>
      </c>
      <c r="Q50" s="135">
        <f>HLOOKUP($B50,$C$35:$Q$36,2,FALSE)*Reference!$C$23*(1-IF(ROUNDDOWN((Q$35-$B50)/Reference!$D$23,0)&lt;1,0,IF(ROUNDDOWN((Q$35-$B50)/Reference!$D$23,0)&lt;2,0.5,IF(ROUNDDOWN((Q$35-$B50)/Reference!$D$23,0)&lt;3,0.75,IF(ROUNDDOWN((Q$35-$B50)/Reference!$D$23,0)&lt;4,0.875,0.9375)))))+HLOOKUP($B50,$C$35:$Q$36,2,FALSE)*Reference!$C$24*(1-IF(ROUNDDOWN((Q$35-$B50)/Reference!$D$24,0)&lt;1,0,IF(ROUNDDOWN((Q$35-$B50)/Reference!$D$24,0)&lt;2,0.5,IF(ROUNDDOWN((Q$35-$B50)/Reference!$D$24,0)&lt;3,0.75,IF(ROUNDDOWN((Q$35-$B50)/Reference!$D$24,0)&lt;4,0.875,0.9375)))))+HLOOKUP($B50,$C$35:$Q$36,2,FALSE)*Reference!$C$25*(1-IF(ROUNDDOWN((Q$35-$B50)/Reference!$D$25,0)&lt;1,0,IF(ROUNDDOWN((Q$35-$B50)/Reference!$D$25,0)&lt;2,0.5,IF(ROUNDDOWN((Q$35-$B50)/Reference!$D$25,0)&lt;3,0.75,IF(ROUNDDOWN((Q$35-$B50)/Reference!$D$25,0)&lt;4,0.875,0.9375)))))+HLOOKUP($B50,$C$35:$Q$36,2,FALSE)*Reference!$C$26*(1-IF(ROUNDDOWN((Q$35-$B50)/Reference!$D$26,0)&lt;1,0,IF(ROUNDDOWN((Q$35-$B50)/Reference!$D$26,0)&lt;2,0.5,IF(ROUNDDOWN((Q$35-$B50)/Reference!$D$26,0)&lt;3,0.75,IF(ROUNDDOWN((Q$35-$B50)/Reference!$D$26,0)&lt;4,0.875,0.9375)))))+HLOOKUP($B50,$C$35:$Q$36,2,FALSE)*Reference!$C$27*(1-IF(ROUNDDOWN((Q$35-$B50)/Reference!$D$27,0)&lt;1,0,IF(ROUNDDOWN((Q$35-$B50)/Reference!$D$27,0)&lt;2,0.5,IF(ROUNDDOWN((Q$35-$B50)/Reference!$D$27,0)&lt;3,0.75,IF(ROUNDDOWN((Q$35-$B50)/Reference!$D$27,0)&lt;4,0.875,0.9375)))))+HLOOKUP($B50,$C$35:$Q$36,2,FALSE)*Reference!$C$28*(1-IF(ROUNDDOWN((Q$35-$B50)/Reference!$D$28,0)&lt;1,0,IF(ROUNDDOWN((Q$35-$B50)/Reference!$D$28,0)&lt;2,0.5,IF(ROUNDDOWN((Q$35-$B50)/Reference!$D$28,0)&lt;3,0.75,IF(ROUNDDOWN((Q$35-$B50)/Reference!$D$28,0)&lt;4,0.875,0.9375)))))</f>
        <v>4.2465071439064239</v>
      </c>
      <c r="R50" s="50"/>
    </row>
    <row r="51" spans="2:18" x14ac:dyDescent="0.3">
      <c r="B51" s="237">
        <f t="shared" si="5"/>
        <v>2027</v>
      </c>
      <c r="C51" s="135"/>
      <c r="D51" s="135"/>
      <c r="E51" s="135"/>
      <c r="F51" s="135"/>
      <c r="G51" s="135"/>
      <c r="H51" s="135"/>
      <c r="I51" s="135"/>
      <c r="J51" s="135"/>
      <c r="K51" s="135"/>
      <c r="L51" s="135"/>
      <c r="M51" s="135"/>
      <c r="N51" s="135"/>
      <c r="O51" s="135">
        <f>HLOOKUP($B51,$C$35:$Q$36,2,FALSE)*Reference!$C$23*(1-IF(ROUNDDOWN((O$35-$B51)/Reference!$D$23,0)&lt;1,0,IF(ROUNDDOWN((O$35-$B51)/Reference!$D$23,0)&lt;2,0.5,IF(ROUNDDOWN((O$35-$B51)/Reference!$D$23,0)&lt;3,0.75,IF(ROUNDDOWN((O$35-$B51)/Reference!$D$23,0)&lt;4,0.875,0.9375)))))+HLOOKUP($B51,$C$35:$Q$36,2,FALSE)*Reference!$C$24*(1-IF(ROUNDDOWN((O$35-$B51)/Reference!$D$24,0)&lt;1,0,IF(ROUNDDOWN((O$35-$B51)/Reference!$D$24,0)&lt;2,0.5,IF(ROUNDDOWN((O$35-$B51)/Reference!$D$24,0)&lt;3,0.75,IF(ROUNDDOWN((O$35-$B51)/Reference!$D$24,0)&lt;4,0.875,0.9375)))))+HLOOKUP($B51,$C$35:$Q$36,2,FALSE)*Reference!$C$25*(1-IF(ROUNDDOWN((O$35-$B51)/Reference!$D$25,0)&lt;1,0,IF(ROUNDDOWN((O$35-$B51)/Reference!$D$25,0)&lt;2,0.5,IF(ROUNDDOWN((O$35-$B51)/Reference!$D$25,0)&lt;3,0.75,IF(ROUNDDOWN((O$35-$B51)/Reference!$D$25,0)&lt;4,0.875,0.9375)))))+HLOOKUP($B51,$C$35:$Q$36,2,FALSE)*Reference!$C$26*(1-IF(ROUNDDOWN((O$35-$B51)/Reference!$D$26,0)&lt;1,0,IF(ROUNDDOWN((O$35-$B51)/Reference!$D$26,0)&lt;2,0.5,IF(ROUNDDOWN((O$35-$B51)/Reference!$D$26,0)&lt;3,0.75,IF(ROUNDDOWN((O$35-$B51)/Reference!$D$26,0)&lt;4,0.875,0.9375)))))+HLOOKUP($B51,$C$35:$Q$36,2,FALSE)*Reference!$C$27*(1-IF(ROUNDDOWN((O$35-$B51)/Reference!$D$27,0)&lt;1,0,IF(ROUNDDOWN((O$35-$B51)/Reference!$D$27,0)&lt;2,0.5,IF(ROUNDDOWN((O$35-$B51)/Reference!$D$27,0)&lt;3,0.75,IF(ROUNDDOWN((O$35-$B51)/Reference!$D$27,0)&lt;4,0.875,0.9375)))))+HLOOKUP($B51,$C$35:$Q$36,2,FALSE)*Reference!$C$28*(1-IF(ROUNDDOWN((O$35-$B51)/Reference!$D$28,0)&lt;1,0,IF(ROUNDDOWN((O$35-$B51)/Reference!$D$28,0)&lt;2,0.5,IF(ROUNDDOWN((O$35-$B51)/Reference!$D$28,0)&lt;3,0.75,IF(ROUNDDOWN((O$35-$B51)/Reference!$D$28,0)&lt;4,0.875,0.9375)))))</f>
        <v>4.4373115401321046</v>
      </c>
      <c r="P51" s="135">
        <f>HLOOKUP($B51,$C$35:$Q$36,2,FALSE)*Reference!$C$23*(1-IF(ROUNDDOWN((P$35-$B51)/Reference!$D$23,0)&lt;1,0,IF(ROUNDDOWN((P$35-$B51)/Reference!$D$23,0)&lt;2,0.5,IF(ROUNDDOWN((P$35-$B51)/Reference!$D$23,0)&lt;3,0.75,IF(ROUNDDOWN((P$35-$B51)/Reference!$D$23,0)&lt;4,0.875,0.9375)))))+HLOOKUP($B51,$C$35:$Q$36,2,FALSE)*Reference!$C$24*(1-IF(ROUNDDOWN((P$35-$B51)/Reference!$D$24,0)&lt;1,0,IF(ROUNDDOWN((P$35-$B51)/Reference!$D$24,0)&lt;2,0.5,IF(ROUNDDOWN((P$35-$B51)/Reference!$D$24,0)&lt;3,0.75,IF(ROUNDDOWN((P$35-$B51)/Reference!$D$24,0)&lt;4,0.875,0.9375)))))+HLOOKUP($B51,$C$35:$Q$36,2,FALSE)*Reference!$C$25*(1-IF(ROUNDDOWN((P$35-$B51)/Reference!$D$25,0)&lt;1,0,IF(ROUNDDOWN((P$35-$B51)/Reference!$D$25,0)&lt;2,0.5,IF(ROUNDDOWN((P$35-$B51)/Reference!$D$25,0)&lt;3,0.75,IF(ROUNDDOWN((P$35-$B51)/Reference!$D$25,0)&lt;4,0.875,0.9375)))))+HLOOKUP($B51,$C$35:$Q$36,2,FALSE)*Reference!$C$26*(1-IF(ROUNDDOWN((P$35-$B51)/Reference!$D$26,0)&lt;1,0,IF(ROUNDDOWN((P$35-$B51)/Reference!$D$26,0)&lt;2,0.5,IF(ROUNDDOWN((P$35-$B51)/Reference!$D$26,0)&lt;3,0.75,IF(ROUNDDOWN((P$35-$B51)/Reference!$D$26,0)&lt;4,0.875,0.9375)))))+HLOOKUP($B51,$C$35:$Q$36,2,FALSE)*Reference!$C$27*(1-IF(ROUNDDOWN((P$35-$B51)/Reference!$D$27,0)&lt;1,0,IF(ROUNDDOWN((P$35-$B51)/Reference!$D$27,0)&lt;2,0.5,IF(ROUNDDOWN((P$35-$B51)/Reference!$D$27,0)&lt;3,0.75,IF(ROUNDDOWN((P$35-$B51)/Reference!$D$27,0)&lt;4,0.875,0.9375)))))+HLOOKUP($B51,$C$35:$Q$36,2,FALSE)*Reference!$C$28*(1-IF(ROUNDDOWN((P$35-$B51)/Reference!$D$28,0)&lt;1,0,IF(ROUNDDOWN((P$35-$B51)/Reference!$D$28,0)&lt;2,0.5,IF(ROUNDDOWN((P$35-$B51)/Reference!$D$28,0)&lt;3,0.75,IF(ROUNDDOWN((P$35-$B51)/Reference!$D$28,0)&lt;4,0.875,0.9375)))))</f>
        <v>4.4373115401321046</v>
      </c>
      <c r="Q51" s="135">
        <f>HLOOKUP($B51,$C$35:$Q$36,2,FALSE)*Reference!$C$23*(1-IF(ROUNDDOWN((Q$35-$B51)/Reference!$D$23,0)&lt;1,0,IF(ROUNDDOWN((Q$35-$B51)/Reference!$D$23,0)&lt;2,0.5,IF(ROUNDDOWN((Q$35-$B51)/Reference!$D$23,0)&lt;3,0.75,IF(ROUNDDOWN((Q$35-$B51)/Reference!$D$23,0)&lt;4,0.875,0.9375)))))+HLOOKUP($B51,$C$35:$Q$36,2,FALSE)*Reference!$C$24*(1-IF(ROUNDDOWN((Q$35-$B51)/Reference!$D$24,0)&lt;1,0,IF(ROUNDDOWN((Q$35-$B51)/Reference!$D$24,0)&lt;2,0.5,IF(ROUNDDOWN((Q$35-$B51)/Reference!$D$24,0)&lt;3,0.75,IF(ROUNDDOWN((Q$35-$B51)/Reference!$D$24,0)&lt;4,0.875,0.9375)))))+HLOOKUP($B51,$C$35:$Q$36,2,FALSE)*Reference!$C$25*(1-IF(ROUNDDOWN((Q$35-$B51)/Reference!$D$25,0)&lt;1,0,IF(ROUNDDOWN((Q$35-$B51)/Reference!$D$25,0)&lt;2,0.5,IF(ROUNDDOWN((Q$35-$B51)/Reference!$D$25,0)&lt;3,0.75,IF(ROUNDDOWN((Q$35-$B51)/Reference!$D$25,0)&lt;4,0.875,0.9375)))))+HLOOKUP($B51,$C$35:$Q$36,2,FALSE)*Reference!$C$26*(1-IF(ROUNDDOWN((Q$35-$B51)/Reference!$D$26,0)&lt;1,0,IF(ROUNDDOWN((Q$35-$B51)/Reference!$D$26,0)&lt;2,0.5,IF(ROUNDDOWN((Q$35-$B51)/Reference!$D$26,0)&lt;3,0.75,IF(ROUNDDOWN((Q$35-$B51)/Reference!$D$26,0)&lt;4,0.875,0.9375)))))+HLOOKUP($B51,$C$35:$Q$36,2,FALSE)*Reference!$C$27*(1-IF(ROUNDDOWN((Q$35-$B51)/Reference!$D$27,0)&lt;1,0,IF(ROUNDDOWN((Q$35-$B51)/Reference!$D$27,0)&lt;2,0.5,IF(ROUNDDOWN((Q$35-$B51)/Reference!$D$27,0)&lt;3,0.75,IF(ROUNDDOWN((Q$35-$B51)/Reference!$D$27,0)&lt;4,0.875,0.9375)))))+HLOOKUP($B51,$C$35:$Q$36,2,FALSE)*Reference!$C$28*(1-IF(ROUNDDOWN((Q$35-$B51)/Reference!$D$28,0)&lt;1,0,IF(ROUNDDOWN((Q$35-$B51)/Reference!$D$28,0)&lt;2,0.5,IF(ROUNDDOWN((Q$35-$B51)/Reference!$D$28,0)&lt;3,0.75,IF(ROUNDDOWN((Q$35-$B51)/Reference!$D$28,0)&lt;4,0.875,0.9375)))))</f>
        <v>4.4373115401321046</v>
      </c>
      <c r="R51" s="50"/>
    </row>
    <row r="52" spans="2:18" x14ac:dyDescent="0.3">
      <c r="B52" s="237">
        <f t="shared" si="5"/>
        <v>2028</v>
      </c>
      <c r="C52" s="135"/>
      <c r="D52" s="135"/>
      <c r="E52" s="135"/>
      <c r="F52" s="135"/>
      <c r="G52" s="135"/>
      <c r="H52" s="135"/>
      <c r="I52" s="135"/>
      <c r="J52" s="135"/>
      <c r="K52" s="135"/>
      <c r="L52" s="135"/>
      <c r="M52" s="135"/>
      <c r="N52" s="135"/>
      <c r="O52" s="135"/>
      <c r="P52" s="135">
        <f>HLOOKUP($B52,$C$35:$Q$36,2,FALSE)*Reference!$C$23*(1-IF(ROUNDDOWN((P$35-$B52)/Reference!$D$23,0)&lt;1,0,IF(ROUNDDOWN((P$35-$B52)/Reference!$D$23,0)&lt;2,0.5,IF(ROUNDDOWN((P$35-$B52)/Reference!$D$23,0)&lt;3,0.75,IF(ROUNDDOWN((P$35-$B52)/Reference!$D$23,0)&lt;4,0.875,0.9375)))))+HLOOKUP($B52,$C$35:$Q$36,2,FALSE)*Reference!$C$24*(1-IF(ROUNDDOWN((P$35-$B52)/Reference!$D$24,0)&lt;1,0,IF(ROUNDDOWN((P$35-$B52)/Reference!$D$24,0)&lt;2,0.5,IF(ROUNDDOWN((P$35-$B52)/Reference!$D$24,0)&lt;3,0.75,IF(ROUNDDOWN((P$35-$B52)/Reference!$D$24,0)&lt;4,0.875,0.9375)))))+HLOOKUP($B52,$C$35:$Q$36,2,FALSE)*Reference!$C$25*(1-IF(ROUNDDOWN((P$35-$B52)/Reference!$D$25,0)&lt;1,0,IF(ROUNDDOWN((P$35-$B52)/Reference!$D$25,0)&lt;2,0.5,IF(ROUNDDOWN((P$35-$B52)/Reference!$D$25,0)&lt;3,0.75,IF(ROUNDDOWN((P$35-$B52)/Reference!$D$25,0)&lt;4,0.875,0.9375)))))+HLOOKUP($B52,$C$35:$Q$36,2,FALSE)*Reference!$C$26*(1-IF(ROUNDDOWN((P$35-$B52)/Reference!$D$26,0)&lt;1,0,IF(ROUNDDOWN((P$35-$B52)/Reference!$D$26,0)&lt;2,0.5,IF(ROUNDDOWN((P$35-$B52)/Reference!$D$26,0)&lt;3,0.75,IF(ROUNDDOWN((P$35-$B52)/Reference!$D$26,0)&lt;4,0.875,0.9375)))))+HLOOKUP($B52,$C$35:$Q$36,2,FALSE)*Reference!$C$27*(1-IF(ROUNDDOWN((P$35-$B52)/Reference!$D$27,0)&lt;1,0,IF(ROUNDDOWN((P$35-$B52)/Reference!$D$27,0)&lt;2,0.5,IF(ROUNDDOWN((P$35-$B52)/Reference!$D$27,0)&lt;3,0.75,IF(ROUNDDOWN((P$35-$B52)/Reference!$D$27,0)&lt;4,0.875,0.9375)))))+HLOOKUP($B52,$C$35:$Q$36,2,FALSE)*Reference!$C$28*(1-IF(ROUNDDOWN((P$35-$B52)/Reference!$D$28,0)&lt;1,0,IF(ROUNDDOWN((P$35-$B52)/Reference!$D$28,0)&lt;2,0.5,IF(ROUNDDOWN((P$35-$B52)/Reference!$D$28,0)&lt;3,0.75,IF(ROUNDDOWN((P$35-$B52)/Reference!$D$28,0)&lt;4,0.875,0.9375)))))</f>
        <v>4.4373115401321046</v>
      </c>
      <c r="Q52" s="135">
        <f>HLOOKUP($B52,$C$35:$Q$36,2,FALSE)*Reference!$C$23*(1-IF(ROUNDDOWN((Q$35-$B52)/Reference!$D$23,0)&lt;1,0,IF(ROUNDDOWN((Q$35-$B52)/Reference!$D$23,0)&lt;2,0.5,IF(ROUNDDOWN((Q$35-$B52)/Reference!$D$23,0)&lt;3,0.75,IF(ROUNDDOWN((Q$35-$B52)/Reference!$D$23,0)&lt;4,0.875,0.9375)))))+HLOOKUP($B52,$C$35:$Q$36,2,FALSE)*Reference!$C$24*(1-IF(ROUNDDOWN((Q$35-$B52)/Reference!$D$24,0)&lt;1,0,IF(ROUNDDOWN((Q$35-$B52)/Reference!$D$24,0)&lt;2,0.5,IF(ROUNDDOWN((Q$35-$B52)/Reference!$D$24,0)&lt;3,0.75,IF(ROUNDDOWN((Q$35-$B52)/Reference!$D$24,0)&lt;4,0.875,0.9375)))))+HLOOKUP($B52,$C$35:$Q$36,2,FALSE)*Reference!$C$25*(1-IF(ROUNDDOWN((Q$35-$B52)/Reference!$D$25,0)&lt;1,0,IF(ROUNDDOWN((Q$35-$B52)/Reference!$D$25,0)&lt;2,0.5,IF(ROUNDDOWN((Q$35-$B52)/Reference!$D$25,0)&lt;3,0.75,IF(ROUNDDOWN((Q$35-$B52)/Reference!$D$25,0)&lt;4,0.875,0.9375)))))+HLOOKUP($B52,$C$35:$Q$36,2,FALSE)*Reference!$C$26*(1-IF(ROUNDDOWN((Q$35-$B52)/Reference!$D$26,0)&lt;1,0,IF(ROUNDDOWN((Q$35-$B52)/Reference!$D$26,0)&lt;2,0.5,IF(ROUNDDOWN((Q$35-$B52)/Reference!$D$26,0)&lt;3,0.75,IF(ROUNDDOWN((Q$35-$B52)/Reference!$D$26,0)&lt;4,0.875,0.9375)))))+HLOOKUP($B52,$C$35:$Q$36,2,FALSE)*Reference!$C$27*(1-IF(ROUNDDOWN((Q$35-$B52)/Reference!$D$27,0)&lt;1,0,IF(ROUNDDOWN((Q$35-$B52)/Reference!$D$27,0)&lt;2,0.5,IF(ROUNDDOWN((Q$35-$B52)/Reference!$D$27,0)&lt;3,0.75,IF(ROUNDDOWN((Q$35-$B52)/Reference!$D$27,0)&lt;4,0.875,0.9375)))))+HLOOKUP($B52,$C$35:$Q$36,2,FALSE)*Reference!$C$28*(1-IF(ROUNDDOWN((Q$35-$B52)/Reference!$D$28,0)&lt;1,0,IF(ROUNDDOWN((Q$35-$B52)/Reference!$D$28,0)&lt;2,0.5,IF(ROUNDDOWN((Q$35-$B52)/Reference!$D$28,0)&lt;3,0.75,IF(ROUNDDOWN((Q$35-$B52)/Reference!$D$28,0)&lt;4,0.875,0.9375)))))</f>
        <v>4.4373115401321046</v>
      </c>
      <c r="R52" s="50"/>
    </row>
    <row r="53" spans="2:18" x14ac:dyDescent="0.3">
      <c r="B53" s="237">
        <f t="shared" si="5"/>
        <v>2029</v>
      </c>
      <c r="C53" s="135"/>
      <c r="D53" s="135"/>
      <c r="E53" s="135"/>
      <c r="F53" s="135"/>
      <c r="G53" s="135"/>
      <c r="H53" s="135"/>
      <c r="I53" s="135"/>
      <c r="J53" s="135"/>
      <c r="K53" s="135"/>
      <c r="L53" s="135"/>
      <c r="M53" s="135"/>
      <c r="N53" s="135"/>
      <c r="O53" s="135"/>
      <c r="P53" s="135"/>
      <c r="Q53" s="135">
        <f>HLOOKUP($B53,$C$35:$Q$36,2,FALSE)*Reference!$C$23*(1-IF(ROUNDDOWN((Q$35-$B53)/Reference!$D$23,0)&lt;1,0,IF(ROUNDDOWN((Q$35-$B53)/Reference!$D$23,0)&lt;2,0.5,IF(ROUNDDOWN((Q$35-$B53)/Reference!$D$23,0)&lt;3,0.75,IF(ROUNDDOWN((Q$35-$B53)/Reference!$D$23,0)&lt;4,0.875,0.9375)))))+HLOOKUP($B53,$C$35:$Q$36,2,FALSE)*Reference!$C$24*(1-IF(ROUNDDOWN((Q$35-$B53)/Reference!$D$24,0)&lt;1,0,IF(ROUNDDOWN((Q$35-$B53)/Reference!$D$24,0)&lt;2,0.5,IF(ROUNDDOWN((Q$35-$B53)/Reference!$D$24,0)&lt;3,0.75,IF(ROUNDDOWN((Q$35-$B53)/Reference!$D$24,0)&lt;4,0.875,0.9375)))))+HLOOKUP($B53,$C$35:$Q$36,2,FALSE)*Reference!$C$25*(1-IF(ROUNDDOWN((Q$35-$B53)/Reference!$D$25,0)&lt;1,0,IF(ROUNDDOWN((Q$35-$B53)/Reference!$D$25,0)&lt;2,0.5,IF(ROUNDDOWN((Q$35-$B53)/Reference!$D$25,0)&lt;3,0.75,IF(ROUNDDOWN((Q$35-$B53)/Reference!$D$25,0)&lt;4,0.875,0.9375)))))+HLOOKUP($B53,$C$35:$Q$36,2,FALSE)*Reference!$C$26*(1-IF(ROUNDDOWN((Q$35-$B53)/Reference!$D$26,0)&lt;1,0,IF(ROUNDDOWN((Q$35-$B53)/Reference!$D$26,0)&lt;2,0.5,IF(ROUNDDOWN((Q$35-$B53)/Reference!$D$26,0)&lt;3,0.75,IF(ROUNDDOWN((Q$35-$B53)/Reference!$D$26,0)&lt;4,0.875,0.9375)))))+HLOOKUP($B53,$C$35:$Q$36,2,FALSE)*Reference!$C$27*(1-IF(ROUNDDOWN((Q$35-$B53)/Reference!$D$27,0)&lt;1,0,IF(ROUNDDOWN((Q$35-$B53)/Reference!$D$27,0)&lt;2,0.5,IF(ROUNDDOWN((Q$35-$B53)/Reference!$D$27,0)&lt;3,0.75,IF(ROUNDDOWN((Q$35-$B53)/Reference!$D$27,0)&lt;4,0.875,0.9375)))))+HLOOKUP($B53,$C$35:$Q$36,2,FALSE)*Reference!$C$28*(1-IF(ROUNDDOWN((Q$35-$B53)/Reference!$D$28,0)&lt;1,0,IF(ROUNDDOWN((Q$35-$B53)/Reference!$D$28,0)&lt;2,0.5,IF(ROUNDDOWN((Q$35-$B53)/Reference!$D$28,0)&lt;3,0.75,IF(ROUNDDOWN((Q$35-$B53)/Reference!$D$28,0)&lt;4,0.875,0.9375)))))</f>
        <v>4.4373115401321046</v>
      </c>
      <c r="R53" s="50"/>
    </row>
    <row r="54" spans="2:18" x14ac:dyDescent="0.3">
      <c r="B54" s="51"/>
      <c r="C54" s="241"/>
      <c r="D54" s="241"/>
      <c r="E54" s="241"/>
      <c r="F54" s="241"/>
      <c r="G54" s="241"/>
      <c r="H54" s="241"/>
      <c r="I54" s="241"/>
      <c r="J54" s="241"/>
      <c r="K54" s="241"/>
      <c r="L54" s="241"/>
      <c r="M54" s="241"/>
      <c r="N54" s="241"/>
      <c r="O54" s="241"/>
      <c r="P54" s="241"/>
      <c r="Q54" s="241"/>
      <c r="R54" s="50"/>
    </row>
    <row r="55" spans="2:18" x14ac:dyDescent="0.3">
      <c r="B55" s="242" t="s">
        <v>371</v>
      </c>
      <c r="C55" s="247">
        <f t="shared" ref="C55:Q55" si="6">SUM(C39:C53)</f>
        <v>0</v>
      </c>
      <c r="D55" s="247">
        <f t="shared" si="6"/>
        <v>0</v>
      </c>
      <c r="E55" s="247">
        <f t="shared" si="6"/>
        <v>0</v>
      </c>
      <c r="F55" s="247">
        <f t="shared" si="6"/>
        <v>0</v>
      </c>
      <c r="G55" s="247">
        <f t="shared" si="6"/>
        <v>0</v>
      </c>
      <c r="H55" s="247">
        <f t="shared" si="6"/>
        <v>0</v>
      </c>
      <c r="I55" s="247">
        <f t="shared" si="6"/>
        <v>4.4373115401321046</v>
      </c>
      <c r="J55" s="247">
        <f t="shared" si="6"/>
        <v>8.8746230802642092</v>
      </c>
      <c r="K55" s="247">
        <f t="shared" si="6"/>
        <v>13.311934620396315</v>
      </c>
      <c r="L55" s="247">
        <f t="shared" si="6"/>
        <v>17.558441764302735</v>
      </c>
      <c r="M55" s="247">
        <f t="shared" si="6"/>
        <v>21.804948908209159</v>
      </c>
      <c r="N55" s="247">
        <f t="shared" si="6"/>
        <v>26.051456052115583</v>
      </c>
      <c r="O55" s="247">
        <f t="shared" si="6"/>
        <v>30.202560997909167</v>
      </c>
      <c r="P55" s="247">
        <f t="shared" si="6"/>
        <v>34.353665943702751</v>
      </c>
      <c r="Q55" s="247">
        <f t="shared" si="6"/>
        <v>38.327278427891052</v>
      </c>
      <c r="R55" s="50"/>
    </row>
    <row r="56" spans="2:18" x14ac:dyDescent="0.3">
      <c r="B56" s="51"/>
      <c r="C56" s="3"/>
      <c r="D56" s="3"/>
      <c r="E56" s="3"/>
      <c r="F56" s="3"/>
      <c r="G56" s="3"/>
      <c r="H56" s="3"/>
      <c r="I56" s="3"/>
      <c r="J56" s="3"/>
      <c r="K56" s="3"/>
      <c r="L56" s="3"/>
      <c r="M56" s="3"/>
      <c r="N56" s="3"/>
      <c r="O56" s="3"/>
      <c r="P56" s="3"/>
      <c r="Q56" s="3"/>
      <c r="R56" s="50"/>
    </row>
    <row r="57" spans="2:18" x14ac:dyDescent="0.3">
      <c r="B57" s="51"/>
      <c r="C57" s="3"/>
      <c r="D57" s="3"/>
      <c r="E57" s="3"/>
      <c r="F57" s="3"/>
      <c r="G57" s="3"/>
      <c r="H57" s="3"/>
      <c r="I57" s="3"/>
      <c r="J57" s="3"/>
      <c r="K57" s="3"/>
      <c r="L57" s="3"/>
      <c r="M57" s="3"/>
      <c r="N57" s="3"/>
      <c r="O57" s="3"/>
      <c r="P57" s="3"/>
      <c r="Q57" s="3"/>
      <c r="R57" s="50"/>
    </row>
    <row r="58" spans="2:18" x14ac:dyDescent="0.3">
      <c r="B58" s="51"/>
      <c r="C58" s="3" t="s">
        <v>372</v>
      </c>
      <c r="D58" s="3"/>
      <c r="E58" s="3"/>
      <c r="F58" s="3"/>
      <c r="G58" s="3"/>
      <c r="H58" s="3"/>
      <c r="I58" s="3"/>
      <c r="J58" s="3"/>
      <c r="K58" s="3"/>
      <c r="L58" s="3"/>
      <c r="M58" s="3"/>
      <c r="N58" s="3"/>
      <c r="O58" s="3"/>
      <c r="P58" s="3"/>
      <c r="Q58" s="3"/>
      <c r="R58" s="50"/>
    </row>
    <row r="59" spans="2:18" x14ac:dyDescent="0.3">
      <c r="B59" s="51"/>
      <c r="C59" s="131">
        <f t="shared" ref="C59:Q59" si="7">C62</f>
        <v>2015</v>
      </c>
      <c r="D59" s="131">
        <f t="shared" si="7"/>
        <v>2016</v>
      </c>
      <c r="E59" s="131">
        <f t="shared" si="7"/>
        <v>2017</v>
      </c>
      <c r="F59" s="131">
        <f t="shared" si="7"/>
        <v>2018</v>
      </c>
      <c r="G59" s="131">
        <f t="shared" si="7"/>
        <v>2019</v>
      </c>
      <c r="H59" s="131">
        <f t="shared" si="7"/>
        <v>2020</v>
      </c>
      <c r="I59" s="131">
        <f t="shared" si="7"/>
        <v>2021</v>
      </c>
      <c r="J59" s="131">
        <f t="shared" si="7"/>
        <v>2022</v>
      </c>
      <c r="K59" s="131">
        <f t="shared" si="7"/>
        <v>2023</v>
      </c>
      <c r="L59" s="131">
        <f t="shared" si="7"/>
        <v>2024</v>
      </c>
      <c r="M59" s="131">
        <f t="shared" si="7"/>
        <v>2025</v>
      </c>
      <c r="N59" s="131">
        <f t="shared" si="7"/>
        <v>2026</v>
      </c>
      <c r="O59" s="131">
        <f t="shared" si="7"/>
        <v>2027</v>
      </c>
      <c r="P59" s="131">
        <f t="shared" si="7"/>
        <v>2028</v>
      </c>
      <c r="Q59" s="131">
        <f t="shared" si="7"/>
        <v>2029</v>
      </c>
      <c r="R59" s="50"/>
    </row>
    <row r="60" spans="2:18" x14ac:dyDescent="0.3">
      <c r="B60" s="51"/>
      <c r="C60" s="134">
        <f>C18</f>
        <v>0</v>
      </c>
      <c r="D60" s="134">
        <f t="shared" ref="D60:Q60" si="8">D18</f>
        <v>0</v>
      </c>
      <c r="E60" s="134">
        <f t="shared" si="8"/>
        <v>0</v>
      </c>
      <c r="F60" s="134">
        <f t="shared" si="8"/>
        <v>0</v>
      </c>
      <c r="G60" s="134">
        <f t="shared" si="8"/>
        <v>0</v>
      </c>
      <c r="H60" s="134">
        <f t="shared" si="8"/>
        <v>0</v>
      </c>
      <c r="I60" s="134">
        <f t="shared" si="8"/>
        <v>0.15433375474924438</v>
      </c>
      <c r="J60" s="134">
        <f t="shared" si="8"/>
        <v>0.15433375474924438</v>
      </c>
      <c r="K60" s="134">
        <f t="shared" si="8"/>
        <v>0.15433375474924438</v>
      </c>
      <c r="L60" s="134">
        <f t="shared" si="8"/>
        <v>0.15433375474924438</v>
      </c>
      <c r="M60" s="134">
        <f t="shared" si="8"/>
        <v>0.15433375474924438</v>
      </c>
      <c r="N60" s="134">
        <f t="shared" si="8"/>
        <v>0.15433375474924438</v>
      </c>
      <c r="O60" s="134">
        <f t="shared" si="8"/>
        <v>0.15433375474924438</v>
      </c>
      <c r="P60" s="134">
        <f t="shared" si="8"/>
        <v>0.15433375474924438</v>
      </c>
      <c r="Q60" s="134">
        <f t="shared" si="8"/>
        <v>0.15433375474924438</v>
      </c>
      <c r="R60" s="50"/>
    </row>
    <row r="61" spans="2:18" x14ac:dyDescent="0.3">
      <c r="B61" s="51"/>
      <c r="C61" s="3"/>
      <c r="D61" s="3"/>
      <c r="E61" s="3"/>
      <c r="F61" s="3"/>
      <c r="G61" s="3"/>
      <c r="H61" s="3"/>
      <c r="I61" s="3"/>
      <c r="J61" s="3"/>
      <c r="K61" s="3"/>
      <c r="L61" s="3"/>
      <c r="M61" s="3"/>
      <c r="N61" s="3"/>
      <c r="O61" s="3"/>
      <c r="P61" s="3"/>
      <c r="Q61" s="3"/>
      <c r="R61" s="50"/>
    </row>
    <row r="62" spans="2:18" x14ac:dyDescent="0.3">
      <c r="B62" s="237" t="s">
        <v>370</v>
      </c>
      <c r="C62" s="131">
        <v>2015</v>
      </c>
      <c r="D62" s="131">
        <f t="shared" ref="D62:Q62" si="9">C62+1</f>
        <v>2016</v>
      </c>
      <c r="E62" s="131">
        <f t="shared" si="9"/>
        <v>2017</v>
      </c>
      <c r="F62" s="131">
        <f t="shared" si="9"/>
        <v>2018</v>
      </c>
      <c r="G62" s="131">
        <f t="shared" si="9"/>
        <v>2019</v>
      </c>
      <c r="H62" s="131">
        <f t="shared" si="9"/>
        <v>2020</v>
      </c>
      <c r="I62" s="131">
        <f t="shared" si="9"/>
        <v>2021</v>
      </c>
      <c r="J62" s="131">
        <f t="shared" si="9"/>
        <v>2022</v>
      </c>
      <c r="K62" s="131">
        <f t="shared" si="9"/>
        <v>2023</v>
      </c>
      <c r="L62" s="131">
        <f t="shared" si="9"/>
        <v>2024</v>
      </c>
      <c r="M62" s="131">
        <f t="shared" si="9"/>
        <v>2025</v>
      </c>
      <c r="N62" s="131">
        <f t="shared" si="9"/>
        <v>2026</v>
      </c>
      <c r="O62" s="131">
        <f t="shared" si="9"/>
        <v>2027</v>
      </c>
      <c r="P62" s="131">
        <f t="shared" si="9"/>
        <v>2028</v>
      </c>
      <c r="Q62" s="131">
        <f t="shared" si="9"/>
        <v>2029</v>
      </c>
      <c r="R62" s="50"/>
    </row>
    <row r="63" spans="2:18" x14ac:dyDescent="0.3">
      <c r="B63" s="237">
        <v>2015</v>
      </c>
      <c r="C63" s="135">
        <f>HLOOKUP($B63,$C$59:$Q$60,2,FALSE)*Reference!$C$23*(1-IF(ROUNDDOWN((C$59-$B63)/Reference!$D$23,0)&lt;1,0,IF(ROUNDDOWN((C$59-$B63)/Reference!$D$23,0)&lt;2,0.5,IF(ROUNDDOWN((C$59-$B63)/Reference!$D$23,0)&lt;3,0.75,IF(ROUNDDOWN((C$59-$B63)/Reference!$D$23,0)&lt;4,0.875,0.9375)))))+HLOOKUP($B63,$C$59:$Q$60,2,FALSE)*Reference!$C$24*(1-IF(ROUNDDOWN((C$59-$B63)/Reference!$D$24,0)&lt;1,0,IF(ROUNDDOWN((C$59-$B63)/Reference!$D$24,0)&lt;2,0.5,IF(ROUNDDOWN((C$59-$B63)/Reference!$D$24,0)&lt;3,0.75,IF(ROUNDDOWN((C$59-$B63)/Reference!$D$24,0)&lt;4,0.875,0.9375)))))+HLOOKUP($B63,$C$59:$Q$60,2,FALSE)*Reference!$C$25*(1-IF(ROUNDDOWN((C$59-$B63)/Reference!$D$25,0)&lt;1,0,IF(ROUNDDOWN((C$59-$B63)/Reference!$D$25,0)&lt;2,0.5,IF(ROUNDDOWN((C$59-$B63)/Reference!$D$25,0)&lt;3,0.75,IF(ROUNDDOWN((C$59-$B63)/Reference!$D$25,0)&lt;4,0.875,0.9375)))))+HLOOKUP($B63,$C$59:$Q$60,2,FALSE)*Reference!$C$26*(1-IF(ROUNDDOWN((C$59-$B63)/Reference!$D$26,0)&lt;1,0,IF(ROUNDDOWN((C$59-$B63)/Reference!$D$26,0)&lt;2,0.5,IF(ROUNDDOWN((C$59-$B63)/Reference!$D$26,0)&lt;3,0.75,IF(ROUNDDOWN((C$59-$B63)/Reference!$D$26,0)&lt;4,0.875,0.9375)))))+HLOOKUP($B63,$C$59:$Q$60,2,FALSE)*Reference!$C$27*(1-IF(ROUNDDOWN((C$59-$B63)/Reference!$D$27,0)&lt;1,0,IF(ROUNDDOWN((C$59-$B63)/Reference!$D$27,0)&lt;2,0.5,IF(ROUNDDOWN((C$59-$B63)/Reference!$D$27,0)&lt;3,0.75,IF(ROUNDDOWN((C$59-$B63)/Reference!$D$27,0)&lt;4,0.875,0.9375)))))+HLOOKUP($B63,$C$59:$Q$60,2,FALSE)*Reference!$C$28*(1-IF(ROUNDDOWN((C$59-$B63)/Reference!$D$28,0)&lt;1,0,IF(ROUNDDOWN((C$59-$B63)/Reference!$D$28,0)&lt;2,0.5,IF(ROUNDDOWN((C$59-$B63)/Reference!$D$28,0)&lt;3,0.75,IF(ROUNDDOWN((C$59-$B63)/Reference!$D$28,0)&lt;4,0.875,0.9375)))))</f>
        <v>0</v>
      </c>
      <c r="D63" s="135">
        <f>HLOOKUP($B63,$C$59:$Q$60,2,FALSE)*Reference!$C$23*(1-IF(ROUNDDOWN((D$59-$B63)/Reference!$D$23,0)&lt;1,0,IF(ROUNDDOWN((D$59-$B63)/Reference!$D$23,0)&lt;2,0.5,IF(ROUNDDOWN((D$59-$B63)/Reference!$D$23,0)&lt;3,0.75,IF(ROUNDDOWN((D$59-$B63)/Reference!$D$23,0)&lt;4,0.875,0.9375)))))+HLOOKUP($B63,$C$59:$Q$60,2,FALSE)*Reference!$C$24*(1-IF(ROUNDDOWN((D$59-$B63)/Reference!$D$24,0)&lt;1,0,IF(ROUNDDOWN((D$59-$B63)/Reference!$D$24,0)&lt;2,0.5,IF(ROUNDDOWN((D$59-$B63)/Reference!$D$24,0)&lt;3,0.75,IF(ROUNDDOWN((D$59-$B63)/Reference!$D$24,0)&lt;4,0.875,0.9375)))))+HLOOKUP($B63,$C$59:$Q$60,2,FALSE)*Reference!$C$25*(1-IF(ROUNDDOWN((D$59-$B63)/Reference!$D$25,0)&lt;1,0,IF(ROUNDDOWN((D$59-$B63)/Reference!$D$25,0)&lt;2,0.5,IF(ROUNDDOWN((D$59-$B63)/Reference!$D$25,0)&lt;3,0.75,IF(ROUNDDOWN((D$59-$B63)/Reference!$D$25,0)&lt;4,0.875,0.9375)))))+HLOOKUP($B63,$C$59:$Q$60,2,FALSE)*Reference!$C$26*(1-IF(ROUNDDOWN((D$59-$B63)/Reference!$D$26,0)&lt;1,0,IF(ROUNDDOWN((D$59-$B63)/Reference!$D$26,0)&lt;2,0.5,IF(ROUNDDOWN((D$59-$B63)/Reference!$D$26,0)&lt;3,0.75,IF(ROUNDDOWN((D$59-$B63)/Reference!$D$26,0)&lt;4,0.875,0.9375)))))+HLOOKUP($B63,$C$59:$Q$60,2,FALSE)*Reference!$C$27*(1-IF(ROUNDDOWN((D$59-$B63)/Reference!$D$27,0)&lt;1,0,IF(ROUNDDOWN((D$59-$B63)/Reference!$D$27,0)&lt;2,0.5,IF(ROUNDDOWN((D$59-$B63)/Reference!$D$27,0)&lt;3,0.75,IF(ROUNDDOWN((D$59-$B63)/Reference!$D$27,0)&lt;4,0.875,0.9375)))))+HLOOKUP($B63,$C$59:$Q$60,2,FALSE)*Reference!$C$28*(1-IF(ROUNDDOWN((D$59-$B63)/Reference!$D$28,0)&lt;1,0,IF(ROUNDDOWN((D$59-$B63)/Reference!$D$28,0)&lt;2,0.5,IF(ROUNDDOWN((D$59-$B63)/Reference!$D$28,0)&lt;3,0.75,IF(ROUNDDOWN((D$59-$B63)/Reference!$D$28,0)&lt;4,0.875,0.9375)))))</f>
        <v>0</v>
      </c>
      <c r="E63" s="135">
        <f>HLOOKUP($B63,$C$59:$Q$60,2,FALSE)*Reference!$C$23*(1-IF(ROUNDDOWN((E$59-$B63)/Reference!$D$23,0)&lt;1,0,IF(ROUNDDOWN((E$59-$B63)/Reference!$D$23,0)&lt;2,0.5,IF(ROUNDDOWN((E$59-$B63)/Reference!$D$23,0)&lt;3,0.75,IF(ROUNDDOWN((E$59-$B63)/Reference!$D$23,0)&lt;4,0.875,0.9375)))))+HLOOKUP($B63,$C$59:$Q$60,2,FALSE)*Reference!$C$24*(1-IF(ROUNDDOWN((E$59-$B63)/Reference!$D$24,0)&lt;1,0,IF(ROUNDDOWN((E$59-$B63)/Reference!$D$24,0)&lt;2,0.5,IF(ROUNDDOWN((E$59-$B63)/Reference!$D$24,0)&lt;3,0.75,IF(ROUNDDOWN((E$59-$B63)/Reference!$D$24,0)&lt;4,0.875,0.9375)))))+HLOOKUP($B63,$C$59:$Q$60,2,FALSE)*Reference!$C$25*(1-IF(ROUNDDOWN((E$59-$B63)/Reference!$D$25,0)&lt;1,0,IF(ROUNDDOWN((E$59-$B63)/Reference!$D$25,0)&lt;2,0.5,IF(ROUNDDOWN((E$59-$B63)/Reference!$D$25,0)&lt;3,0.75,IF(ROUNDDOWN((E$59-$B63)/Reference!$D$25,0)&lt;4,0.875,0.9375)))))+HLOOKUP($B63,$C$59:$Q$60,2,FALSE)*Reference!$C$26*(1-IF(ROUNDDOWN((E$59-$B63)/Reference!$D$26,0)&lt;1,0,IF(ROUNDDOWN((E$59-$B63)/Reference!$D$26,0)&lt;2,0.5,IF(ROUNDDOWN((E$59-$B63)/Reference!$D$26,0)&lt;3,0.75,IF(ROUNDDOWN((E$59-$B63)/Reference!$D$26,0)&lt;4,0.875,0.9375)))))+HLOOKUP($B63,$C$59:$Q$60,2,FALSE)*Reference!$C$27*(1-IF(ROUNDDOWN((E$59-$B63)/Reference!$D$27,0)&lt;1,0,IF(ROUNDDOWN((E$59-$B63)/Reference!$D$27,0)&lt;2,0.5,IF(ROUNDDOWN((E$59-$B63)/Reference!$D$27,0)&lt;3,0.75,IF(ROUNDDOWN((E$59-$B63)/Reference!$D$27,0)&lt;4,0.875,0.9375)))))+HLOOKUP($B63,$C$59:$Q$60,2,FALSE)*Reference!$C$28*(1-IF(ROUNDDOWN((E$59-$B63)/Reference!$D$28,0)&lt;1,0,IF(ROUNDDOWN((E$59-$B63)/Reference!$D$28,0)&lt;2,0.5,IF(ROUNDDOWN((E$59-$B63)/Reference!$D$28,0)&lt;3,0.75,IF(ROUNDDOWN((E$59-$B63)/Reference!$D$28,0)&lt;4,0.875,0.9375)))))</f>
        <v>0</v>
      </c>
      <c r="F63" s="135">
        <f>HLOOKUP($B63,$C$59:$Q$60,2,FALSE)*Reference!$C$23*(1-IF(ROUNDDOWN((F$59-$B63)/Reference!$D$23,0)&lt;1,0,IF(ROUNDDOWN((F$59-$B63)/Reference!$D$23,0)&lt;2,0.5,IF(ROUNDDOWN((F$59-$B63)/Reference!$D$23,0)&lt;3,0.75,IF(ROUNDDOWN((F$59-$B63)/Reference!$D$23,0)&lt;4,0.875,0.9375)))))+HLOOKUP($B63,$C$59:$Q$60,2,FALSE)*Reference!$C$24*(1-IF(ROUNDDOWN((F$59-$B63)/Reference!$D$24,0)&lt;1,0,IF(ROUNDDOWN((F$59-$B63)/Reference!$D$24,0)&lt;2,0.5,IF(ROUNDDOWN((F$59-$B63)/Reference!$D$24,0)&lt;3,0.75,IF(ROUNDDOWN((F$59-$B63)/Reference!$D$24,0)&lt;4,0.875,0.9375)))))+HLOOKUP($B63,$C$59:$Q$60,2,FALSE)*Reference!$C$25*(1-IF(ROUNDDOWN((F$59-$B63)/Reference!$D$25,0)&lt;1,0,IF(ROUNDDOWN((F$59-$B63)/Reference!$D$25,0)&lt;2,0.5,IF(ROUNDDOWN((F$59-$B63)/Reference!$D$25,0)&lt;3,0.75,IF(ROUNDDOWN((F$59-$B63)/Reference!$D$25,0)&lt;4,0.875,0.9375)))))+HLOOKUP($B63,$C$59:$Q$60,2,FALSE)*Reference!$C$26*(1-IF(ROUNDDOWN((F$59-$B63)/Reference!$D$26,0)&lt;1,0,IF(ROUNDDOWN((F$59-$B63)/Reference!$D$26,0)&lt;2,0.5,IF(ROUNDDOWN((F$59-$B63)/Reference!$D$26,0)&lt;3,0.75,IF(ROUNDDOWN((F$59-$B63)/Reference!$D$26,0)&lt;4,0.875,0.9375)))))+HLOOKUP($B63,$C$59:$Q$60,2,FALSE)*Reference!$C$27*(1-IF(ROUNDDOWN((F$59-$B63)/Reference!$D$27,0)&lt;1,0,IF(ROUNDDOWN((F$59-$B63)/Reference!$D$27,0)&lt;2,0.5,IF(ROUNDDOWN((F$59-$B63)/Reference!$D$27,0)&lt;3,0.75,IF(ROUNDDOWN((F$59-$B63)/Reference!$D$27,0)&lt;4,0.875,0.9375)))))+HLOOKUP($B63,$C$59:$Q$60,2,FALSE)*Reference!$C$28*(1-IF(ROUNDDOWN((F$59-$B63)/Reference!$D$28,0)&lt;1,0,IF(ROUNDDOWN((F$59-$B63)/Reference!$D$28,0)&lt;2,0.5,IF(ROUNDDOWN((F$59-$B63)/Reference!$D$28,0)&lt;3,0.75,IF(ROUNDDOWN((F$59-$B63)/Reference!$D$28,0)&lt;4,0.875,0.9375)))))</f>
        <v>0</v>
      </c>
      <c r="G63" s="135">
        <f>HLOOKUP($B63,$C$59:$Q$60,2,FALSE)*Reference!$C$23*(1-IF(ROUNDDOWN((G$59-$B63)/Reference!$D$23,0)&lt;1,0,IF(ROUNDDOWN((G$59-$B63)/Reference!$D$23,0)&lt;2,0.5,IF(ROUNDDOWN((G$59-$B63)/Reference!$D$23,0)&lt;3,0.75,IF(ROUNDDOWN((G$59-$B63)/Reference!$D$23,0)&lt;4,0.875,0.9375)))))+HLOOKUP($B63,$C$59:$Q$60,2,FALSE)*Reference!$C$24*(1-IF(ROUNDDOWN((G$59-$B63)/Reference!$D$24,0)&lt;1,0,IF(ROUNDDOWN((G$59-$B63)/Reference!$D$24,0)&lt;2,0.5,IF(ROUNDDOWN((G$59-$B63)/Reference!$D$24,0)&lt;3,0.75,IF(ROUNDDOWN((G$59-$B63)/Reference!$D$24,0)&lt;4,0.875,0.9375)))))+HLOOKUP($B63,$C$59:$Q$60,2,FALSE)*Reference!$C$25*(1-IF(ROUNDDOWN((G$59-$B63)/Reference!$D$25,0)&lt;1,0,IF(ROUNDDOWN((G$59-$B63)/Reference!$D$25,0)&lt;2,0.5,IF(ROUNDDOWN((G$59-$B63)/Reference!$D$25,0)&lt;3,0.75,IF(ROUNDDOWN((G$59-$B63)/Reference!$D$25,0)&lt;4,0.875,0.9375)))))+HLOOKUP($B63,$C$59:$Q$60,2,FALSE)*Reference!$C$26*(1-IF(ROUNDDOWN((G$59-$B63)/Reference!$D$26,0)&lt;1,0,IF(ROUNDDOWN((G$59-$B63)/Reference!$D$26,0)&lt;2,0.5,IF(ROUNDDOWN((G$59-$B63)/Reference!$D$26,0)&lt;3,0.75,IF(ROUNDDOWN((G$59-$B63)/Reference!$D$26,0)&lt;4,0.875,0.9375)))))+HLOOKUP($B63,$C$59:$Q$60,2,FALSE)*Reference!$C$27*(1-IF(ROUNDDOWN((G$59-$B63)/Reference!$D$27,0)&lt;1,0,IF(ROUNDDOWN((G$59-$B63)/Reference!$D$27,0)&lt;2,0.5,IF(ROUNDDOWN((G$59-$B63)/Reference!$D$27,0)&lt;3,0.75,IF(ROUNDDOWN((G$59-$B63)/Reference!$D$27,0)&lt;4,0.875,0.9375)))))+HLOOKUP($B63,$C$59:$Q$60,2,FALSE)*Reference!$C$28*(1-IF(ROUNDDOWN((G$59-$B63)/Reference!$D$28,0)&lt;1,0,IF(ROUNDDOWN((G$59-$B63)/Reference!$D$28,0)&lt;2,0.5,IF(ROUNDDOWN((G$59-$B63)/Reference!$D$28,0)&lt;3,0.75,IF(ROUNDDOWN((G$59-$B63)/Reference!$D$28,0)&lt;4,0.875,0.9375)))))</f>
        <v>0</v>
      </c>
      <c r="H63" s="135">
        <f>HLOOKUP($B63,$C$59:$Q$60,2,FALSE)*Reference!$C$23*(1-IF(ROUNDDOWN((H$59-$B63)/Reference!$D$23,0)&lt;1,0,IF(ROUNDDOWN((H$59-$B63)/Reference!$D$23,0)&lt;2,0.5,IF(ROUNDDOWN((H$59-$B63)/Reference!$D$23,0)&lt;3,0.75,IF(ROUNDDOWN((H$59-$B63)/Reference!$D$23,0)&lt;4,0.875,0.9375)))))+HLOOKUP($B63,$C$59:$Q$60,2,FALSE)*Reference!$C$24*(1-IF(ROUNDDOWN((H$59-$B63)/Reference!$D$24,0)&lt;1,0,IF(ROUNDDOWN((H$59-$B63)/Reference!$D$24,0)&lt;2,0.5,IF(ROUNDDOWN((H$59-$B63)/Reference!$D$24,0)&lt;3,0.75,IF(ROUNDDOWN((H$59-$B63)/Reference!$D$24,0)&lt;4,0.875,0.9375)))))+HLOOKUP($B63,$C$59:$Q$60,2,FALSE)*Reference!$C$25*(1-IF(ROUNDDOWN((H$59-$B63)/Reference!$D$25,0)&lt;1,0,IF(ROUNDDOWN((H$59-$B63)/Reference!$D$25,0)&lt;2,0.5,IF(ROUNDDOWN((H$59-$B63)/Reference!$D$25,0)&lt;3,0.75,IF(ROUNDDOWN((H$59-$B63)/Reference!$D$25,0)&lt;4,0.875,0.9375)))))+HLOOKUP($B63,$C$59:$Q$60,2,FALSE)*Reference!$C$26*(1-IF(ROUNDDOWN((H$59-$B63)/Reference!$D$26,0)&lt;1,0,IF(ROUNDDOWN((H$59-$B63)/Reference!$D$26,0)&lt;2,0.5,IF(ROUNDDOWN((H$59-$B63)/Reference!$D$26,0)&lt;3,0.75,IF(ROUNDDOWN((H$59-$B63)/Reference!$D$26,0)&lt;4,0.875,0.9375)))))+HLOOKUP($B63,$C$59:$Q$60,2,FALSE)*Reference!$C$27*(1-IF(ROUNDDOWN((H$59-$B63)/Reference!$D$27,0)&lt;1,0,IF(ROUNDDOWN((H$59-$B63)/Reference!$D$27,0)&lt;2,0.5,IF(ROUNDDOWN((H$59-$B63)/Reference!$D$27,0)&lt;3,0.75,IF(ROUNDDOWN((H$59-$B63)/Reference!$D$27,0)&lt;4,0.875,0.9375)))))+HLOOKUP($B63,$C$59:$Q$60,2,FALSE)*Reference!$C$28*(1-IF(ROUNDDOWN((H$59-$B63)/Reference!$D$28,0)&lt;1,0,IF(ROUNDDOWN((H$59-$B63)/Reference!$D$28,0)&lt;2,0.5,IF(ROUNDDOWN((H$59-$B63)/Reference!$D$28,0)&lt;3,0.75,IF(ROUNDDOWN((H$59-$B63)/Reference!$D$28,0)&lt;4,0.875,0.9375)))))</f>
        <v>0</v>
      </c>
      <c r="I63" s="135">
        <f>HLOOKUP($B63,$C$59:$Q$60,2,FALSE)*Reference!$C$23*(1-IF(ROUNDDOWN((I$59-$B63)/Reference!$D$23,0)&lt;1,0,IF(ROUNDDOWN((I$59-$B63)/Reference!$D$23,0)&lt;2,0.5,IF(ROUNDDOWN((I$59-$B63)/Reference!$D$23,0)&lt;3,0.75,IF(ROUNDDOWN((I$59-$B63)/Reference!$D$23,0)&lt;4,0.875,0.9375)))))+HLOOKUP($B63,$C$59:$Q$60,2,FALSE)*Reference!$C$24*(1-IF(ROUNDDOWN((I$59-$B63)/Reference!$D$24,0)&lt;1,0,IF(ROUNDDOWN((I$59-$B63)/Reference!$D$24,0)&lt;2,0.5,IF(ROUNDDOWN((I$59-$B63)/Reference!$D$24,0)&lt;3,0.75,IF(ROUNDDOWN((I$59-$B63)/Reference!$D$24,0)&lt;4,0.875,0.9375)))))+HLOOKUP($B63,$C$59:$Q$60,2,FALSE)*Reference!$C$25*(1-IF(ROUNDDOWN((I$59-$B63)/Reference!$D$25,0)&lt;1,0,IF(ROUNDDOWN((I$59-$B63)/Reference!$D$25,0)&lt;2,0.5,IF(ROUNDDOWN((I$59-$B63)/Reference!$D$25,0)&lt;3,0.75,IF(ROUNDDOWN((I$59-$B63)/Reference!$D$25,0)&lt;4,0.875,0.9375)))))+HLOOKUP($B63,$C$59:$Q$60,2,FALSE)*Reference!$C$26*(1-IF(ROUNDDOWN((I$59-$B63)/Reference!$D$26,0)&lt;1,0,IF(ROUNDDOWN((I$59-$B63)/Reference!$D$26,0)&lt;2,0.5,IF(ROUNDDOWN((I$59-$B63)/Reference!$D$26,0)&lt;3,0.75,IF(ROUNDDOWN((I$59-$B63)/Reference!$D$26,0)&lt;4,0.875,0.9375)))))+HLOOKUP($B63,$C$59:$Q$60,2,FALSE)*Reference!$C$27*(1-IF(ROUNDDOWN((I$59-$B63)/Reference!$D$27,0)&lt;1,0,IF(ROUNDDOWN((I$59-$B63)/Reference!$D$27,0)&lt;2,0.5,IF(ROUNDDOWN((I$59-$B63)/Reference!$D$27,0)&lt;3,0.75,IF(ROUNDDOWN((I$59-$B63)/Reference!$D$27,0)&lt;4,0.875,0.9375)))))+HLOOKUP($B63,$C$59:$Q$60,2,FALSE)*Reference!$C$28*(1-IF(ROUNDDOWN((I$59-$B63)/Reference!$D$28,0)&lt;1,0,IF(ROUNDDOWN((I$59-$B63)/Reference!$D$28,0)&lt;2,0.5,IF(ROUNDDOWN((I$59-$B63)/Reference!$D$28,0)&lt;3,0.75,IF(ROUNDDOWN((I$59-$B63)/Reference!$D$28,0)&lt;4,0.875,0.9375)))))</f>
        <v>0</v>
      </c>
      <c r="J63" s="135">
        <f>HLOOKUP($B63,$C$59:$Q$60,2,FALSE)*Reference!$C$23*(1-IF(ROUNDDOWN((J$59-$B63)/Reference!$D$23,0)&lt;1,0,IF(ROUNDDOWN((J$59-$B63)/Reference!$D$23,0)&lt;2,0.5,IF(ROUNDDOWN((J$59-$B63)/Reference!$D$23,0)&lt;3,0.75,IF(ROUNDDOWN((J$59-$B63)/Reference!$D$23,0)&lt;4,0.875,0.9375)))))+HLOOKUP($B63,$C$59:$Q$60,2,FALSE)*Reference!$C$24*(1-IF(ROUNDDOWN((J$59-$B63)/Reference!$D$24,0)&lt;1,0,IF(ROUNDDOWN((J$59-$B63)/Reference!$D$24,0)&lt;2,0.5,IF(ROUNDDOWN((J$59-$B63)/Reference!$D$24,0)&lt;3,0.75,IF(ROUNDDOWN((J$59-$B63)/Reference!$D$24,0)&lt;4,0.875,0.9375)))))+HLOOKUP($B63,$C$59:$Q$60,2,FALSE)*Reference!$C$25*(1-IF(ROUNDDOWN((J$59-$B63)/Reference!$D$25,0)&lt;1,0,IF(ROUNDDOWN((J$59-$B63)/Reference!$D$25,0)&lt;2,0.5,IF(ROUNDDOWN((J$59-$B63)/Reference!$D$25,0)&lt;3,0.75,IF(ROUNDDOWN((J$59-$B63)/Reference!$D$25,0)&lt;4,0.875,0.9375)))))+HLOOKUP($B63,$C$59:$Q$60,2,FALSE)*Reference!$C$26*(1-IF(ROUNDDOWN((J$59-$B63)/Reference!$D$26,0)&lt;1,0,IF(ROUNDDOWN((J$59-$B63)/Reference!$D$26,0)&lt;2,0.5,IF(ROUNDDOWN((J$59-$B63)/Reference!$D$26,0)&lt;3,0.75,IF(ROUNDDOWN((J$59-$B63)/Reference!$D$26,0)&lt;4,0.875,0.9375)))))+HLOOKUP($B63,$C$59:$Q$60,2,FALSE)*Reference!$C$27*(1-IF(ROUNDDOWN((J$59-$B63)/Reference!$D$27,0)&lt;1,0,IF(ROUNDDOWN((J$59-$B63)/Reference!$D$27,0)&lt;2,0.5,IF(ROUNDDOWN((J$59-$B63)/Reference!$D$27,0)&lt;3,0.75,IF(ROUNDDOWN((J$59-$B63)/Reference!$D$27,0)&lt;4,0.875,0.9375)))))+HLOOKUP($B63,$C$59:$Q$60,2,FALSE)*Reference!$C$28*(1-IF(ROUNDDOWN((J$59-$B63)/Reference!$D$28,0)&lt;1,0,IF(ROUNDDOWN((J$59-$B63)/Reference!$D$28,0)&lt;2,0.5,IF(ROUNDDOWN((J$59-$B63)/Reference!$D$28,0)&lt;3,0.75,IF(ROUNDDOWN((J$59-$B63)/Reference!$D$28,0)&lt;4,0.875,0.9375)))))</f>
        <v>0</v>
      </c>
      <c r="K63" s="135">
        <f>HLOOKUP($B63,$C$59:$Q$60,2,FALSE)*Reference!$C$23*(1-IF(ROUNDDOWN((K$59-$B63)/Reference!$D$23,0)&lt;1,0,IF(ROUNDDOWN((K$59-$B63)/Reference!$D$23,0)&lt;2,0.5,IF(ROUNDDOWN((K$59-$B63)/Reference!$D$23,0)&lt;3,0.75,IF(ROUNDDOWN((K$59-$B63)/Reference!$D$23,0)&lt;4,0.875,0.9375)))))+HLOOKUP($B63,$C$59:$Q$60,2,FALSE)*Reference!$C$24*(1-IF(ROUNDDOWN((K$59-$B63)/Reference!$D$24,0)&lt;1,0,IF(ROUNDDOWN((K$59-$B63)/Reference!$D$24,0)&lt;2,0.5,IF(ROUNDDOWN((K$59-$B63)/Reference!$D$24,0)&lt;3,0.75,IF(ROUNDDOWN((K$59-$B63)/Reference!$D$24,0)&lt;4,0.875,0.9375)))))+HLOOKUP($B63,$C$59:$Q$60,2,FALSE)*Reference!$C$25*(1-IF(ROUNDDOWN((K$59-$B63)/Reference!$D$25,0)&lt;1,0,IF(ROUNDDOWN((K$59-$B63)/Reference!$D$25,0)&lt;2,0.5,IF(ROUNDDOWN((K$59-$B63)/Reference!$D$25,0)&lt;3,0.75,IF(ROUNDDOWN((K$59-$B63)/Reference!$D$25,0)&lt;4,0.875,0.9375)))))+HLOOKUP($B63,$C$59:$Q$60,2,FALSE)*Reference!$C$26*(1-IF(ROUNDDOWN((K$59-$B63)/Reference!$D$26,0)&lt;1,0,IF(ROUNDDOWN((K$59-$B63)/Reference!$D$26,0)&lt;2,0.5,IF(ROUNDDOWN((K$59-$B63)/Reference!$D$26,0)&lt;3,0.75,IF(ROUNDDOWN((K$59-$B63)/Reference!$D$26,0)&lt;4,0.875,0.9375)))))+HLOOKUP($B63,$C$59:$Q$60,2,FALSE)*Reference!$C$27*(1-IF(ROUNDDOWN((K$59-$B63)/Reference!$D$27,0)&lt;1,0,IF(ROUNDDOWN((K$59-$B63)/Reference!$D$27,0)&lt;2,0.5,IF(ROUNDDOWN((K$59-$B63)/Reference!$D$27,0)&lt;3,0.75,IF(ROUNDDOWN((K$59-$B63)/Reference!$D$27,0)&lt;4,0.875,0.9375)))))+HLOOKUP($B63,$C$59:$Q$60,2,FALSE)*Reference!$C$28*(1-IF(ROUNDDOWN((K$59-$B63)/Reference!$D$28,0)&lt;1,0,IF(ROUNDDOWN((K$59-$B63)/Reference!$D$28,0)&lt;2,0.5,IF(ROUNDDOWN((K$59-$B63)/Reference!$D$28,0)&lt;3,0.75,IF(ROUNDDOWN((K$59-$B63)/Reference!$D$28,0)&lt;4,0.875,0.9375)))))</f>
        <v>0</v>
      </c>
      <c r="L63" s="135">
        <f>HLOOKUP($B63,$C$59:$Q$60,2,FALSE)*Reference!$C$23*(1-IF(ROUNDDOWN((L$59-$B63)/Reference!$D$23,0)&lt;1,0,IF(ROUNDDOWN((L$59-$B63)/Reference!$D$23,0)&lt;2,0.5,IF(ROUNDDOWN((L$59-$B63)/Reference!$D$23,0)&lt;3,0.75,IF(ROUNDDOWN((L$59-$B63)/Reference!$D$23,0)&lt;4,0.875,0.9375)))))+HLOOKUP($B63,$C$59:$Q$60,2,FALSE)*Reference!$C$24*(1-IF(ROUNDDOWN((L$59-$B63)/Reference!$D$24,0)&lt;1,0,IF(ROUNDDOWN((L$59-$B63)/Reference!$D$24,0)&lt;2,0.5,IF(ROUNDDOWN((L$59-$B63)/Reference!$D$24,0)&lt;3,0.75,IF(ROUNDDOWN((L$59-$B63)/Reference!$D$24,0)&lt;4,0.875,0.9375)))))+HLOOKUP($B63,$C$59:$Q$60,2,FALSE)*Reference!$C$25*(1-IF(ROUNDDOWN((L$59-$B63)/Reference!$D$25,0)&lt;1,0,IF(ROUNDDOWN((L$59-$B63)/Reference!$D$25,0)&lt;2,0.5,IF(ROUNDDOWN((L$59-$B63)/Reference!$D$25,0)&lt;3,0.75,IF(ROUNDDOWN((L$59-$B63)/Reference!$D$25,0)&lt;4,0.875,0.9375)))))+HLOOKUP($B63,$C$59:$Q$60,2,FALSE)*Reference!$C$26*(1-IF(ROUNDDOWN((L$59-$B63)/Reference!$D$26,0)&lt;1,0,IF(ROUNDDOWN((L$59-$B63)/Reference!$D$26,0)&lt;2,0.5,IF(ROUNDDOWN((L$59-$B63)/Reference!$D$26,0)&lt;3,0.75,IF(ROUNDDOWN((L$59-$B63)/Reference!$D$26,0)&lt;4,0.875,0.9375)))))+HLOOKUP($B63,$C$59:$Q$60,2,FALSE)*Reference!$C$27*(1-IF(ROUNDDOWN((L$59-$B63)/Reference!$D$27,0)&lt;1,0,IF(ROUNDDOWN((L$59-$B63)/Reference!$D$27,0)&lt;2,0.5,IF(ROUNDDOWN((L$59-$B63)/Reference!$D$27,0)&lt;3,0.75,IF(ROUNDDOWN((L$59-$B63)/Reference!$D$27,0)&lt;4,0.875,0.9375)))))+HLOOKUP($B63,$C$59:$Q$60,2,FALSE)*Reference!$C$28*(1-IF(ROUNDDOWN((L$59-$B63)/Reference!$D$28,0)&lt;1,0,IF(ROUNDDOWN((L$59-$B63)/Reference!$D$28,0)&lt;2,0.5,IF(ROUNDDOWN((L$59-$B63)/Reference!$D$28,0)&lt;3,0.75,IF(ROUNDDOWN((L$59-$B63)/Reference!$D$28,0)&lt;4,0.875,0.9375)))))</f>
        <v>0</v>
      </c>
      <c r="M63" s="135">
        <f>HLOOKUP($B63,$C$59:$Q$60,2,FALSE)*Reference!$C$23*(1-IF(ROUNDDOWN((M$59-$B63)/Reference!$D$23,0)&lt;1,0,IF(ROUNDDOWN((M$59-$B63)/Reference!$D$23,0)&lt;2,0.5,IF(ROUNDDOWN((M$59-$B63)/Reference!$D$23,0)&lt;3,0.75,IF(ROUNDDOWN((M$59-$B63)/Reference!$D$23,0)&lt;4,0.875,0.9375)))))+HLOOKUP($B63,$C$59:$Q$60,2,FALSE)*Reference!$C$24*(1-IF(ROUNDDOWN((M$59-$B63)/Reference!$D$24,0)&lt;1,0,IF(ROUNDDOWN((M$59-$B63)/Reference!$D$24,0)&lt;2,0.5,IF(ROUNDDOWN((M$59-$B63)/Reference!$D$24,0)&lt;3,0.75,IF(ROUNDDOWN((M$59-$B63)/Reference!$D$24,0)&lt;4,0.875,0.9375)))))+HLOOKUP($B63,$C$59:$Q$60,2,FALSE)*Reference!$C$25*(1-IF(ROUNDDOWN((M$59-$B63)/Reference!$D$25,0)&lt;1,0,IF(ROUNDDOWN((M$59-$B63)/Reference!$D$25,0)&lt;2,0.5,IF(ROUNDDOWN((M$59-$B63)/Reference!$D$25,0)&lt;3,0.75,IF(ROUNDDOWN((M$59-$B63)/Reference!$D$25,0)&lt;4,0.875,0.9375)))))+HLOOKUP($B63,$C$59:$Q$60,2,FALSE)*Reference!$C$26*(1-IF(ROUNDDOWN((M$59-$B63)/Reference!$D$26,0)&lt;1,0,IF(ROUNDDOWN((M$59-$B63)/Reference!$D$26,0)&lt;2,0.5,IF(ROUNDDOWN((M$59-$B63)/Reference!$D$26,0)&lt;3,0.75,IF(ROUNDDOWN((M$59-$B63)/Reference!$D$26,0)&lt;4,0.875,0.9375)))))+HLOOKUP($B63,$C$59:$Q$60,2,FALSE)*Reference!$C$27*(1-IF(ROUNDDOWN((M$59-$B63)/Reference!$D$27,0)&lt;1,0,IF(ROUNDDOWN((M$59-$B63)/Reference!$D$27,0)&lt;2,0.5,IF(ROUNDDOWN((M$59-$B63)/Reference!$D$27,0)&lt;3,0.75,IF(ROUNDDOWN((M$59-$B63)/Reference!$D$27,0)&lt;4,0.875,0.9375)))))+HLOOKUP($B63,$C$59:$Q$60,2,FALSE)*Reference!$C$28*(1-IF(ROUNDDOWN((M$59-$B63)/Reference!$D$28,0)&lt;1,0,IF(ROUNDDOWN((M$59-$B63)/Reference!$D$28,0)&lt;2,0.5,IF(ROUNDDOWN((M$59-$B63)/Reference!$D$28,0)&lt;3,0.75,IF(ROUNDDOWN((M$59-$B63)/Reference!$D$28,0)&lt;4,0.875,0.9375)))))</f>
        <v>0</v>
      </c>
      <c r="N63" s="135">
        <f>HLOOKUP($B63,$C$59:$Q$60,2,FALSE)*Reference!$C$23*(1-IF(ROUNDDOWN((N$59-$B63)/Reference!$D$23,0)&lt;1,0,IF(ROUNDDOWN((N$59-$B63)/Reference!$D$23,0)&lt;2,0.5,IF(ROUNDDOWN((N$59-$B63)/Reference!$D$23,0)&lt;3,0.75,IF(ROUNDDOWN((N$59-$B63)/Reference!$D$23,0)&lt;4,0.875,0.9375)))))+HLOOKUP($B63,$C$59:$Q$60,2,FALSE)*Reference!$C$24*(1-IF(ROUNDDOWN((N$59-$B63)/Reference!$D$24,0)&lt;1,0,IF(ROUNDDOWN((N$59-$B63)/Reference!$D$24,0)&lt;2,0.5,IF(ROUNDDOWN((N$59-$B63)/Reference!$D$24,0)&lt;3,0.75,IF(ROUNDDOWN((N$59-$B63)/Reference!$D$24,0)&lt;4,0.875,0.9375)))))+HLOOKUP($B63,$C$59:$Q$60,2,FALSE)*Reference!$C$25*(1-IF(ROUNDDOWN((N$59-$B63)/Reference!$D$25,0)&lt;1,0,IF(ROUNDDOWN((N$59-$B63)/Reference!$D$25,0)&lt;2,0.5,IF(ROUNDDOWN((N$59-$B63)/Reference!$D$25,0)&lt;3,0.75,IF(ROUNDDOWN((N$59-$B63)/Reference!$D$25,0)&lt;4,0.875,0.9375)))))+HLOOKUP($B63,$C$59:$Q$60,2,FALSE)*Reference!$C$26*(1-IF(ROUNDDOWN((N$59-$B63)/Reference!$D$26,0)&lt;1,0,IF(ROUNDDOWN((N$59-$B63)/Reference!$D$26,0)&lt;2,0.5,IF(ROUNDDOWN((N$59-$B63)/Reference!$D$26,0)&lt;3,0.75,IF(ROUNDDOWN((N$59-$B63)/Reference!$D$26,0)&lt;4,0.875,0.9375)))))+HLOOKUP($B63,$C$59:$Q$60,2,FALSE)*Reference!$C$27*(1-IF(ROUNDDOWN((N$59-$B63)/Reference!$D$27,0)&lt;1,0,IF(ROUNDDOWN((N$59-$B63)/Reference!$D$27,0)&lt;2,0.5,IF(ROUNDDOWN((N$59-$B63)/Reference!$D$27,0)&lt;3,0.75,IF(ROUNDDOWN((N$59-$B63)/Reference!$D$27,0)&lt;4,0.875,0.9375)))))+HLOOKUP($B63,$C$59:$Q$60,2,FALSE)*Reference!$C$28*(1-IF(ROUNDDOWN((N$59-$B63)/Reference!$D$28,0)&lt;1,0,IF(ROUNDDOWN((N$59-$B63)/Reference!$D$28,0)&lt;2,0.5,IF(ROUNDDOWN((N$59-$B63)/Reference!$D$28,0)&lt;3,0.75,IF(ROUNDDOWN((N$59-$B63)/Reference!$D$28,0)&lt;4,0.875,0.9375)))))</f>
        <v>0</v>
      </c>
      <c r="O63" s="135">
        <f>HLOOKUP($B63,$C$59:$Q$60,2,FALSE)*Reference!$C$23*(1-IF(ROUNDDOWN((O$59-$B63)/Reference!$D$23,0)&lt;1,0,IF(ROUNDDOWN((O$59-$B63)/Reference!$D$23,0)&lt;2,0.5,IF(ROUNDDOWN((O$59-$B63)/Reference!$D$23,0)&lt;3,0.75,IF(ROUNDDOWN((O$59-$B63)/Reference!$D$23,0)&lt;4,0.875,0.9375)))))+HLOOKUP($B63,$C$59:$Q$60,2,FALSE)*Reference!$C$24*(1-IF(ROUNDDOWN((O$59-$B63)/Reference!$D$24,0)&lt;1,0,IF(ROUNDDOWN((O$59-$B63)/Reference!$D$24,0)&lt;2,0.5,IF(ROUNDDOWN((O$59-$B63)/Reference!$D$24,0)&lt;3,0.75,IF(ROUNDDOWN((O$59-$B63)/Reference!$D$24,0)&lt;4,0.875,0.9375)))))+HLOOKUP($B63,$C$59:$Q$60,2,FALSE)*Reference!$C$25*(1-IF(ROUNDDOWN((O$59-$B63)/Reference!$D$25,0)&lt;1,0,IF(ROUNDDOWN((O$59-$B63)/Reference!$D$25,0)&lt;2,0.5,IF(ROUNDDOWN((O$59-$B63)/Reference!$D$25,0)&lt;3,0.75,IF(ROUNDDOWN((O$59-$B63)/Reference!$D$25,0)&lt;4,0.875,0.9375)))))+HLOOKUP($B63,$C$59:$Q$60,2,FALSE)*Reference!$C$26*(1-IF(ROUNDDOWN((O$59-$B63)/Reference!$D$26,0)&lt;1,0,IF(ROUNDDOWN((O$59-$B63)/Reference!$D$26,0)&lt;2,0.5,IF(ROUNDDOWN((O$59-$B63)/Reference!$D$26,0)&lt;3,0.75,IF(ROUNDDOWN((O$59-$B63)/Reference!$D$26,0)&lt;4,0.875,0.9375)))))+HLOOKUP($B63,$C$59:$Q$60,2,FALSE)*Reference!$C$27*(1-IF(ROUNDDOWN((O$59-$B63)/Reference!$D$27,0)&lt;1,0,IF(ROUNDDOWN((O$59-$B63)/Reference!$D$27,0)&lt;2,0.5,IF(ROUNDDOWN((O$59-$B63)/Reference!$D$27,0)&lt;3,0.75,IF(ROUNDDOWN((O$59-$B63)/Reference!$D$27,0)&lt;4,0.875,0.9375)))))+HLOOKUP($B63,$C$59:$Q$60,2,FALSE)*Reference!$C$28*(1-IF(ROUNDDOWN((O$59-$B63)/Reference!$D$28,0)&lt;1,0,IF(ROUNDDOWN((O$59-$B63)/Reference!$D$28,0)&lt;2,0.5,IF(ROUNDDOWN((O$59-$B63)/Reference!$D$28,0)&lt;3,0.75,IF(ROUNDDOWN((O$59-$B63)/Reference!$D$28,0)&lt;4,0.875,0.9375)))))</f>
        <v>0</v>
      </c>
      <c r="P63" s="135">
        <f>HLOOKUP($B63,$C$59:$Q$60,2,FALSE)*Reference!$C$23*(1-IF(ROUNDDOWN((P$59-$B63)/Reference!$D$23,0)&lt;1,0,IF(ROUNDDOWN((P$59-$B63)/Reference!$D$23,0)&lt;2,0.5,IF(ROUNDDOWN((P$59-$B63)/Reference!$D$23,0)&lt;3,0.75,IF(ROUNDDOWN((P$59-$B63)/Reference!$D$23,0)&lt;4,0.875,0.9375)))))+HLOOKUP($B63,$C$59:$Q$60,2,FALSE)*Reference!$C$24*(1-IF(ROUNDDOWN((P$59-$B63)/Reference!$D$24,0)&lt;1,0,IF(ROUNDDOWN((P$59-$B63)/Reference!$D$24,0)&lt;2,0.5,IF(ROUNDDOWN((P$59-$B63)/Reference!$D$24,0)&lt;3,0.75,IF(ROUNDDOWN((P$59-$B63)/Reference!$D$24,0)&lt;4,0.875,0.9375)))))+HLOOKUP($B63,$C$59:$Q$60,2,FALSE)*Reference!$C$25*(1-IF(ROUNDDOWN((P$59-$B63)/Reference!$D$25,0)&lt;1,0,IF(ROUNDDOWN((P$59-$B63)/Reference!$D$25,0)&lt;2,0.5,IF(ROUNDDOWN((P$59-$B63)/Reference!$D$25,0)&lt;3,0.75,IF(ROUNDDOWN((P$59-$B63)/Reference!$D$25,0)&lt;4,0.875,0.9375)))))+HLOOKUP($B63,$C$59:$Q$60,2,FALSE)*Reference!$C$26*(1-IF(ROUNDDOWN((P$59-$B63)/Reference!$D$26,0)&lt;1,0,IF(ROUNDDOWN((P$59-$B63)/Reference!$D$26,0)&lt;2,0.5,IF(ROUNDDOWN((P$59-$B63)/Reference!$D$26,0)&lt;3,0.75,IF(ROUNDDOWN((P$59-$B63)/Reference!$D$26,0)&lt;4,0.875,0.9375)))))+HLOOKUP($B63,$C$59:$Q$60,2,FALSE)*Reference!$C$27*(1-IF(ROUNDDOWN((P$59-$B63)/Reference!$D$27,0)&lt;1,0,IF(ROUNDDOWN((P$59-$B63)/Reference!$D$27,0)&lt;2,0.5,IF(ROUNDDOWN((P$59-$B63)/Reference!$D$27,0)&lt;3,0.75,IF(ROUNDDOWN((P$59-$B63)/Reference!$D$27,0)&lt;4,0.875,0.9375)))))+HLOOKUP($B63,$C$59:$Q$60,2,FALSE)*Reference!$C$28*(1-IF(ROUNDDOWN((P$59-$B63)/Reference!$D$28,0)&lt;1,0,IF(ROUNDDOWN((P$59-$B63)/Reference!$D$28,0)&lt;2,0.5,IF(ROUNDDOWN((P$59-$B63)/Reference!$D$28,0)&lt;3,0.75,IF(ROUNDDOWN((P$59-$B63)/Reference!$D$28,0)&lt;4,0.875,0.9375)))))</f>
        <v>0</v>
      </c>
      <c r="Q63" s="135">
        <f>HLOOKUP($B63,$C$59:$Q$60,2,FALSE)*Reference!$C$23*(1-IF(ROUNDDOWN((Q$59-$B63)/Reference!$D$23,0)&lt;1,0,IF(ROUNDDOWN((Q$59-$B63)/Reference!$D$23,0)&lt;2,0.5,IF(ROUNDDOWN((Q$59-$B63)/Reference!$D$23,0)&lt;3,0.75,IF(ROUNDDOWN((Q$59-$B63)/Reference!$D$23,0)&lt;4,0.875,0.9375)))))+HLOOKUP($B63,$C$59:$Q$60,2,FALSE)*Reference!$C$24*(1-IF(ROUNDDOWN((Q$59-$B63)/Reference!$D$24,0)&lt;1,0,IF(ROUNDDOWN((Q$59-$B63)/Reference!$D$24,0)&lt;2,0.5,IF(ROUNDDOWN((Q$59-$B63)/Reference!$D$24,0)&lt;3,0.75,IF(ROUNDDOWN((Q$59-$B63)/Reference!$D$24,0)&lt;4,0.875,0.9375)))))+HLOOKUP($B63,$C$59:$Q$60,2,FALSE)*Reference!$C$25*(1-IF(ROUNDDOWN((Q$59-$B63)/Reference!$D$25,0)&lt;1,0,IF(ROUNDDOWN((Q$59-$B63)/Reference!$D$25,0)&lt;2,0.5,IF(ROUNDDOWN((Q$59-$B63)/Reference!$D$25,0)&lt;3,0.75,IF(ROUNDDOWN((Q$59-$B63)/Reference!$D$25,0)&lt;4,0.875,0.9375)))))+HLOOKUP($B63,$C$59:$Q$60,2,FALSE)*Reference!$C$26*(1-IF(ROUNDDOWN((Q$59-$B63)/Reference!$D$26,0)&lt;1,0,IF(ROUNDDOWN((Q$59-$B63)/Reference!$D$26,0)&lt;2,0.5,IF(ROUNDDOWN((Q$59-$B63)/Reference!$D$26,0)&lt;3,0.75,IF(ROUNDDOWN((Q$59-$B63)/Reference!$D$26,0)&lt;4,0.875,0.9375)))))+HLOOKUP($B63,$C$59:$Q$60,2,FALSE)*Reference!$C$27*(1-IF(ROUNDDOWN((Q$59-$B63)/Reference!$D$27,0)&lt;1,0,IF(ROUNDDOWN((Q$59-$B63)/Reference!$D$27,0)&lt;2,0.5,IF(ROUNDDOWN((Q$59-$B63)/Reference!$D$27,0)&lt;3,0.75,IF(ROUNDDOWN((Q$59-$B63)/Reference!$D$27,0)&lt;4,0.875,0.9375)))))+HLOOKUP($B63,$C$59:$Q$60,2,FALSE)*Reference!$C$28*(1-IF(ROUNDDOWN((Q$59-$B63)/Reference!$D$28,0)&lt;1,0,IF(ROUNDDOWN((Q$59-$B63)/Reference!$D$28,0)&lt;2,0.5,IF(ROUNDDOWN((Q$59-$B63)/Reference!$D$28,0)&lt;3,0.75,IF(ROUNDDOWN((Q$59-$B63)/Reference!$D$28,0)&lt;4,0.875,0.9375)))))</f>
        <v>0</v>
      </c>
      <c r="R63" s="50"/>
    </row>
    <row r="64" spans="2:18" x14ac:dyDescent="0.3">
      <c r="B64" s="237">
        <f t="shared" ref="B64:B77" si="10">B63+1</f>
        <v>2016</v>
      </c>
      <c r="C64" s="135"/>
      <c r="D64" s="135">
        <f>HLOOKUP($B64,$C$59:$Q$60,2,FALSE)*Reference!$C$23*(1-IF(ROUNDDOWN((D$59-$B64)/Reference!$D$23,0)&lt;1,0,IF(ROUNDDOWN((D$59-$B64)/Reference!$D$23,0)&lt;2,0.5,IF(ROUNDDOWN((D$59-$B64)/Reference!$D$23,0)&lt;3,0.75,IF(ROUNDDOWN((D$59-$B64)/Reference!$D$23,0)&lt;4,0.875,0.9375)))))+HLOOKUP($B64,$C$59:$Q$60,2,FALSE)*Reference!$C$24*(1-IF(ROUNDDOWN((D$59-$B64)/Reference!$D$24,0)&lt;1,0,IF(ROUNDDOWN((D$59-$B64)/Reference!$D$24,0)&lt;2,0.5,IF(ROUNDDOWN((D$59-$B64)/Reference!$D$24,0)&lt;3,0.75,IF(ROUNDDOWN((D$59-$B64)/Reference!$D$24,0)&lt;4,0.875,0.9375)))))+HLOOKUP($B64,$C$59:$Q$60,2,FALSE)*Reference!$C$25*(1-IF(ROUNDDOWN((D$59-$B64)/Reference!$D$25,0)&lt;1,0,IF(ROUNDDOWN((D$59-$B64)/Reference!$D$25,0)&lt;2,0.5,IF(ROUNDDOWN((D$59-$B64)/Reference!$D$25,0)&lt;3,0.75,IF(ROUNDDOWN((D$59-$B64)/Reference!$D$25,0)&lt;4,0.875,0.9375)))))+HLOOKUP($B64,$C$59:$Q$60,2,FALSE)*Reference!$C$26*(1-IF(ROUNDDOWN((D$59-$B64)/Reference!$D$26,0)&lt;1,0,IF(ROUNDDOWN((D$59-$B64)/Reference!$D$26,0)&lt;2,0.5,IF(ROUNDDOWN((D$59-$B64)/Reference!$D$26,0)&lt;3,0.75,IF(ROUNDDOWN((D$59-$B64)/Reference!$D$26,0)&lt;4,0.875,0.9375)))))+HLOOKUP($B64,$C$59:$Q$60,2,FALSE)*Reference!$C$27*(1-IF(ROUNDDOWN((D$59-$B64)/Reference!$D$27,0)&lt;1,0,IF(ROUNDDOWN((D$59-$B64)/Reference!$D$27,0)&lt;2,0.5,IF(ROUNDDOWN((D$59-$B64)/Reference!$D$27,0)&lt;3,0.75,IF(ROUNDDOWN((D$59-$B64)/Reference!$D$27,0)&lt;4,0.875,0.9375)))))+HLOOKUP($B64,$C$59:$Q$60,2,FALSE)*Reference!$C$28*(1-IF(ROUNDDOWN((D$59-$B64)/Reference!$D$28,0)&lt;1,0,IF(ROUNDDOWN((D$59-$B64)/Reference!$D$28,0)&lt;2,0.5,IF(ROUNDDOWN((D$59-$B64)/Reference!$D$28,0)&lt;3,0.75,IF(ROUNDDOWN((D$59-$B64)/Reference!$D$28,0)&lt;4,0.875,0.9375)))))</f>
        <v>0</v>
      </c>
      <c r="E64" s="135">
        <f>HLOOKUP($B64,$C$59:$Q$60,2,FALSE)*Reference!$C$23*(1-IF(ROUNDDOWN((E$59-$B64)/Reference!$D$23,0)&lt;1,0,IF(ROUNDDOWN((E$59-$B64)/Reference!$D$23,0)&lt;2,0.5,IF(ROUNDDOWN((E$59-$B64)/Reference!$D$23,0)&lt;3,0.75,IF(ROUNDDOWN((E$59-$B64)/Reference!$D$23,0)&lt;4,0.875,0.9375)))))+HLOOKUP($B64,$C$59:$Q$60,2,FALSE)*Reference!$C$24*(1-IF(ROUNDDOWN((E$59-$B64)/Reference!$D$24,0)&lt;1,0,IF(ROUNDDOWN((E$59-$B64)/Reference!$D$24,0)&lt;2,0.5,IF(ROUNDDOWN((E$59-$B64)/Reference!$D$24,0)&lt;3,0.75,IF(ROUNDDOWN((E$59-$B64)/Reference!$D$24,0)&lt;4,0.875,0.9375)))))+HLOOKUP($B64,$C$59:$Q$60,2,FALSE)*Reference!$C$25*(1-IF(ROUNDDOWN((E$59-$B64)/Reference!$D$25,0)&lt;1,0,IF(ROUNDDOWN((E$59-$B64)/Reference!$D$25,0)&lt;2,0.5,IF(ROUNDDOWN((E$59-$B64)/Reference!$D$25,0)&lt;3,0.75,IF(ROUNDDOWN((E$59-$B64)/Reference!$D$25,0)&lt;4,0.875,0.9375)))))+HLOOKUP($B64,$C$59:$Q$60,2,FALSE)*Reference!$C$26*(1-IF(ROUNDDOWN((E$59-$B64)/Reference!$D$26,0)&lt;1,0,IF(ROUNDDOWN((E$59-$B64)/Reference!$D$26,0)&lt;2,0.5,IF(ROUNDDOWN((E$59-$B64)/Reference!$D$26,0)&lt;3,0.75,IF(ROUNDDOWN((E$59-$B64)/Reference!$D$26,0)&lt;4,0.875,0.9375)))))+HLOOKUP($B64,$C$59:$Q$60,2,FALSE)*Reference!$C$27*(1-IF(ROUNDDOWN((E$59-$B64)/Reference!$D$27,0)&lt;1,0,IF(ROUNDDOWN((E$59-$B64)/Reference!$D$27,0)&lt;2,0.5,IF(ROUNDDOWN((E$59-$B64)/Reference!$D$27,0)&lt;3,0.75,IF(ROUNDDOWN((E$59-$B64)/Reference!$D$27,0)&lt;4,0.875,0.9375)))))+HLOOKUP($B64,$C$59:$Q$60,2,FALSE)*Reference!$C$28*(1-IF(ROUNDDOWN((E$59-$B64)/Reference!$D$28,0)&lt;1,0,IF(ROUNDDOWN((E$59-$B64)/Reference!$D$28,0)&lt;2,0.5,IF(ROUNDDOWN((E$59-$B64)/Reference!$D$28,0)&lt;3,0.75,IF(ROUNDDOWN((E$59-$B64)/Reference!$D$28,0)&lt;4,0.875,0.9375)))))</f>
        <v>0</v>
      </c>
      <c r="F64" s="135">
        <f>HLOOKUP($B64,$C$59:$Q$60,2,FALSE)*Reference!$C$23*(1-IF(ROUNDDOWN((F$59-$B64)/Reference!$D$23,0)&lt;1,0,IF(ROUNDDOWN((F$59-$B64)/Reference!$D$23,0)&lt;2,0.5,IF(ROUNDDOWN((F$59-$B64)/Reference!$D$23,0)&lt;3,0.75,IF(ROUNDDOWN((F$59-$B64)/Reference!$D$23,0)&lt;4,0.875,0.9375)))))+HLOOKUP($B64,$C$59:$Q$60,2,FALSE)*Reference!$C$24*(1-IF(ROUNDDOWN((F$59-$B64)/Reference!$D$24,0)&lt;1,0,IF(ROUNDDOWN((F$59-$B64)/Reference!$D$24,0)&lt;2,0.5,IF(ROUNDDOWN((F$59-$B64)/Reference!$D$24,0)&lt;3,0.75,IF(ROUNDDOWN((F$59-$B64)/Reference!$D$24,0)&lt;4,0.875,0.9375)))))+HLOOKUP($B64,$C$59:$Q$60,2,FALSE)*Reference!$C$25*(1-IF(ROUNDDOWN((F$59-$B64)/Reference!$D$25,0)&lt;1,0,IF(ROUNDDOWN((F$59-$B64)/Reference!$D$25,0)&lt;2,0.5,IF(ROUNDDOWN((F$59-$B64)/Reference!$D$25,0)&lt;3,0.75,IF(ROUNDDOWN((F$59-$B64)/Reference!$D$25,0)&lt;4,0.875,0.9375)))))+HLOOKUP($B64,$C$59:$Q$60,2,FALSE)*Reference!$C$26*(1-IF(ROUNDDOWN((F$59-$B64)/Reference!$D$26,0)&lt;1,0,IF(ROUNDDOWN((F$59-$B64)/Reference!$D$26,0)&lt;2,0.5,IF(ROUNDDOWN((F$59-$B64)/Reference!$D$26,0)&lt;3,0.75,IF(ROUNDDOWN((F$59-$B64)/Reference!$D$26,0)&lt;4,0.875,0.9375)))))+HLOOKUP($B64,$C$59:$Q$60,2,FALSE)*Reference!$C$27*(1-IF(ROUNDDOWN((F$59-$B64)/Reference!$D$27,0)&lt;1,0,IF(ROUNDDOWN((F$59-$B64)/Reference!$D$27,0)&lt;2,0.5,IF(ROUNDDOWN((F$59-$B64)/Reference!$D$27,0)&lt;3,0.75,IF(ROUNDDOWN((F$59-$B64)/Reference!$D$27,0)&lt;4,0.875,0.9375)))))+HLOOKUP($B64,$C$59:$Q$60,2,FALSE)*Reference!$C$28*(1-IF(ROUNDDOWN((F$59-$B64)/Reference!$D$28,0)&lt;1,0,IF(ROUNDDOWN((F$59-$B64)/Reference!$D$28,0)&lt;2,0.5,IF(ROUNDDOWN((F$59-$B64)/Reference!$D$28,0)&lt;3,0.75,IF(ROUNDDOWN((F$59-$B64)/Reference!$D$28,0)&lt;4,0.875,0.9375)))))</f>
        <v>0</v>
      </c>
      <c r="G64" s="135">
        <f>HLOOKUP($B64,$C$59:$Q$60,2,FALSE)*Reference!$C$23*(1-IF(ROUNDDOWN((G$59-$B64)/Reference!$D$23,0)&lt;1,0,IF(ROUNDDOWN((G$59-$B64)/Reference!$D$23,0)&lt;2,0.5,IF(ROUNDDOWN((G$59-$B64)/Reference!$D$23,0)&lt;3,0.75,IF(ROUNDDOWN((G$59-$B64)/Reference!$D$23,0)&lt;4,0.875,0.9375)))))+HLOOKUP($B64,$C$59:$Q$60,2,FALSE)*Reference!$C$24*(1-IF(ROUNDDOWN((G$59-$B64)/Reference!$D$24,0)&lt;1,0,IF(ROUNDDOWN((G$59-$B64)/Reference!$D$24,0)&lt;2,0.5,IF(ROUNDDOWN((G$59-$B64)/Reference!$D$24,0)&lt;3,0.75,IF(ROUNDDOWN((G$59-$B64)/Reference!$D$24,0)&lt;4,0.875,0.9375)))))+HLOOKUP($B64,$C$59:$Q$60,2,FALSE)*Reference!$C$25*(1-IF(ROUNDDOWN((G$59-$B64)/Reference!$D$25,0)&lt;1,0,IF(ROUNDDOWN((G$59-$B64)/Reference!$D$25,0)&lt;2,0.5,IF(ROUNDDOWN((G$59-$B64)/Reference!$D$25,0)&lt;3,0.75,IF(ROUNDDOWN((G$59-$B64)/Reference!$D$25,0)&lt;4,0.875,0.9375)))))+HLOOKUP($B64,$C$59:$Q$60,2,FALSE)*Reference!$C$26*(1-IF(ROUNDDOWN((G$59-$B64)/Reference!$D$26,0)&lt;1,0,IF(ROUNDDOWN((G$59-$B64)/Reference!$D$26,0)&lt;2,0.5,IF(ROUNDDOWN((G$59-$B64)/Reference!$D$26,0)&lt;3,0.75,IF(ROUNDDOWN((G$59-$B64)/Reference!$D$26,0)&lt;4,0.875,0.9375)))))+HLOOKUP($B64,$C$59:$Q$60,2,FALSE)*Reference!$C$27*(1-IF(ROUNDDOWN((G$59-$B64)/Reference!$D$27,0)&lt;1,0,IF(ROUNDDOWN((G$59-$B64)/Reference!$D$27,0)&lt;2,0.5,IF(ROUNDDOWN((G$59-$B64)/Reference!$D$27,0)&lt;3,0.75,IF(ROUNDDOWN((G$59-$B64)/Reference!$D$27,0)&lt;4,0.875,0.9375)))))+HLOOKUP($B64,$C$59:$Q$60,2,FALSE)*Reference!$C$28*(1-IF(ROUNDDOWN((G$59-$B64)/Reference!$D$28,0)&lt;1,0,IF(ROUNDDOWN((G$59-$B64)/Reference!$D$28,0)&lt;2,0.5,IF(ROUNDDOWN((G$59-$B64)/Reference!$D$28,0)&lt;3,0.75,IF(ROUNDDOWN((G$59-$B64)/Reference!$D$28,0)&lt;4,0.875,0.9375)))))</f>
        <v>0</v>
      </c>
      <c r="H64" s="135">
        <f>HLOOKUP($B64,$C$59:$Q$60,2,FALSE)*Reference!$C$23*(1-IF(ROUNDDOWN((H$59-$B64)/Reference!$D$23,0)&lt;1,0,IF(ROUNDDOWN((H$59-$B64)/Reference!$D$23,0)&lt;2,0.5,IF(ROUNDDOWN((H$59-$B64)/Reference!$D$23,0)&lt;3,0.75,IF(ROUNDDOWN((H$59-$B64)/Reference!$D$23,0)&lt;4,0.875,0.9375)))))+HLOOKUP($B64,$C$59:$Q$60,2,FALSE)*Reference!$C$24*(1-IF(ROUNDDOWN((H$59-$B64)/Reference!$D$24,0)&lt;1,0,IF(ROUNDDOWN((H$59-$B64)/Reference!$D$24,0)&lt;2,0.5,IF(ROUNDDOWN((H$59-$B64)/Reference!$D$24,0)&lt;3,0.75,IF(ROUNDDOWN((H$59-$B64)/Reference!$D$24,0)&lt;4,0.875,0.9375)))))+HLOOKUP($B64,$C$59:$Q$60,2,FALSE)*Reference!$C$25*(1-IF(ROUNDDOWN((H$59-$B64)/Reference!$D$25,0)&lt;1,0,IF(ROUNDDOWN((H$59-$B64)/Reference!$D$25,0)&lt;2,0.5,IF(ROUNDDOWN((H$59-$B64)/Reference!$D$25,0)&lt;3,0.75,IF(ROUNDDOWN((H$59-$B64)/Reference!$D$25,0)&lt;4,0.875,0.9375)))))+HLOOKUP($B64,$C$59:$Q$60,2,FALSE)*Reference!$C$26*(1-IF(ROUNDDOWN((H$59-$B64)/Reference!$D$26,0)&lt;1,0,IF(ROUNDDOWN((H$59-$B64)/Reference!$D$26,0)&lt;2,0.5,IF(ROUNDDOWN((H$59-$B64)/Reference!$D$26,0)&lt;3,0.75,IF(ROUNDDOWN((H$59-$B64)/Reference!$D$26,0)&lt;4,0.875,0.9375)))))+HLOOKUP($B64,$C$59:$Q$60,2,FALSE)*Reference!$C$27*(1-IF(ROUNDDOWN((H$59-$B64)/Reference!$D$27,0)&lt;1,0,IF(ROUNDDOWN((H$59-$B64)/Reference!$D$27,0)&lt;2,0.5,IF(ROUNDDOWN((H$59-$B64)/Reference!$D$27,0)&lt;3,0.75,IF(ROUNDDOWN((H$59-$B64)/Reference!$D$27,0)&lt;4,0.875,0.9375)))))+HLOOKUP($B64,$C$59:$Q$60,2,FALSE)*Reference!$C$28*(1-IF(ROUNDDOWN((H$59-$B64)/Reference!$D$28,0)&lt;1,0,IF(ROUNDDOWN((H$59-$B64)/Reference!$D$28,0)&lt;2,0.5,IF(ROUNDDOWN((H$59-$B64)/Reference!$D$28,0)&lt;3,0.75,IF(ROUNDDOWN((H$59-$B64)/Reference!$D$28,0)&lt;4,0.875,0.9375)))))</f>
        <v>0</v>
      </c>
      <c r="I64" s="135">
        <f>HLOOKUP($B64,$C$59:$Q$60,2,FALSE)*Reference!$C$23*(1-IF(ROUNDDOWN((I$59-$B64)/Reference!$D$23,0)&lt;1,0,IF(ROUNDDOWN((I$59-$B64)/Reference!$D$23,0)&lt;2,0.5,IF(ROUNDDOWN((I$59-$B64)/Reference!$D$23,0)&lt;3,0.75,IF(ROUNDDOWN((I$59-$B64)/Reference!$D$23,0)&lt;4,0.875,0.9375)))))+HLOOKUP($B64,$C$59:$Q$60,2,FALSE)*Reference!$C$24*(1-IF(ROUNDDOWN((I$59-$B64)/Reference!$D$24,0)&lt;1,0,IF(ROUNDDOWN((I$59-$B64)/Reference!$D$24,0)&lt;2,0.5,IF(ROUNDDOWN((I$59-$B64)/Reference!$D$24,0)&lt;3,0.75,IF(ROUNDDOWN((I$59-$B64)/Reference!$D$24,0)&lt;4,0.875,0.9375)))))+HLOOKUP($B64,$C$59:$Q$60,2,FALSE)*Reference!$C$25*(1-IF(ROUNDDOWN((I$59-$B64)/Reference!$D$25,0)&lt;1,0,IF(ROUNDDOWN((I$59-$B64)/Reference!$D$25,0)&lt;2,0.5,IF(ROUNDDOWN((I$59-$B64)/Reference!$D$25,0)&lt;3,0.75,IF(ROUNDDOWN((I$59-$B64)/Reference!$D$25,0)&lt;4,0.875,0.9375)))))+HLOOKUP($B64,$C$59:$Q$60,2,FALSE)*Reference!$C$26*(1-IF(ROUNDDOWN((I$59-$B64)/Reference!$D$26,0)&lt;1,0,IF(ROUNDDOWN((I$59-$B64)/Reference!$D$26,0)&lt;2,0.5,IF(ROUNDDOWN((I$59-$B64)/Reference!$D$26,0)&lt;3,0.75,IF(ROUNDDOWN((I$59-$B64)/Reference!$D$26,0)&lt;4,0.875,0.9375)))))+HLOOKUP($B64,$C$59:$Q$60,2,FALSE)*Reference!$C$27*(1-IF(ROUNDDOWN((I$59-$B64)/Reference!$D$27,0)&lt;1,0,IF(ROUNDDOWN((I$59-$B64)/Reference!$D$27,0)&lt;2,0.5,IF(ROUNDDOWN((I$59-$B64)/Reference!$D$27,0)&lt;3,0.75,IF(ROUNDDOWN((I$59-$B64)/Reference!$D$27,0)&lt;4,0.875,0.9375)))))+HLOOKUP($B64,$C$59:$Q$60,2,FALSE)*Reference!$C$28*(1-IF(ROUNDDOWN((I$59-$B64)/Reference!$D$28,0)&lt;1,0,IF(ROUNDDOWN((I$59-$B64)/Reference!$D$28,0)&lt;2,0.5,IF(ROUNDDOWN((I$59-$B64)/Reference!$D$28,0)&lt;3,0.75,IF(ROUNDDOWN((I$59-$B64)/Reference!$D$28,0)&lt;4,0.875,0.9375)))))</f>
        <v>0</v>
      </c>
      <c r="J64" s="135">
        <f>HLOOKUP($B64,$C$59:$Q$60,2,FALSE)*Reference!$C$23*(1-IF(ROUNDDOWN((J$59-$B64)/Reference!$D$23,0)&lt;1,0,IF(ROUNDDOWN((J$59-$B64)/Reference!$D$23,0)&lt;2,0.5,IF(ROUNDDOWN((J$59-$B64)/Reference!$D$23,0)&lt;3,0.75,IF(ROUNDDOWN((J$59-$B64)/Reference!$D$23,0)&lt;4,0.875,0.9375)))))+HLOOKUP($B64,$C$59:$Q$60,2,FALSE)*Reference!$C$24*(1-IF(ROUNDDOWN((J$59-$B64)/Reference!$D$24,0)&lt;1,0,IF(ROUNDDOWN((J$59-$B64)/Reference!$D$24,0)&lt;2,0.5,IF(ROUNDDOWN((J$59-$B64)/Reference!$D$24,0)&lt;3,0.75,IF(ROUNDDOWN((J$59-$B64)/Reference!$D$24,0)&lt;4,0.875,0.9375)))))+HLOOKUP($B64,$C$59:$Q$60,2,FALSE)*Reference!$C$25*(1-IF(ROUNDDOWN((J$59-$B64)/Reference!$D$25,0)&lt;1,0,IF(ROUNDDOWN((J$59-$B64)/Reference!$D$25,0)&lt;2,0.5,IF(ROUNDDOWN((J$59-$B64)/Reference!$D$25,0)&lt;3,0.75,IF(ROUNDDOWN((J$59-$B64)/Reference!$D$25,0)&lt;4,0.875,0.9375)))))+HLOOKUP($B64,$C$59:$Q$60,2,FALSE)*Reference!$C$26*(1-IF(ROUNDDOWN((J$59-$B64)/Reference!$D$26,0)&lt;1,0,IF(ROUNDDOWN((J$59-$B64)/Reference!$D$26,0)&lt;2,0.5,IF(ROUNDDOWN((J$59-$B64)/Reference!$D$26,0)&lt;3,0.75,IF(ROUNDDOWN((J$59-$B64)/Reference!$D$26,0)&lt;4,0.875,0.9375)))))+HLOOKUP($B64,$C$59:$Q$60,2,FALSE)*Reference!$C$27*(1-IF(ROUNDDOWN((J$59-$B64)/Reference!$D$27,0)&lt;1,0,IF(ROUNDDOWN((J$59-$B64)/Reference!$D$27,0)&lt;2,0.5,IF(ROUNDDOWN((J$59-$B64)/Reference!$D$27,0)&lt;3,0.75,IF(ROUNDDOWN((J$59-$B64)/Reference!$D$27,0)&lt;4,0.875,0.9375)))))+HLOOKUP($B64,$C$59:$Q$60,2,FALSE)*Reference!$C$28*(1-IF(ROUNDDOWN((J$59-$B64)/Reference!$D$28,0)&lt;1,0,IF(ROUNDDOWN((J$59-$B64)/Reference!$D$28,0)&lt;2,0.5,IF(ROUNDDOWN((J$59-$B64)/Reference!$D$28,0)&lt;3,0.75,IF(ROUNDDOWN((J$59-$B64)/Reference!$D$28,0)&lt;4,0.875,0.9375)))))</f>
        <v>0</v>
      </c>
      <c r="K64" s="135">
        <f>HLOOKUP($B64,$C$59:$Q$60,2,FALSE)*Reference!$C$23*(1-IF(ROUNDDOWN((K$59-$B64)/Reference!$D$23,0)&lt;1,0,IF(ROUNDDOWN((K$59-$B64)/Reference!$D$23,0)&lt;2,0.5,IF(ROUNDDOWN((K$59-$B64)/Reference!$D$23,0)&lt;3,0.75,IF(ROUNDDOWN((K$59-$B64)/Reference!$D$23,0)&lt;4,0.875,0.9375)))))+HLOOKUP($B64,$C$59:$Q$60,2,FALSE)*Reference!$C$24*(1-IF(ROUNDDOWN((K$59-$B64)/Reference!$D$24,0)&lt;1,0,IF(ROUNDDOWN((K$59-$B64)/Reference!$D$24,0)&lt;2,0.5,IF(ROUNDDOWN((K$59-$B64)/Reference!$D$24,0)&lt;3,0.75,IF(ROUNDDOWN((K$59-$B64)/Reference!$D$24,0)&lt;4,0.875,0.9375)))))+HLOOKUP($B64,$C$59:$Q$60,2,FALSE)*Reference!$C$25*(1-IF(ROUNDDOWN((K$59-$B64)/Reference!$D$25,0)&lt;1,0,IF(ROUNDDOWN((K$59-$B64)/Reference!$D$25,0)&lt;2,0.5,IF(ROUNDDOWN((K$59-$B64)/Reference!$D$25,0)&lt;3,0.75,IF(ROUNDDOWN((K$59-$B64)/Reference!$D$25,0)&lt;4,0.875,0.9375)))))+HLOOKUP($B64,$C$59:$Q$60,2,FALSE)*Reference!$C$26*(1-IF(ROUNDDOWN((K$59-$B64)/Reference!$D$26,0)&lt;1,0,IF(ROUNDDOWN((K$59-$B64)/Reference!$D$26,0)&lt;2,0.5,IF(ROUNDDOWN((K$59-$B64)/Reference!$D$26,0)&lt;3,0.75,IF(ROUNDDOWN((K$59-$B64)/Reference!$D$26,0)&lt;4,0.875,0.9375)))))+HLOOKUP($B64,$C$59:$Q$60,2,FALSE)*Reference!$C$27*(1-IF(ROUNDDOWN((K$59-$B64)/Reference!$D$27,0)&lt;1,0,IF(ROUNDDOWN((K$59-$B64)/Reference!$D$27,0)&lt;2,0.5,IF(ROUNDDOWN((K$59-$B64)/Reference!$D$27,0)&lt;3,0.75,IF(ROUNDDOWN((K$59-$B64)/Reference!$D$27,0)&lt;4,0.875,0.9375)))))+HLOOKUP($B64,$C$59:$Q$60,2,FALSE)*Reference!$C$28*(1-IF(ROUNDDOWN((K$59-$B64)/Reference!$D$28,0)&lt;1,0,IF(ROUNDDOWN((K$59-$B64)/Reference!$D$28,0)&lt;2,0.5,IF(ROUNDDOWN((K$59-$B64)/Reference!$D$28,0)&lt;3,0.75,IF(ROUNDDOWN((K$59-$B64)/Reference!$D$28,0)&lt;4,0.875,0.9375)))))</f>
        <v>0</v>
      </c>
      <c r="L64" s="135">
        <f>HLOOKUP($B64,$C$59:$Q$60,2,FALSE)*Reference!$C$23*(1-IF(ROUNDDOWN((L$59-$B64)/Reference!$D$23,0)&lt;1,0,IF(ROUNDDOWN((L$59-$B64)/Reference!$D$23,0)&lt;2,0.5,IF(ROUNDDOWN((L$59-$B64)/Reference!$D$23,0)&lt;3,0.75,IF(ROUNDDOWN((L$59-$B64)/Reference!$D$23,0)&lt;4,0.875,0.9375)))))+HLOOKUP($B64,$C$59:$Q$60,2,FALSE)*Reference!$C$24*(1-IF(ROUNDDOWN((L$59-$B64)/Reference!$D$24,0)&lt;1,0,IF(ROUNDDOWN((L$59-$B64)/Reference!$D$24,0)&lt;2,0.5,IF(ROUNDDOWN((L$59-$B64)/Reference!$D$24,0)&lt;3,0.75,IF(ROUNDDOWN((L$59-$B64)/Reference!$D$24,0)&lt;4,0.875,0.9375)))))+HLOOKUP($B64,$C$59:$Q$60,2,FALSE)*Reference!$C$25*(1-IF(ROUNDDOWN((L$59-$B64)/Reference!$D$25,0)&lt;1,0,IF(ROUNDDOWN((L$59-$B64)/Reference!$D$25,0)&lt;2,0.5,IF(ROUNDDOWN((L$59-$B64)/Reference!$D$25,0)&lt;3,0.75,IF(ROUNDDOWN((L$59-$B64)/Reference!$D$25,0)&lt;4,0.875,0.9375)))))+HLOOKUP($B64,$C$59:$Q$60,2,FALSE)*Reference!$C$26*(1-IF(ROUNDDOWN((L$59-$B64)/Reference!$D$26,0)&lt;1,0,IF(ROUNDDOWN((L$59-$B64)/Reference!$D$26,0)&lt;2,0.5,IF(ROUNDDOWN((L$59-$B64)/Reference!$D$26,0)&lt;3,0.75,IF(ROUNDDOWN((L$59-$B64)/Reference!$D$26,0)&lt;4,0.875,0.9375)))))+HLOOKUP($B64,$C$59:$Q$60,2,FALSE)*Reference!$C$27*(1-IF(ROUNDDOWN((L$59-$B64)/Reference!$D$27,0)&lt;1,0,IF(ROUNDDOWN((L$59-$B64)/Reference!$D$27,0)&lt;2,0.5,IF(ROUNDDOWN((L$59-$B64)/Reference!$D$27,0)&lt;3,0.75,IF(ROUNDDOWN((L$59-$B64)/Reference!$D$27,0)&lt;4,0.875,0.9375)))))+HLOOKUP($B64,$C$59:$Q$60,2,FALSE)*Reference!$C$28*(1-IF(ROUNDDOWN((L$59-$B64)/Reference!$D$28,0)&lt;1,0,IF(ROUNDDOWN((L$59-$B64)/Reference!$D$28,0)&lt;2,0.5,IF(ROUNDDOWN((L$59-$B64)/Reference!$D$28,0)&lt;3,0.75,IF(ROUNDDOWN((L$59-$B64)/Reference!$D$28,0)&lt;4,0.875,0.9375)))))</f>
        <v>0</v>
      </c>
      <c r="M64" s="135">
        <f>HLOOKUP($B64,$C$59:$Q$60,2,FALSE)*Reference!$C$23*(1-IF(ROUNDDOWN((M$59-$B64)/Reference!$D$23,0)&lt;1,0,IF(ROUNDDOWN((M$59-$B64)/Reference!$D$23,0)&lt;2,0.5,IF(ROUNDDOWN((M$59-$B64)/Reference!$D$23,0)&lt;3,0.75,IF(ROUNDDOWN((M$59-$B64)/Reference!$D$23,0)&lt;4,0.875,0.9375)))))+HLOOKUP($B64,$C$59:$Q$60,2,FALSE)*Reference!$C$24*(1-IF(ROUNDDOWN((M$59-$B64)/Reference!$D$24,0)&lt;1,0,IF(ROUNDDOWN((M$59-$B64)/Reference!$D$24,0)&lt;2,0.5,IF(ROUNDDOWN((M$59-$B64)/Reference!$D$24,0)&lt;3,0.75,IF(ROUNDDOWN((M$59-$B64)/Reference!$D$24,0)&lt;4,0.875,0.9375)))))+HLOOKUP($B64,$C$59:$Q$60,2,FALSE)*Reference!$C$25*(1-IF(ROUNDDOWN((M$59-$B64)/Reference!$D$25,0)&lt;1,0,IF(ROUNDDOWN((M$59-$B64)/Reference!$D$25,0)&lt;2,0.5,IF(ROUNDDOWN((M$59-$B64)/Reference!$D$25,0)&lt;3,0.75,IF(ROUNDDOWN((M$59-$B64)/Reference!$D$25,0)&lt;4,0.875,0.9375)))))+HLOOKUP($B64,$C$59:$Q$60,2,FALSE)*Reference!$C$26*(1-IF(ROUNDDOWN((M$59-$B64)/Reference!$D$26,0)&lt;1,0,IF(ROUNDDOWN((M$59-$B64)/Reference!$D$26,0)&lt;2,0.5,IF(ROUNDDOWN((M$59-$B64)/Reference!$D$26,0)&lt;3,0.75,IF(ROUNDDOWN((M$59-$B64)/Reference!$D$26,0)&lt;4,0.875,0.9375)))))+HLOOKUP($B64,$C$59:$Q$60,2,FALSE)*Reference!$C$27*(1-IF(ROUNDDOWN((M$59-$B64)/Reference!$D$27,0)&lt;1,0,IF(ROUNDDOWN((M$59-$B64)/Reference!$D$27,0)&lt;2,0.5,IF(ROUNDDOWN((M$59-$B64)/Reference!$D$27,0)&lt;3,0.75,IF(ROUNDDOWN((M$59-$B64)/Reference!$D$27,0)&lt;4,0.875,0.9375)))))+HLOOKUP($B64,$C$59:$Q$60,2,FALSE)*Reference!$C$28*(1-IF(ROUNDDOWN((M$59-$B64)/Reference!$D$28,0)&lt;1,0,IF(ROUNDDOWN((M$59-$B64)/Reference!$D$28,0)&lt;2,0.5,IF(ROUNDDOWN((M$59-$B64)/Reference!$D$28,0)&lt;3,0.75,IF(ROUNDDOWN((M$59-$B64)/Reference!$D$28,0)&lt;4,0.875,0.9375)))))</f>
        <v>0</v>
      </c>
      <c r="N64" s="135">
        <f>HLOOKUP($B64,$C$59:$Q$60,2,FALSE)*Reference!$C$23*(1-IF(ROUNDDOWN((N$59-$B64)/Reference!$D$23,0)&lt;1,0,IF(ROUNDDOWN((N$59-$B64)/Reference!$D$23,0)&lt;2,0.5,IF(ROUNDDOWN((N$59-$B64)/Reference!$D$23,0)&lt;3,0.75,IF(ROUNDDOWN((N$59-$B64)/Reference!$D$23,0)&lt;4,0.875,0.9375)))))+HLOOKUP($B64,$C$59:$Q$60,2,FALSE)*Reference!$C$24*(1-IF(ROUNDDOWN((N$59-$B64)/Reference!$D$24,0)&lt;1,0,IF(ROUNDDOWN((N$59-$B64)/Reference!$D$24,0)&lt;2,0.5,IF(ROUNDDOWN((N$59-$B64)/Reference!$D$24,0)&lt;3,0.75,IF(ROUNDDOWN((N$59-$B64)/Reference!$D$24,0)&lt;4,0.875,0.9375)))))+HLOOKUP($B64,$C$59:$Q$60,2,FALSE)*Reference!$C$25*(1-IF(ROUNDDOWN((N$59-$B64)/Reference!$D$25,0)&lt;1,0,IF(ROUNDDOWN((N$59-$B64)/Reference!$D$25,0)&lt;2,0.5,IF(ROUNDDOWN((N$59-$B64)/Reference!$D$25,0)&lt;3,0.75,IF(ROUNDDOWN((N$59-$B64)/Reference!$D$25,0)&lt;4,0.875,0.9375)))))+HLOOKUP($B64,$C$59:$Q$60,2,FALSE)*Reference!$C$26*(1-IF(ROUNDDOWN((N$59-$B64)/Reference!$D$26,0)&lt;1,0,IF(ROUNDDOWN((N$59-$B64)/Reference!$D$26,0)&lt;2,0.5,IF(ROUNDDOWN((N$59-$B64)/Reference!$D$26,0)&lt;3,0.75,IF(ROUNDDOWN((N$59-$B64)/Reference!$D$26,0)&lt;4,0.875,0.9375)))))+HLOOKUP($B64,$C$59:$Q$60,2,FALSE)*Reference!$C$27*(1-IF(ROUNDDOWN((N$59-$B64)/Reference!$D$27,0)&lt;1,0,IF(ROUNDDOWN((N$59-$B64)/Reference!$D$27,0)&lt;2,0.5,IF(ROUNDDOWN((N$59-$B64)/Reference!$D$27,0)&lt;3,0.75,IF(ROUNDDOWN((N$59-$B64)/Reference!$D$27,0)&lt;4,0.875,0.9375)))))+HLOOKUP($B64,$C$59:$Q$60,2,FALSE)*Reference!$C$28*(1-IF(ROUNDDOWN((N$59-$B64)/Reference!$D$28,0)&lt;1,0,IF(ROUNDDOWN((N$59-$B64)/Reference!$D$28,0)&lt;2,0.5,IF(ROUNDDOWN((N$59-$B64)/Reference!$D$28,0)&lt;3,0.75,IF(ROUNDDOWN((N$59-$B64)/Reference!$D$28,0)&lt;4,0.875,0.9375)))))</f>
        <v>0</v>
      </c>
      <c r="O64" s="135">
        <f>HLOOKUP($B64,$C$59:$Q$60,2,FALSE)*Reference!$C$23*(1-IF(ROUNDDOWN((O$59-$B64)/Reference!$D$23,0)&lt;1,0,IF(ROUNDDOWN((O$59-$B64)/Reference!$D$23,0)&lt;2,0.5,IF(ROUNDDOWN((O$59-$B64)/Reference!$D$23,0)&lt;3,0.75,IF(ROUNDDOWN((O$59-$B64)/Reference!$D$23,0)&lt;4,0.875,0.9375)))))+HLOOKUP($B64,$C$59:$Q$60,2,FALSE)*Reference!$C$24*(1-IF(ROUNDDOWN((O$59-$B64)/Reference!$D$24,0)&lt;1,0,IF(ROUNDDOWN((O$59-$B64)/Reference!$D$24,0)&lt;2,0.5,IF(ROUNDDOWN((O$59-$B64)/Reference!$D$24,0)&lt;3,0.75,IF(ROUNDDOWN((O$59-$B64)/Reference!$D$24,0)&lt;4,0.875,0.9375)))))+HLOOKUP($B64,$C$59:$Q$60,2,FALSE)*Reference!$C$25*(1-IF(ROUNDDOWN((O$59-$B64)/Reference!$D$25,0)&lt;1,0,IF(ROUNDDOWN((O$59-$B64)/Reference!$D$25,0)&lt;2,0.5,IF(ROUNDDOWN((O$59-$B64)/Reference!$D$25,0)&lt;3,0.75,IF(ROUNDDOWN((O$59-$B64)/Reference!$D$25,0)&lt;4,0.875,0.9375)))))+HLOOKUP($B64,$C$59:$Q$60,2,FALSE)*Reference!$C$26*(1-IF(ROUNDDOWN((O$59-$B64)/Reference!$D$26,0)&lt;1,0,IF(ROUNDDOWN((O$59-$B64)/Reference!$D$26,0)&lt;2,0.5,IF(ROUNDDOWN((O$59-$B64)/Reference!$D$26,0)&lt;3,0.75,IF(ROUNDDOWN((O$59-$B64)/Reference!$D$26,0)&lt;4,0.875,0.9375)))))+HLOOKUP($B64,$C$59:$Q$60,2,FALSE)*Reference!$C$27*(1-IF(ROUNDDOWN((O$59-$B64)/Reference!$D$27,0)&lt;1,0,IF(ROUNDDOWN((O$59-$B64)/Reference!$D$27,0)&lt;2,0.5,IF(ROUNDDOWN((O$59-$B64)/Reference!$D$27,0)&lt;3,0.75,IF(ROUNDDOWN((O$59-$B64)/Reference!$D$27,0)&lt;4,0.875,0.9375)))))+HLOOKUP($B64,$C$59:$Q$60,2,FALSE)*Reference!$C$28*(1-IF(ROUNDDOWN((O$59-$B64)/Reference!$D$28,0)&lt;1,0,IF(ROUNDDOWN((O$59-$B64)/Reference!$D$28,0)&lt;2,0.5,IF(ROUNDDOWN((O$59-$B64)/Reference!$D$28,0)&lt;3,0.75,IF(ROUNDDOWN((O$59-$B64)/Reference!$D$28,0)&lt;4,0.875,0.9375)))))</f>
        <v>0</v>
      </c>
      <c r="P64" s="135">
        <f>HLOOKUP($B64,$C$59:$Q$60,2,FALSE)*Reference!$C$23*(1-IF(ROUNDDOWN((P$59-$B64)/Reference!$D$23,0)&lt;1,0,IF(ROUNDDOWN((P$59-$B64)/Reference!$D$23,0)&lt;2,0.5,IF(ROUNDDOWN((P$59-$B64)/Reference!$D$23,0)&lt;3,0.75,IF(ROUNDDOWN((P$59-$B64)/Reference!$D$23,0)&lt;4,0.875,0.9375)))))+HLOOKUP($B64,$C$59:$Q$60,2,FALSE)*Reference!$C$24*(1-IF(ROUNDDOWN((P$59-$B64)/Reference!$D$24,0)&lt;1,0,IF(ROUNDDOWN((P$59-$B64)/Reference!$D$24,0)&lt;2,0.5,IF(ROUNDDOWN((P$59-$B64)/Reference!$D$24,0)&lt;3,0.75,IF(ROUNDDOWN((P$59-$B64)/Reference!$D$24,0)&lt;4,0.875,0.9375)))))+HLOOKUP($B64,$C$59:$Q$60,2,FALSE)*Reference!$C$25*(1-IF(ROUNDDOWN((P$59-$B64)/Reference!$D$25,0)&lt;1,0,IF(ROUNDDOWN((P$59-$B64)/Reference!$D$25,0)&lt;2,0.5,IF(ROUNDDOWN((P$59-$B64)/Reference!$D$25,0)&lt;3,0.75,IF(ROUNDDOWN((P$59-$B64)/Reference!$D$25,0)&lt;4,0.875,0.9375)))))+HLOOKUP($B64,$C$59:$Q$60,2,FALSE)*Reference!$C$26*(1-IF(ROUNDDOWN((P$59-$B64)/Reference!$D$26,0)&lt;1,0,IF(ROUNDDOWN((P$59-$B64)/Reference!$D$26,0)&lt;2,0.5,IF(ROUNDDOWN((P$59-$B64)/Reference!$D$26,0)&lt;3,0.75,IF(ROUNDDOWN((P$59-$B64)/Reference!$D$26,0)&lt;4,0.875,0.9375)))))+HLOOKUP($B64,$C$59:$Q$60,2,FALSE)*Reference!$C$27*(1-IF(ROUNDDOWN((P$59-$B64)/Reference!$D$27,0)&lt;1,0,IF(ROUNDDOWN((P$59-$B64)/Reference!$D$27,0)&lt;2,0.5,IF(ROUNDDOWN((P$59-$B64)/Reference!$D$27,0)&lt;3,0.75,IF(ROUNDDOWN((P$59-$B64)/Reference!$D$27,0)&lt;4,0.875,0.9375)))))+HLOOKUP($B64,$C$59:$Q$60,2,FALSE)*Reference!$C$28*(1-IF(ROUNDDOWN((P$59-$B64)/Reference!$D$28,0)&lt;1,0,IF(ROUNDDOWN((P$59-$B64)/Reference!$D$28,0)&lt;2,0.5,IF(ROUNDDOWN((P$59-$B64)/Reference!$D$28,0)&lt;3,0.75,IF(ROUNDDOWN((P$59-$B64)/Reference!$D$28,0)&lt;4,0.875,0.9375)))))</f>
        <v>0</v>
      </c>
      <c r="Q64" s="135">
        <f>HLOOKUP($B64,$C$59:$Q$60,2,FALSE)*Reference!$C$23*(1-IF(ROUNDDOWN((Q$59-$B64)/Reference!$D$23,0)&lt;1,0,IF(ROUNDDOWN((Q$59-$B64)/Reference!$D$23,0)&lt;2,0.5,IF(ROUNDDOWN((Q$59-$B64)/Reference!$D$23,0)&lt;3,0.75,IF(ROUNDDOWN((Q$59-$B64)/Reference!$D$23,0)&lt;4,0.875,0.9375)))))+HLOOKUP($B64,$C$59:$Q$60,2,FALSE)*Reference!$C$24*(1-IF(ROUNDDOWN((Q$59-$B64)/Reference!$D$24,0)&lt;1,0,IF(ROUNDDOWN((Q$59-$B64)/Reference!$D$24,0)&lt;2,0.5,IF(ROUNDDOWN((Q$59-$B64)/Reference!$D$24,0)&lt;3,0.75,IF(ROUNDDOWN((Q$59-$B64)/Reference!$D$24,0)&lt;4,0.875,0.9375)))))+HLOOKUP($B64,$C$59:$Q$60,2,FALSE)*Reference!$C$25*(1-IF(ROUNDDOWN((Q$59-$B64)/Reference!$D$25,0)&lt;1,0,IF(ROUNDDOWN((Q$59-$B64)/Reference!$D$25,0)&lt;2,0.5,IF(ROUNDDOWN((Q$59-$B64)/Reference!$D$25,0)&lt;3,0.75,IF(ROUNDDOWN((Q$59-$B64)/Reference!$D$25,0)&lt;4,0.875,0.9375)))))+HLOOKUP($B64,$C$59:$Q$60,2,FALSE)*Reference!$C$26*(1-IF(ROUNDDOWN((Q$59-$B64)/Reference!$D$26,0)&lt;1,0,IF(ROUNDDOWN((Q$59-$B64)/Reference!$D$26,0)&lt;2,0.5,IF(ROUNDDOWN((Q$59-$B64)/Reference!$D$26,0)&lt;3,0.75,IF(ROUNDDOWN((Q$59-$B64)/Reference!$D$26,0)&lt;4,0.875,0.9375)))))+HLOOKUP($B64,$C$59:$Q$60,2,FALSE)*Reference!$C$27*(1-IF(ROUNDDOWN((Q$59-$B64)/Reference!$D$27,0)&lt;1,0,IF(ROUNDDOWN((Q$59-$B64)/Reference!$D$27,0)&lt;2,0.5,IF(ROUNDDOWN((Q$59-$B64)/Reference!$D$27,0)&lt;3,0.75,IF(ROUNDDOWN((Q$59-$B64)/Reference!$D$27,0)&lt;4,0.875,0.9375)))))+HLOOKUP($B64,$C$59:$Q$60,2,FALSE)*Reference!$C$28*(1-IF(ROUNDDOWN((Q$59-$B64)/Reference!$D$28,0)&lt;1,0,IF(ROUNDDOWN((Q$59-$B64)/Reference!$D$28,0)&lt;2,0.5,IF(ROUNDDOWN((Q$59-$B64)/Reference!$D$28,0)&lt;3,0.75,IF(ROUNDDOWN((Q$59-$B64)/Reference!$D$28,0)&lt;4,0.875,0.9375)))))</f>
        <v>0</v>
      </c>
      <c r="R64" s="50"/>
    </row>
    <row r="65" spans="2:18" x14ac:dyDescent="0.3">
      <c r="B65" s="237">
        <f t="shared" si="10"/>
        <v>2017</v>
      </c>
      <c r="C65" s="135"/>
      <c r="D65" s="135"/>
      <c r="E65" s="135">
        <f>HLOOKUP($B65,$C$59:$Q$60,2,FALSE)*Reference!$C$23*(1-IF(ROUNDDOWN((E$59-$B65)/Reference!$D$23,0)&lt;1,0,IF(ROUNDDOWN((E$59-$B65)/Reference!$D$23,0)&lt;2,0.5,IF(ROUNDDOWN((E$59-$B65)/Reference!$D$23,0)&lt;3,0.75,IF(ROUNDDOWN((E$59-$B65)/Reference!$D$23,0)&lt;4,0.875,0.9375)))))+HLOOKUP($B65,$C$59:$Q$60,2,FALSE)*Reference!$C$24*(1-IF(ROUNDDOWN((E$59-$B65)/Reference!$D$24,0)&lt;1,0,IF(ROUNDDOWN((E$59-$B65)/Reference!$D$24,0)&lt;2,0.5,IF(ROUNDDOWN((E$59-$B65)/Reference!$D$24,0)&lt;3,0.75,IF(ROUNDDOWN((E$59-$B65)/Reference!$D$24,0)&lt;4,0.875,0.9375)))))+HLOOKUP($B65,$C$59:$Q$60,2,FALSE)*Reference!$C$25*(1-IF(ROUNDDOWN((E$59-$B65)/Reference!$D$25,0)&lt;1,0,IF(ROUNDDOWN((E$59-$B65)/Reference!$D$25,0)&lt;2,0.5,IF(ROUNDDOWN((E$59-$B65)/Reference!$D$25,0)&lt;3,0.75,IF(ROUNDDOWN((E$59-$B65)/Reference!$D$25,0)&lt;4,0.875,0.9375)))))+HLOOKUP($B65,$C$59:$Q$60,2,FALSE)*Reference!$C$26*(1-IF(ROUNDDOWN((E$59-$B65)/Reference!$D$26,0)&lt;1,0,IF(ROUNDDOWN((E$59-$B65)/Reference!$D$26,0)&lt;2,0.5,IF(ROUNDDOWN((E$59-$B65)/Reference!$D$26,0)&lt;3,0.75,IF(ROUNDDOWN((E$59-$B65)/Reference!$D$26,0)&lt;4,0.875,0.9375)))))+HLOOKUP($B65,$C$59:$Q$60,2,FALSE)*Reference!$C$27*(1-IF(ROUNDDOWN((E$59-$B65)/Reference!$D$27,0)&lt;1,0,IF(ROUNDDOWN((E$59-$B65)/Reference!$D$27,0)&lt;2,0.5,IF(ROUNDDOWN((E$59-$B65)/Reference!$D$27,0)&lt;3,0.75,IF(ROUNDDOWN((E$59-$B65)/Reference!$D$27,0)&lt;4,0.875,0.9375)))))+HLOOKUP($B65,$C$59:$Q$60,2,FALSE)*Reference!$C$28*(1-IF(ROUNDDOWN((E$59-$B65)/Reference!$D$28,0)&lt;1,0,IF(ROUNDDOWN((E$59-$B65)/Reference!$D$28,0)&lt;2,0.5,IF(ROUNDDOWN((E$59-$B65)/Reference!$D$28,0)&lt;3,0.75,IF(ROUNDDOWN((E$59-$B65)/Reference!$D$28,0)&lt;4,0.875,0.9375)))))</f>
        <v>0</v>
      </c>
      <c r="F65" s="135">
        <f>HLOOKUP($B65,$C$59:$Q$60,2,FALSE)*Reference!$C$23*(1-IF(ROUNDDOWN((F$59-$B65)/Reference!$D$23,0)&lt;1,0,IF(ROUNDDOWN((F$59-$B65)/Reference!$D$23,0)&lt;2,0.5,IF(ROUNDDOWN((F$59-$B65)/Reference!$D$23,0)&lt;3,0.75,IF(ROUNDDOWN((F$59-$B65)/Reference!$D$23,0)&lt;4,0.875,0.9375)))))+HLOOKUP($B65,$C$59:$Q$60,2,FALSE)*Reference!$C$24*(1-IF(ROUNDDOWN((F$59-$B65)/Reference!$D$24,0)&lt;1,0,IF(ROUNDDOWN((F$59-$B65)/Reference!$D$24,0)&lt;2,0.5,IF(ROUNDDOWN((F$59-$B65)/Reference!$D$24,0)&lt;3,0.75,IF(ROUNDDOWN((F$59-$B65)/Reference!$D$24,0)&lt;4,0.875,0.9375)))))+HLOOKUP($B65,$C$59:$Q$60,2,FALSE)*Reference!$C$25*(1-IF(ROUNDDOWN((F$59-$B65)/Reference!$D$25,0)&lt;1,0,IF(ROUNDDOWN((F$59-$B65)/Reference!$D$25,0)&lt;2,0.5,IF(ROUNDDOWN((F$59-$B65)/Reference!$D$25,0)&lt;3,0.75,IF(ROUNDDOWN((F$59-$B65)/Reference!$D$25,0)&lt;4,0.875,0.9375)))))+HLOOKUP($B65,$C$59:$Q$60,2,FALSE)*Reference!$C$26*(1-IF(ROUNDDOWN((F$59-$B65)/Reference!$D$26,0)&lt;1,0,IF(ROUNDDOWN((F$59-$B65)/Reference!$D$26,0)&lt;2,0.5,IF(ROUNDDOWN((F$59-$B65)/Reference!$D$26,0)&lt;3,0.75,IF(ROUNDDOWN((F$59-$B65)/Reference!$D$26,0)&lt;4,0.875,0.9375)))))+HLOOKUP($B65,$C$59:$Q$60,2,FALSE)*Reference!$C$27*(1-IF(ROUNDDOWN((F$59-$B65)/Reference!$D$27,0)&lt;1,0,IF(ROUNDDOWN((F$59-$B65)/Reference!$D$27,0)&lt;2,0.5,IF(ROUNDDOWN((F$59-$B65)/Reference!$D$27,0)&lt;3,0.75,IF(ROUNDDOWN((F$59-$B65)/Reference!$D$27,0)&lt;4,0.875,0.9375)))))+HLOOKUP($B65,$C$59:$Q$60,2,FALSE)*Reference!$C$28*(1-IF(ROUNDDOWN((F$59-$B65)/Reference!$D$28,0)&lt;1,0,IF(ROUNDDOWN((F$59-$B65)/Reference!$D$28,0)&lt;2,0.5,IF(ROUNDDOWN((F$59-$B65)/Reference!$D$28,0)&lt;3,0.75,IF(ROUNDDOWN((F$59-$B65)/Reference!$D$28,0)&lt;4,0.875,0.9375)))))</f>
        <v>0</v>
      </c>
      <c r="G65" s="135">
        <f>HLOOKUP($B65,$C$59:$Q$60,2,FALSE)*Reference!$C$23*(1-IF(ROUNDDOWN((G$59-$B65)/Reference!$D$23,0)&lt;1,0,IF(ROUNDDOWN((G$59-$B65)/Reference!$D$23,0)&lt;2,0.5,IF(ROUNDDOWN((G$59-$B65)/Reference!$D$23,0)&lt;3,0.75,IF(ROUNDDOWN((G$59-$B65)/Reference!$D$23,0)&lt;4,0.875,0.9375)))))+HLOOKUP($B65,$C$59:$Q$60,2,FALSE)*Reference!$C$24*(1-IF(ROUNDDOWN((G$59-$B65)/Reference!$D$24,0)&lt;1,0,IF(ROUNDDOWN((G$59-$B65)/Reference!$D$24,0)&lt;2,0.5,IF(ROUNDDOWN((G$59-$B65)/Reference!$D$24,0)&lt;3,0.75,IF(ROUNDDOWN((G$59-$B65)/Reference!$D$24,0)&lt;4,0.875,0.9375)))))+HLOOKUP($B65,$C$59:$Q$60,2,FALSE)*Reference!$C$25*(1-IF(ROUNDDOWN((G$59-$B65)/Reference!$D$25,0)&lt;1,0,IF(ROUNDDOWN((G$59-$B65)/Reference!$D$25,0)&lt;2,0.5,IF(ROUNDDOWN((G$59-$B65)/Reference!$D$25,0)&lt;3,0.75,IF(ROUNDDOWN((G$59-$B65)/Reference!$D$25,0)&lt;4,0.875,0.9375)))))+HLOOKUP($B65,$C$59:$Q$60,2,FALSE)*Reference!$C$26*(1-IF(ROUNDDOWN((G$59-$B65)/Reference!$D$26,0)&lt;1,0,IF(ROUNDDOWN((G$59-$B65)/Reference!$D$26,0)&lt;2,0.5,IF(ROUNDDOWN((G$59-$B65)/Reference!$D$26,0)&lt;3,0.75,IF(ROUNDDOWN((G$59-$B65)/Reference!$D$26,0)&lt;4,0.875,0.9375)))))+HLOOKUP($B65,$C$59:$Q$60,2,FALSE)*Reference!$C$27*(1-IF(ROUNDDOWN((G$59-$B65)/Reference!$D$27,0)&lt;1,0,IF(ROUNDDOWN((G$59-$B65)/Reference!$D$27,0)&lt;2,0.5,IF(ROUNDDOWN((G$59-$B65)/Reference!$D$27,0)&lt;3,0.75,IF(ROUNDDOWN((G$59-$B65)/Reference!$D$27,0)&lt;4,0.875,0.9375)))))+HLOOKUP($B65,$C$59:$Q$60,2,FALSE)*Reference!$C$28*(1-IF(ROUNDDOWN((G$59-$B65)/Reference!$D$28,0)&lt;1,0,IF(ROUNDDOWN((G$59-$B65)/Reference!$D$28,0)&lt;2,0.5,IF(ROUNDDOWN((G$59-$B65)/Reference!$D$28,0)&lt;3,0.75,IF(ROUNDDOWN((G$59-$B65)/Reference!$D$28,0)&lt;4,0.875,0.9375)))))</f>
        <v>0</v>
      </c>
      <c r="H65" s="135">
        <f>HLOOKUP($B65,$C$59:$Q$60,2,FALSE)*Reference!$C$23*(1-IF(ROUNDDOWN((H$59-$B65)/Reference!$D$23,0)&lt;1,0,IF(ROUNDDOWN((H$59-$B65)/Reference!$D$23,0)&lt;2,0.5,IF(ROUNDDOWN((H$59-$B65)/Reference!$D$23,0)&lt;3,0.75,IF(ROUNDDOWN((H$59-$B65)/Reference!$D$23,0)&lt;4,0.875,0.9375)))))+HLOOKUP($B65,$C$59:$Q$60,2,FALSE)*Reference!$C$24*(1-IF(ROUNDDOWN((H$59-$B65)/Reference!$D$24,0)&lt;1,0,IF(ROUNDDOWN((H$59-$B65)/Reference!$D$24,0)&lt;2,0.5,IF(ROUNDDOWN((H$59-$B65)/Reference!$D$24,0)&lt;3,0.75,IF(ROUNDDOWN((H$59-$B65)/Reference!$D$24,0)&lt;4,0.875,0.9375)))))+HLOOKUP($B65,$C$59:$Q$60,2,FALSE)*Reference!$C$25*(1-IF(ROUNDDOWN((H$59-$B65)/Reference!$D$25,0)&lt;1,0,IF(ROUNDDOWN((H$59-$B65)/Reference!$D$25,0)&lt;2,0.5,IF(ROUNDDOWN((H$59-$B65)/Reference!$D$25,0)&lt;3,0.75,IF(ROUNDDOWN((H$59-$B65)/Reference!$D$25,0)&lt;4,0.875,0.9375)))))+HLOOKUP($B65,$C$59:$Q$60,2,FALSE)*Reference!$C$26*(1-IF(ROUNDDOWN((H$59-$B65)/Reference!$D$26,0)&lt;1,0,IF(ROUNDDOWN((H$59-$B65)/Reference!$D$26,0)&lt;2,0.5,IF(ROUNDDOWN((H$59-$B65)/Reference!$D$26,0)&lt;3,0.75,IF(ROUNDDOWN((H$59-$B65)/Reference!$D$26,0)&lt;4,0.875,0.9375)))))+HLOOKUP($B65,$C$59:$Q$60,2,FALSE)*Reference!$C$27*(1-IF(ROUNDDOWN((H$59-$B65)/Reference!$D$27,0)&lt;1,0,IF(ROUNDDOWN((H$59-$B65)/Reference!$D$27,0)&lt;2,0.5,IF(ROUNDDOWN((H$59-$B65)/Reference!$D$27,0)&lt;3,0.75,IF(ROUNDDOWN((H$59-$B65)/Reference!$D$27,0)&lt;4,0.875,0.9375)))))+HLOOKUP($B65,$C$59:$Q$60,2,FALSE)*Reference!$C$28*(1-IF(ROUNDDOWN((H$59-$B65)/Reference!$D$28,0)&lt;1,0,IF(ROUNDDOWN((H$59-$B65)/Reference!$D$28,0)&lt;2,0.5,IF(ROUNDDOWN((H$59-$B65)/Reference!$D$28,0)&lt;3,0.75,IF(ROUNDDOWN((H$59-$B65)/Reference!$D$28,0)&lt;4,0.875,0.9375)))))</f>
        <v>0</v>
      </c>
      <c r="I65" s="135">
        <f>HLOOKUP($B65,$C$59:$Q$60,2,FALSE)*Reference!$C$23*(1-IF(ROUNDDOWN((I$59-$B65)/Reference!$D$23,0)&lt;1,0,IF(ROUNDDOWN((I$59-$B65)/Reference!$D$23,0)&lt;2,0.5,IF(ROUNDDOWN((I$59-$B65)/Reference!$D$23,0)&lt;3,0.75,IF(ROUNDDOWN((I$59-$B65)/Reference!$D$23,0)&lt;4,0.875,0.9375)))))+HLOOKUP($B65,$C$59:$Q$60,2,FALSE)*Reference!$C$24*(1-IF(ROUNDDOWN((I$59-$B65)/Reference!$D$24,0)&lt;1,0,IF(ROUNDDOWN((I$59-$B65)/Reference!$D$24,0)&lt;2,0.5,IF(ROUNDDOWN((I$59-$B65)/Reference!$D$24,0)&lt;3,0.75,IF(ROUNDDOWN((I$59-$B65)/Reference!$D$24,0)&lt;4,0.875,0.9375)))))+HLOOKUP($B65,$C$59:$Q$60,2,FALSE)*Reference!$C$25*(1-IF(ROUNDDOWN((I$59-$B65)/Reference!$D$25,0)&lt;1,0,IF(ROUNDDOWN((I$59-$B65)/Reference!$D$25,0)&lt;2,0.5,IF(ROUNDDOWN((I$59-$B65)/Reference!$D$25,0)&lt;3,0.75,IF(ROUNDDOWN((I$59-$B65)/Reference!$D$25,0)&lt;4,0.875,0.9375)))))+HLOOKUP($B65,$C$59:$Q$60,2,FALSE)*Reference!$C$26*(1-IF(ROUNDDOWN((I$59-$B65)/Reference!$D$26,0)&lt;1,0,IF(ROUNDDOWN((I$59-$B65)/Reference!$D$26,0)&lt;2,0.5,IF(ROUNDDOWN((I$59-$B65)/Reference!$D$26,0)&lt;3,0.75,IF(ROUNDDOWN((I$59-$B65)/Reference!$D$26,0)&lt;4,0.875,0.9375)))))+HLOOKUP($B65,$C$59:$Q$60,2,FALSE)*Reference!$C$27*(1-IF(ROUNDDOWN((I$59-$B65)/Reference!$D$27,0)&lt;1,0,IF(ROUNDDOWN((I$59-$B65)/Reference!$D$27,0)&lt;2,0.5,IF(ROUNDDOWN((I$59-$B65)/Reference!$D$27,0)&lt;3,0.75,IF(ROUNDDOWN((I$59-$B65)/Reference!$D$27,0)&lt;4,0.875,0.9375)))))+HLOOKUP($B65,$C$59:$Q$60,2,FALSE)*Reference!$C$28*(1-IF(ROUNDDOWN((I$59-$B65)/Reference!$D$28,0)&lt;1,0,IF(ROUNDDOWN((I$59-$B65)/Reference!$D$28,0)&lt;2,0.5,IF(ROUNDDOWN((I$59-$B65)/Reference!$D$28,0)&lt;3,0.75,IF(ROUNDDOWN((I$59-$B65)/Reference!$D$28,0)&lt;4,0.875,0.9375)))))</f>
        <v>0</v>
      </c>
      <c r="J65" s="135">
        <f>HLOOKUP($B65,$C$59:$Q$60,2,FALSE)*Reference!$C$23*(1-IF(ROUNDDOWN((J$59-$B65)/Reference!$D$23,0)&lt;1,0,IF(ROUNDDOWN((J$59-$B65)/Reference!$D$23,0)&lt;2,0.5,IF(ROUNDDOWN((J$59-$B65)/Reference!$D$23,0)&lt;3,0.75,IF(ROUNDDOWN((J$59-$B65)/Reference!$D$23,0)&lt;4,0.875,0.9375)))))+HLOOKUP($B65,$C$59:$Q$60,2,FALSE)*Reference!$C$24*(1-IF(ROUNDDOWN((J$59-$B65)/Reference!$D$24,0)&lt;1,0,IF(ROUNDDOWN((J$59-$B65)/Reference!$D$24,0)&lt;2,0.5,IF(ROUNDDOWN((J$59-$B65)/Reference!$D$24,0)&lt;3,0.75,IF(ROUNDDOWN((J$59-$B65)/Reference!$D$24,0)&lt;4,0.875,0.9375)))))+HLOOKUP($B65,$C$59:$Q$60,2,FALSE)*Reference!$C$25*(1-IF(ROUNDDOWN((J$59-$B65)/Reference!$D$25,0)&lt;1,0,IF(ROUNDDOWN((J$59-$B65)/Reference!$D$25,0)&lt;2,0.5,IF(ROUNDDOWN((J$59-$B65)/Reference!$D$25,0)&lt;3,0.75,IF(ROUNDDOWN((J$59-$B65)/Reference!$D$25,0)&lt;4,0.875,0.9375)))))+HLOOKUP($B65,$C$59:$Q$60,2,FALSE)*Reference!$C$26*(1-IF(ROUNDDOWN((J$59-$B65)/Reference!$D$26,0)&lt;1,0,IF(ROUNDDOWN((J$59-$B65)/Reference!$D$26,0)&lt;2,0.5,IF(ROUNDDOWN((J$59-$B65)/Reference!$D$26,0)&lt;3,0.75,IF(ROUNDDOWN((J$59-$B65)/Reference!$D$26,0)&lt;4,0.875,0.9375)))))+HLOOKUP($B65,$C$59:$Q$60,2,FALSE)*Reference!$C$27*(1-IF(ROUNDDOWN((J$59-$B65)/Reference!$D$27,0)&lt;1,0,IF(ROUNDDOWN((J$59-$B65)/Reference!$D$27,0)&lt;2,0.5,IF(ROUNDDOWN((J$59-$B65)/Reference!$D$27,0)&lt;3,0.75,IF(ROUNDDOWN((J$59-$B65)/Reference!$D$27,0)&lt;4,0.875,0.9375)))))+HLOOKUP($B65,$C$59:$Q$60,2,FALSE)*Reference!$C$28*(1-IF(ROUNDDOWN((J$59-$B65)/Reference!$D$28,0)&lt;1,0,IF(ROUNDDOWN((J$59-$B65)/Reference!$D$28,0)&lt;2,0.5,IF(ROUNDDOWN((J$59-$B65)/Reference!$D$28,0)&lt;3,0.75,IF(ROUNDDOWN((J$59-$B65)/Reference!$D$28,0)&lt;4,0.875,0.9375)))))</f>
        <v>0</v>
      </c>
      <c r="K65" s="135">
        <f>HLOOKUP($B65,$C$59:$Q$60,2,FALSE)*Reference!$C$23*(1-IF(ROUNDDOWN((K$59-$B65)/Reference!$D$23,0)&lt;1,0,IF(ROUNDDOWN((K$59-$B65)/Reference!$D$23,0)&lt;2,0.5,IF(ROUNDDOWN((K$59-$B65)/Reference!$D$23,0)&lt;3,0.75,IF(ROUNDDOWN((K$59-$B65)/Reference!$D$23,0)&lt;4,0.875,0.9375)))))+HLOOKUP($B65,$C$59:$Q$60,2,FALSE)*Reference!$C$24*(1-IF(ROUNDDOWN((K$59-$B65)/Reference!$D$24,0)&lt;1,0,IF(ROUNDDOWN((K$59-$B65)/Reference!$D$24,0)&lt;2,0.5,IF(ROUNDDOWN((K$59-$B65)/Reference!$D$24,0)&lt;3,0.75,IF(ROUNDDOWN((K$59-$B65)/Reference!$D$24,0)&lt;4,0.875,0.9375)))))+HLOOKUP($B65,$C$59:$Q$60,2,FALSE)*Reference!$C$25*(1-IF(ROUNDDOWN((K$59-$B65)/Reference!$D$25,0)&lt;1,0,IF(ROUNDDOWN((K$59-$B65)/Reference!$D$25,0)&lt;2,0.5,IF(ROUNDDOWN((K$59-$B65)/Reference!$D$25,0)&lt;3,0.75,IF(ROUNDDOWN((K$59-$B65)/Reference!$D$25,0)&lt;4,0.875,0.9375)))))+HLOOKUP($B65,$C$59:$Q$60,2,FALSE)*Reference!$C$26*(1-IF(ROUNDDOWN((K$59-$B65)/Reference!$D$26,0)&lt;1,0,IF(ROUNDDOWN((K$59-$B65)/Reference!$D$26,0)&lt;2,0.5,IF(ROUNDDOWN((K$59-$B65)/Reference!$D$26,0)&lt;3,0.75,IF(ROUNDDOWN((K$59-$B65)/Reference!$D$26,0)&lt;4,0.875,0.9375)))))+HLOOKUP($B65,$C$59:$Q$60,2,FALSE)*Reference!$C$27*(1-IF(ROUNDDOWN((K$59-$B65)/Reference!$D$27,0)&lt;1,0,IF(ROUNDDOWN((K$59-$B65)/Reference!$D$27,0)&lt;2,0.5,IF(ROUNDDOWN((K$59-$B65)/Reference!$D$27,0)&lt;3,0.75,IF(ROUNDDOWN((K$59-$B65)/Reference!$D$27,0)&lt;4,0.875,0.9375)))))+HLOOKUP($B65,$C$59:$Q$60,2,FALSE)*Reference!$C$28*(1-IF(ROUNDDOWN((K$59-$B65)/Reference!$D$28,0)&lt;1,0,IF(ROUNDDOWN((K$59-$B65)/Reference!$D$28,0)&lt;2,0.5,IF(ROUNDDOWN((K$59-$B65)/Reference!$D$28,0)&lt;3,0.75,IF(ROUNDDOWN((K$59-$B65)/Reference!$D$28,0)&lt;4,0.875,0.9375)))))</f>
        <v>0</v>
      </c>
      <c r="L65" s="135">
        <f>HLOOKUP($B65,$C$59:$Q$60,2,FALSE)*Reference!$C$23*(1-IF(ROUNDDOWN((L$59-$B65)/Reference!$D$23,0)&lt;1,0,IF(ROUNDDOWN((L$59-$B65)/Reference!$D$23,0)&lt;2,0.5,IF(ROUNDDOWN((L$59-$B65)/Reference!$D$23,0)&lt;3,0.75,IF(ROUNDDOWN((L$59-$B65)/Reference!$D$23,0)&lt;4,0.875,0.9375)))))+HLOOKUP($B65,$C$59:$Q$60,2,FALSE)*Reference!$C$24*(1-IF(ROUNDDOWN((L$59-$B65)/Reference!$D$24,0)&lt;1,0,IF(ROUNDDOWN((L$59-$B65)/Reference!$D$24,0)&lt;2,0.5,IF(ROUNDDOWN((L$59-$B65)/Reference!$D$24,0)&lt;3,0.75,IF(ROUNDDOWN((L$59-$B65)/Reference!$D$24,0)&lt;4,0.875,0.9375)))))+HLOOKUP($B65,$C$59:$Q$60,2,FALSE)*Reference!$C$25*(1-IF(ROUNDDOWN((L$59-$B65)/Reference!$D$25,0)&lt;1,0,IF(ROUNDDOWN((L$59-$B65)/Reference!$D$25,0)&lt;2,0.5,IF(ROUNDDOWN((L$59-$B65)/Reference!$D$25,0)&lt;3,0.75,IF(ROUNDDOWN((L$59-$B65)/Reference!$D$25,0)&lt;4,0.875,0.9375)))))+HLOOKUP($B65,$C$59:$Q$60,2,FALSE)*Reference!$C$26*(1-IF(ROUNDDOWN((L$59-$B65)/Reference!$D$26,0)&lt;1,0,IF(ROUNDDOWN((L$59-$B65)/Reference!$D$26,0)&lt;2,0.5,IF(ROUNDDOWN((L$59-$B65)/Reference!$D$26,0)&lt;3,0.75,IF(ROUNDDOWN((L$59-$B65)/Reference!$D$26,0)&lt;4,0.875,0.9375)))))+HLOOKUP($B65,$C$59:$Q$60,2,FALSE)*Reference!$C$27*(1-IF(ROUNDDOWN((L$59-$B65)/Reference!$D$27,0)&lt;1,0,IF(ROUNDDOWN((L$59-$B65)/Reference!$D$27,0)&lt;2,0.5,IF(ROUNDDOWN((L$59-$B65)/Reference!$D$27,0)&lt;3,0.75,IF(ROUNDDOWN((L$59-$B65)/Reference!$D$27,0)&lt;4,0.875,0.9375)))))+HLOOKUP($B65,$C$59:$Q$60,2,FALSE)*Reference!$C$28*(1-IF(ROUNDDOWN((L$59-$B65)/Reference!$D$28,0)&lt;1,0,IF(ROUNDDOWN((L$59-$B65)/Reference!$D$28,0)&lt;2,0.5,IF(ROUNDDOWN((L$59-$B65)/Reference!$D$28,0)&lt;3,0.75,IF(ROUNDDOWN((L$59-$B65)/Reference!$D$28,0)&lt;4,0.875,0.9375)))))</f>
        <v>0</v>
      </c>
      <c r="M65" s="135">
        <f>HLOOKUP($B65,$C$59:$Q$60,2,FALSE)*Reference!$C$23*(1-IF(ROUNDDOWN((M$59-$B65)/Reference!$D$23,0)&lt;1,0,IF(ROUNDDOWN((M$59-$B65)/Reference!$D$23,0)&lt;2,0.5,IF(ROUNDDOWN((M$59-$B65)/Reference!$D$23,0)&lt;3,0.75,IF(ROUNDDOWN((M$59-$B65)/Reference!$D$23,0)&lt;4,0.875,0.9375)))))+HLOOKUP($B65,$C$59:$Q$60,2,FALSE)*Reference!$C$24*(1-IF(ROUNDDOWN((M$59-$B65)/Reference!$D$24,0)&lt;1,0,IF(ROUNDDOWN((M$59-$B65)/Reference!$D$24,0)&lt;2,0.5,IF(ROUNDDOWN((M$59-$B65)/Reference!$D$24,0)&lt;3,0.75,IF(ROUNDDOWN((M$59-$B65)/Reference!$D$24,0)&lt;4,0.875,0.9375)))))+HLOOKUP($B65,$C$59:$Q$60,2,FALSE)*Reference!$C$25*(1-IF(ROUNDDOWN((M$59-$B65)/Reference!$D$25,0)&lt;1,0,IF(ROUNDDOWN((M$59-$B65)/Reference!$D$25,0)&lt;2,0.5,IF(ROUNDDOWN((M$59-$B65)/Reference!$D$25,0)&lt;3,0.75,IF(ROUNDDOWN((M$59-$B65)/Reference!$D$25,0)&lt;4,0.875,0.9375)))))+HLOOKUP($B65,$C$59:$Q$60,2,FALSE)*Reference!$C$26*(1-IF(ROUNDDOWN((M$59-$B65)/Reference!$D$26,0)&lt;1,0,IF(ROUNDDOWN((M$59-$B65)/Reference!$D$26,0)&lt;2,0.5,IF(ROUNDDOWN((M$59-$B65)/Reference!$D$26,0)&lt;3,0.75,IF(ROUNDDOWN((M$59-$B65)/Reference!$D$26,0)&lt;4,0.875,0.9375)))))+HLOOKUP($B65,$C$59:$Q$60,2,FALSE)*Reference!$C$27*(1-IF(ROUNDDOWN((M$59-$B65)/Reference!$D$27,0)&lt;1,0,IF(ROUNDDOWN((M$59-$B65)/Reference!$D$27,0)&lt;2,0.5,IF(ROUNDDOWN((M$59-$B65)/Reference!$D$27,0)&lt;3,0.75,IF(ROUNDDOWN((M$59-$B65)/Reference!$D$27,0)&lt;4,0.875,0.9375)))))+HLOOKUP($B65,$C$59:$Q$60,2,FALSE)*Reference!$C$28*(1-IF(ROUNDDOWN((M$59-$B65)/Reference!$D$28,0)&lt;1,0,IF(ROUNDDOWN((M$59-$B65)/Reference!$D$28,0)&lt;2,0.5,IF(ROUNDDOWN((M$59-$B65)/Reference!$D$28,0)&lt;3,0.75,IF(ROUNDDOWN((M$59-$B65)/Reference!$D$28,0)&lt;4,0.875,0.9375)))))</f>
        <v>0</v>
      </c>
      <c r="N65" s="135">
        <f>HLOOKUP($B65,$C$59:$Q$60,2,FALSE)*Reference!$C$23*(1-IF(ROUNDDOWN((N$59-$B65)/Reference!$D$23,0)&lt;1,0,IF(ROUNDDOWN((N$59-$B65)/Reference!$D$23,0)&lt;2,0.5,IF(ROUNDDOWN((N$59-$B65)/Reference!$D$23,0)&lt;3,0.75,IF(ROUNDDOWN((N$59-$B65)/Reference!$D$23,0)&lt;4,0.875,0.9375)))))+HLOOKUP($B65,$C$59:$Q$60,2,FALSE)*Reference!$C$24*(1-IF(ROUNDDOWN((N$59-$B65)/Reference!$D$24,0)&lt;1,0,IF(ROUNDDOWN((N$59-$B65)/Reference!$D$24,0)&lt;2,0.5,IF(ROUNDDOWN((N$59-$B65)/Reference!$D$24,0)&lt;3,0.75,IF(ROUNDDOWN((N$59-$B65)/Reference!$D$24,0)&lt;4,0.875,0.9375)))))+HLOOKUP($B65,$C$59:$Q$60,2,FALSE)*Reference!$C$25*(1-IF(ROUNDDOWN((N$59-$B65)/Reference!$D$25,0)&lt;1,0,IF(ROUNDDOWN((N$59-$B65)/Reference!$D$25,0)&lt;2,0.5,IF(ROUNDDOWN((N$59-$B65)/Reference!$D$25,0)&lt;3,0.75,IF(ROUNDDOWN((N$59-$B65)/Reference!$D$25,0)&lt;4,0.875,0.9375)))))+HLOOKUP($B65,$C$59:$Q$60,2,FALSE)*Reference!$C$26*(1-IF(ROUNDDOWN((N$59-$B65)/Reference!$D$26,0)&lt;1,0,IF(ROUNDDOWN((N$59-$B65)/Reference!$D$26,0)&lt;2,0.5,IF(ROUNDDOWN((N$59-$B65)/Reference!$D$26,0)&lt;3,0.75,IF(ROUNDDOWN((N$59-$B65)/Reference!$D$26,0)&lt;4,0.875,0.9375)))))+HLOOKUP($B65,$C$59:$Q$60,2,FALSE)*Reference!$C$27*(1-IF(ROUNDDOWN((N$59-$B65)/Reference!$D$27,0)&lt;1,0,IF(ROUNDDOWN((N$59-$B65)/Reference!$D$27,0)&lt;2,0.5,IF(ROUNDDOWN((N$59-$B65)/Reference!$D$27,0)&lt;3,0.75,IF(ROUNDDOWN((N$59-$B65)/Reference!$D$27,0)&lt;4,0.875,0.9375)))))+HLOOKUP($B65,$C$59:$Q$60,2,FALSE)*Reference!$C$28*(1-IF(ROUNDDOWN((N$59-$B65)/Reference!$D$28,0)&lt;1,0,IF(ROUNDDOWN((N$59-$B65)/Reference!$D$28,0)&lt;2,0.5,IF(ROUNDDOWN((N$59-$B65)/Reference!$D$28,0)&lt;3,0.75,IF(ROUNDDOWN((N$59-$B65)/Reference!$D$28,0)&lt;4,0.875,0.9375)))))</f>
        <v>0</v>
      </c>
      <c r="O65" s="135">
        <f>HLOOKUP($B65,$C$59:$Q$60,2,FALSE)*Reference!$C$23*(1-IF(ROUNDDOWN((O$59-$B65)/Reference!$D$23,0)&lt;1,0,IF(ROUNDDOWN((O$59-$B65)/Reference!$D$23,0)&lt;2,0.5,IF(ROUNDDOWN((O$59-$B65)/Reference!$D$23,0)&lt;3,0.75,IF(ROUNDDOWN((O$59-$B65)/Reference!$D$23,0)&lt;4,0.875,0.9375)))))+HLOOKUP($B65,$C$59:$Q$60,2,FALSE)*Reference!$C$24*(1-IF(ROUNDDOWN((O$59-$B65)/Reference!$D$24,0)&lt;1,0,IF(ROUNDDOWN((O$59-$B65)/Reference!$D$24,0)&lt;2,0.5,IF(ROUNDDOWN((O$59-$B65)/Reference!$D$24,0)&lt;3,0.75,IF(ROUNDDOWN((O$59-$B65)/Reference!$D$24,0)&lt;4,0.875,0.9375)))))+HLOOKUP($B65,$C$59:$Q$60,2,FALSE)*Reference!$C$25*(1-IF(ROUNDDOWN((O$59-$B65)/Reference!$D$25,0)&lt;1,0,IF(ROUNDDOWN((O$59-$B65)/Reference!$D$25,0)&lt;2,0.5,IF(ROUNDDOWN((O$59-$B65)/Reference!$D$25,0)&lt;3,0.75,IF(ROUNDDOWN((O$59-$B65)/Reference!$D$25,0)&lt;4,0.875,0.9375)))))+HLOOKUP($B65,$C$59:$Q$60,2,FALSE)*Reference!$C$26*(1-IF(ROUNDDOWN((O$59-$B65)/Reference!$D$26,0)&lt;1,0,IF(ROUNDDOWN((O$59-$B65)/Reference!$D$26,0)&lt;2,0.5,IF(ROUNDDOWN((O$59-$B65)/Reference!$D$26,0)&lt;3,0.75,IF(ROUNDDOWN((O$59-$B65)/Reference!$D$26,0)&lt;4,0.875,0.9375)))))+HLOOKUP($B65,$C$59:$Q$60,2,FALSE)*Reference!$C$27*(1-IF(ROUNDDOWN((O$59-$B65)/Reference!$D$27,0)&lt;1,0,IF(ROUNDDOWN((O$59-$B65)/Reference!$D$27,0)&lt;2,0.5,IF(ROUNDDOWN((O$59-$B65)/Reference!$D$27,0)&lt;3,0.75,IF(ROUNDDOWN((O$59-$B65)/Reference!$D$27,0)&lt;4,0.875,0.9375)))))+HLOOKUP($B65,$C$59:$Q$60,2,FALSE)*Reference!$C$28*(1-IF(ROUNDDOWN((O$59-$B65)/Reference!$D$28,0)&lt;1,0,IF(ROUNDDOWN((O$59-$B65)/Reference!$D$28,0)&lt;2,0.5,IF(ROUNDDOWN((O$59-$B65)/Reference!$D$28,0)&lt;3,0.75,IF(ROUNDDOWN((O$59-$B65)/Reference!$D$28,0)&lt;4,0.875,0.9375)))))</f>
        <v>0</v>
      </c>
      <c r="P65" s="135">
        <f>HLOOKUP($B65,$C$59:$Q$60,2,FALSE)*Reference!$C$23*(1-IF(ROUNDDOWN((P$59-$B65)/Reference!$D$23,0)&lt;1,0,IF(ROUNDDOWN((P$59-$B65)/Reference!$D$23,0)&lt;2,0.5,IF(ROUNDDOWN((P$59-$B65)/Reference!$D$23,0)&lt;3,0.75,IF(ROUNDDOWN((P$59-$B65)/Reference!$D$23,0)&lt;4,0.875,0.9375)))))+HLOOKUP($B65,$C$59:$Q$60,2,FALSE)*Reference!$C$24*(1-IF(ROUNDDOWN((P$59-$B65)/Reference!$D$24,0)&lt;1,0,IF(ROUNDDOWN((P$59-$B65)/Reference!$D$24,0)&lt;2,0.5,IF(ROUNDDOWN((P$59-$B65)/Reference!$D$24,0)&lt;3,0.75,IF(ROUNDDOWN((P$59-$B65)/Reference!$D$24,0)&lt;4,0.875,0.9375)))))+HLOOKUP($B65,$C$59:$Q$60,2,FALSE)*Reference!$C$25*(1-IF(ROUNDDOWN((P$59-$B65)/Reference!$D$25,0)&lt;1,0,IF(ROUNDDOWN((P$59-$B65)/Reference!$D$25,0)&lt;2,0.5,IF(ROUNDDOWN((P$59-$B65)/Reference!$D$25,0)&lt;3,0.75,IF(ROUNDDOWN((P$59-$B65)/Reference!$D$25,0)&lt;4,0.875,0.9375)))))+HLOOKUP($B65,$C$59:$Q$60,2,FALSE)*Reference!$C$26*(1-IF(ROUNDDOWN((P$59-$B65)/Reference!$D$26,0)&lt;1,0,IF(ROUNDDOWN((P$59-$B65)/Reference!$D$26,0)&lt;2,0.5,IF(ROUNDDOWN((P$59-$B65)/Reference!$D$26,0)&lt;3,0.75,IF(ROUNDDOWN((P$59-$B65)/Reference!$D$26,0)&lt;4,0.875,0.9375)))))+HLOOKUP($B65,$C$59:$Q$60,2,FALSE)*Reference!$C$27*(1-IF(ROUNDDOWN((P$59-$B65)/Reference!$D$27,0)&lt;1,0,IF(ROUNDDOWN((P$59-$B65)/Reference!$D$27,0)&lt;2,0.5,IF(ROUNDDOWN((P$59-$B65)/Reference!$D$27,0)&lt;3,0.75,IF(ROUNDDOWN((P$59-$B65)/Reference!$D$27,0)&lt;4,0.875,0.9375)))))+HLOOKUP($B65,$C$59:$Q$60,2,FALSE)*Reference!$C$28*(1-IF(ROUNDDOWN((P$59-$B65)/Reference!$D$28,0)&lt;1,0,IF(ROUNDDOWN((P$59-$B65)/Reference!$D$28,0)&lt;2,0.5,IF(ROUNDDOWN((P$59-$B65)/Reference!$D$28,0)&lt;3,0.75,IF(ROUNDDOWN((P$59-$B65)/Reference!$D$28,0)&lt;4,0.875,0.9375)))))</f>
        <v>0</v>
      </c>
      <c r="Q65" s="135">
        <f>HLOOKUP($B65,$C$59:$Q$60,2,FALSE)*Reference!$C$23*(1-IF(ROUNDDOWN((Q$59-$B65)/Reference!$D$23,0)&lt;1,0,IF(ROUNDDOWN((Q$59-$B65)/Reference!$D$23,0)&lt;2,0.5,IF(ROUNDDOWN((Q$59-$B65)/Reference!$D$23,0)&lt;3,0.75,IF(ROUNDDOWN((Q$59-$B65)/Reference!$D$23,0)&lt;4,0.875,0.9375)))))+HLOOKUP($B65,$C$59:$Q$60,2,FALSE)*Reference!$C$24*(1-IF(ROUNDDOWN((Q$59-$B65)/Reference!$D$24,0)&lt;1,0,IF(ROUNDDOWN((Q$59-$B65)/Reference!$D$24,0)&lt;2,0.5,IF(ROUNDDOWN((Q$59-$B65)/Reference!$D$24,0)&lt;3,0.75,IF(ROUNDDOWN((Q$59-$B65)/Reference!$D$24,0)&lt;4,0.875,0.9375)))))+HLOOKUP($B65,$C$59:$Q$60,2,FALSE)*Reference!$C$25*(1-IF(ROUNDDOWN((Q$59-$B65)/Reference!$D$25,0)&lt;1,0,IF(ROUNDDOWN((Q$59-$B65)/Reference!$D$25,0)&lt;2,0.5,IF(ROUNDDOWN((Q$59-$B65)/Reference!$D$25,0)&lt;3,0.75,IF(ROUNDDOWN((Q$59-$B65)/Reference!$D$25,0)&lt;4,0.875,0.9375)))))+HLOOKUP($B65,$C$59:$Q$60,2,FALSE)*Reference!$C$26*(1-IF(ROUNDDOWN((Q$59-$B65)/Reference!$D$26,0)&lt;1,0,IF(ROUNDDOWN((Q$59-$B65)/Reference!$D$26,0)&lt;2,0.5,IF(ROUNDDOWN((Q$59-$B65)/Reference!$D$26,0)&lt;3,0.75,IF(ROUNDDOWN((Q$59-$B65)/Reference!$D$26,0)&lt;4,0.875,0.9375)))))+HLOOKUP($B65,$C$59:$Q$60,2,FALSE)*Reference!$C$27*(1-IF(ROUNDDOWN((Q$59-$B65)/Reference!$D$27,0)&lt;1,0,IF(ROUNDDOWN((Q$59-$B65)/Reference!$D$27,0)&lt;2,0.5,IF(ROUNDDOWN((Q$59-$B65)/Reference!$D$27,0)&lt;3,0.75,IF(ROUNDDOWN((Q$59-$B65)/Reference!$D$27,0)&lt;4,0.875,0.9375)))))+HLOOKUP($B65,$C$59:$Q$60,2,FALSE)*Reference!$C$28*(1-IF(ROUNDDOWN((Q$59-$B65)/Reference!$D$28,0)&lt;1,0,IF(ROUNDDOWN((Q$59-$B65)/Reference!$D$28,0)&lt;2,0.5,IF(ROUNDDOWN((Q$59-$B65)/Reference!$D$28,0)&lt;3,0.75,IF(ROUNDDOWN((Q$59-$B65)/Reference!$D$28,0)&lt;4,0.875,0.9375)))))</f>
        <v>0</v>
      </c>
      <c r="R65" s="50"/>
    </row>
    <row r="66" spans="2:18" x14ac:dyDescent="0.3">
      <c r="B66" s="237">
        <f t="shared" si="10"/>
        <v>2018</v>
      </c>
      <c r="C66" s="135"/>
      <c r="D66" s="135"/>
      <c r="E66" s="135"/>
      <c r="F66" s="135">
        <f>HLOOKUP($B66,$C$59:$Q$60,2,FALSE)*Reference!$C$23*(1-IF(ROUNDDOWN((F$59-$B66)/Reference!$D$23,0)&lt;1,0,IF(ROUNDDOWN((F$59-$B66)/Reference!$D$23,0)&lt;2,0.5,IF(ROUNDDOWN((F$59-$B66)/Reference!$D$23,0)&lt;3,0.75,IF(ROUNDDOWN((F$59-$B66)/Reference!$D$23,0)&lt;4,0.875,0.9375)))))+HLOOKUP($B66,$C$59:$Q$60,2,FALSE)*Reference!$C$24*(1-IF(ROUNDDOWN((F$59-$B66)/Reference!$D$24,0)&lt;1,0,IF(ROUNDDOWN((F$59-$B66)/Reference!$D$24,0)&lt;2,0.5,IF(ROUNDDOWN((F$59-$B66)/Reference!$D$24,0)&lt;3,0.75,IF(ROUNDDOWN((F$59-$B66)/Reference!$D$24,0)&lt;4,0.875,0.9375)))))+HLOOKUP($B66,$C$59:$Q$60,2,FALSE)*Reference!$C$25*(1-IF(ROUNDDOWN((F$59-$B66)/Reference!$D$25,0)&lt;1,0,IF(ROUNDDOWN((F$59-$B66)/Reference!$D$25,0)&lt;2,0.5,IF(ROUNDDOWN((F$59-$B66)/Reference!$D$25,0)&lt;3,0.75,IF(ROUNDDOWN((F$59-$B66)/Reference!$D$25,0)&lt;4,0.875,0.9375)))))+HLOOKUP($B66,$C$59:$Q$60,2,FALSE)*Reference!$C$26*(1-IF(ROUNDDOWN((F$59-$B66)/Reference!$D$26,0)&lt;1,0,IF(ROUNDDOWN((F$59-$B66)/Reference!$D$26,0)&lt;2,0.5,IF(ROUNDDOWN((F$59-$B66)/Reference!$D$26,0)&lt;3,0.75,IF(ROUNDDOWN((F$59-$B66)/Reference!$D$26,0)&lt;4,0.875,0.9375)))))+HLOOKUP($B66,$C$59:$Q$60,2,FALSE)*Reference!$C$27*(1-IF(ROUNDDOWN((F$59-$B66)/Reference!$D$27,0)&lt;1,0,IF(ROUNDDOWN((F$59-$B66)/Reference!$D$27,0)&lt;2,0.5,IF(ROUNDDOWN((F$59-$B66)/Reference!$D$27,0)&lt;3,0.75,IF(ROUNDDOWN((F$59-$B66)/Reference!$D$27,0)&lt;4,0.875,0.9375)))))+HLOOKUP($B66,$C$59:$Q$60,2,FALSE)*Reference!$C$28*(1-IF(ROUNDDOWN((F$59-$B66)/Reference!$D$28,0)&lt;1,0,IF(ROUNDDOWN((F$59-$B66)/Reference!$D$28,0)&lt;2,0.5,IF(ROUNDDOWN((F$59-$B66)/Reference!$D$28,0)&lt;3,0.75,IF(ROUNDDOWN((F$59-$B66)/Reference!$D$28,0)&lt;4,0.875,0.9375)))))</f>
        <v>0</v>
      </c>
      <c r="G66" s="135">
        <f>HLOOKUP($B66,$C$59:$Q$60,2,FALSE)*Reference!$C$23*(1-IF(ROUNDDOWN((G$59-$B66)/Reference!$D$23,0)&lt;1,0,IF(ROUNDDOWN((G$59-$B66)/Reference!$D$23,0)&lt;2,0.5,IF(ROUNDDOWN((G$59-$B66)/Reference!$D$23,0)&lt;3,0.75,IF(ROUNDDOWN((G$59-$B66)/Reference!$D$23,0)&lt;4,0.875,0.9375)))))+HLOOKUP($B66,$C$59:$Q$60,2,FALSE)*Reference!$C$24*(1-IF(ROUNDDOWN((G$59-$B66)/Reference!$D$24,0)&lt;1,0,IF(ROUNDDOWN((G$59-$B66)/Reference!$D$24,0)&lt;2,0.5,IF(ROUNDDOWN((G$59-$B66)/Reference!$D$24,0)&lt;3,0.75,IF(ROUNDDOWN((G$59-$B66)/Reference!$D$24,0)&lt;4,0.875,0.9375)))))+HLOOKUP($B66,$C$59:$Q$60,2,FALSE)*Reference!$C$25*(1-IF(ROUNDDOWN((G$59-$B66)/Reference!$D$25,0)&lt;1,0,IF(ROUNDDOWN((G$59-$B66)/Reference!$D$25,0)&lt;2,0.5,IF(ROUNDDOWN((G$59-$B66)/Reference!$D$25,0)&lt;3,0.75,IF(ROUNDDOWN((G$59-$B66)/Reference!$D$25,0)&lt;4,0.875,0.9375)))))+HLOOKUP($B66,$C$59:$Q$60,2,FALSE)*Reference!$C$26*(1-IF(ROUNDDOWN((G$59-$B66)/Reference!$D$26,0)&lt;1,0,IF(ROUNDDOWN((G$59-$B66)/Reference!$D$26,0)&lt;2,0.5,IF(ROUNDDOWN((G$59-$B66)/Reference!$D$26,0)&lt;3,0.75,IF(ROUNDDOWN((G$59-$B66)/Reference!$D$26,0)&lt;4,0.875,0.9375)))))+HLOOKUP($B66,$C$59:$Q$60,2,FALSE)*Reference!$C$27*(1-IF(ROUNDDOWN((G$59-$B66)/Reference!$D$27,0)&lt;1,0,IF(ROUNDDOWN((G$59-$B66)/Reference!$D$27,0)&lt;2,0.5,IF(ROUNDDOWN((G$59-$B66)/Reference!$D$27,0)&lt;3,0.75,IF(ROUNDDOWN((G$59-$B66)/Reference!$D$27,0)&lt;4,0.875,0.9375)))))+HLOOKUP($B66,$C$59:$Q$60,2,FALSE)*Reference!$C$28*(1-IF(ROUNDDOWN((G$59-$B66)/Reference!$D$28,0)&lt;1,0,IF(ROUNDDOWN((G$59-$B66)/Reference!$D$28,0)&lt;2,0.5,IF(ROUNDDOWN((G$59-$B66)/Reference!$D$28,0)&lt;3,0.75,IF(ROUNDDOWN((G$59-$B66)/Reference!$D$28,0)&lt;4,0.875,0.9375)))))</f>
        <v>0</v>
      </c>
      <c r="H66" s="135">
        <f>HLOOKUP($B66,$C$59:$Q$60,2,FALSE)*Reference!$C$23*(1-IF(ROUNDDOWN((H$59-$B66)/Reference!$D$23,0)&lt;1,0,IF(ROUNDDOWN((H$59-$B66)/Reference!$D$23,0)&lt;2,0.5,IF(ROUNDDOWN((H$59-$B66)/Reference!$D$23,0)&lt;3,0.75,IF(ROUNDDOWN((H$59-$B66)/Reference!$D$23,0)&lt;4,0.875,0.9375)))))+HLOOKUP($B66,$C$59:$Q$60,2,FALSE)*Reference!$C$24*(1-IF(ROUNDDOWN((H$59-$B66)/Reference!$D$24,0)&lt;1,0,IF(ROUNDDOWN((H$59-$B66)/Reference!$D$24,0)&lt;2,0.5,IF(ROUNDDOWN((H$59-$B66)/Reference!$D$24,0)&lt;3,0.75,IF(ROUNDDOWN((H$59-$B66)/Reference!$D$24,0)&lt;4,0.875,0.9375)))))+HLOOKUP($B66,$C$59:$Q$60,2,FALSE)*Reference!$C$25*(1-IF(ROUNDDOWN((H$59-$B66)/Reference!$D$25,0)&lt;1,0,IF(ROUNDDOWN((H$59-$B66)/Reference!$D$25,0)&lt;2,0.5,IF(ROUNDDOWN((H$59-$B66)/Reference!$D$25,0)&lt;3,0.75,IF(ROUNDDOWN((H$59-$B66)/Reference!$D$25,0)&lt;4,0.875,0.9375)))))+HLOOKUP($B66,$C$59:$Q$60,2,FALSE)*Reference!$C$26*(1-IF(ROUNDDOWN((H$59-$B66)/Reference!$D$26,0)&lt;1,0,IF(ROUNDDOWN((H$59-$B66)/Reference!$D$26,0)&lt;2,0.5,IF(ROUNDDOWN((H$59-$B66)/Reference!$D$26,0)&lt;3,0.75,IF(ROUNDDOWN((H$59-$B66)/Reference!$D$26,0)&lt;4,0.875,0.9375)))))+HLOOKUP($B66,$C$59:$Q$60,2,FALSE)*Reference!$C$27*(1-IF(ROUNDDOWN((H$59-$B66)/Reference!$D$27,0)&lt;1,0,IF(ROUNDDOWN((H$59-$B66)/Reference!$D$27,0)&lt;2,0.5,IF(ROUNDDOWN((H$59-$B66)/Reference!$D$27,0)&lt;3,0.75,IF(ROUNDDOWN((H$59-$B66)/Reference!$D$27,0)&lt;4,0.875,0.9375)))))+HLOOKUP($B66,$C$59:$Q$60,2,FALSE)*Reference!$C$28*(1-IF(ROUNDDOWN((H$59-$B66)/Reference!$D$28,0)&lt;1,0,IF(ROUNDDOWN((H$59-$B66)/Reference!$D$28,0)&lt;2,0.5,IF(ROUNDDOWN((H$59-$B66)/Reference!$D$28,0)&lt;3,0.75,IF(ROUNDDOWN((H$59-$B66)/Reference!$D$28,0)&lt;4,0.875,0.9375)))))</f>
        <v>0</v>
      </c>
      <c r="I66" s="135">
        <f>HLOOKUP($B66,$C$59:$Q$60,2,FALSE)*Reference!$C$23*(1-IF(ROUNDDOWN((I$59-$B66)/Reference!$D$23,0)&lt;1,0,IF(ROUNDDOWN((I$59-$B66)/Reference!$D$23,0)&lt;2,0.5,IF(ROUNDDOWN((I$59-$B66)/Reference!$D$23,0)&lt;3,0.75,IF(ROUNDDOWN((I$59-$B66)/Reference!$D$23,0)&lt;4,0.875,0.9375)))))+HLOOKUP($B66,$C$59:$Q$60,2,FALSE)*Reference!$C$24*(1-IF(ROUNDDOWN((I$59-$B66)/Reference!$D$24,0)&lt;1,0,IF(ROUNDDOWN((I$59-$B66)/Reference!$D$24,0)&lt;2,0.5,IF(ROUNDDOWN((I$59-$B66)/Reference!$D$24,0)&lt;3,0.75,IF(ROUNDDOWN((I$59-$B66)/Reference!$D$24,0)&lt;4,0.875,0.9375)))))+HLOOKUP($B66,$C$59:$Q$60,2,FALSE)*Reference!$C$25*(1-IF(ROUNDDOWN((I$59-$B66)/Reference!$D$25,0)&lt;1,0,IF(ROUNDDOWN((I$59-$B66)/Reference!$D$25,0)&lt;2,0.5,IF(ROUNDDOWN((I$59-$B66)/Reference!$D$25,0)&lt;3,0.75,IF(ROUNDDOWN((I$59-$B66)/Reference!$D$25,0)&lt;4,0.875,0.9375)))))+HLOOKUP($B66,$C$59:$Q$60,2,FALSE)*Reference!$C$26*(1-IF(ROUNDDOWN((I$59-$B66)/Reference!$D$26,0)&lt;1,0,IF(ROUNDDOWN((I$59-$B66)/Reference!$D$26,0)&lt;2,0.5,IF(ROUNDDOWN((I$59-$B66)/Reference!$D$26,0)&lt;3,0.75,IF(ROUNDDOWN((I$59-$B66)/Reference!$D$26,0)&lt;4,0.875,0.9375)))))+HLOOKUP($B66,$C$59:$Q$60,2,FALSE)*Reference!$C$27*(1-IF(ROUNDDOWN((I$59-$B66)/Reference!$D$27,0)&lt;1,0,IF(ROUNDDOWN((I$59-$B66)/Reference!$D$27,0)&lt;2,0.5,IF(ROUNDDOWN((I$59-$B66)/Reference!$D$27,0)&lt;3,0.75,IF(ROUNDDOWN((I$59-$B66)/Reference!$D$27,0)&lt;4,0.875,0.9375)))))+HLOOKUP($B66,$C$59:$Q$60,2,FALSE)*Reference!$C$28*(1-IF(ROUNDDOWN((I$59-$B66)/Reference!$D$28,0)&lt;1,0,IF(ROUNDDOWN((I$59-$B66)/Reference!$D$28,0)&lt;2,0.5,IF(ROUNDDOWN((I$59-$B66)/Reference!$D$28,0)&lt;3,0.75,IF(ROUNDDOWN((I$59-$B66)/Reference!$D$28,0)&lt;4,0.875,0.9375)))))</f>
        <v>0</v>
      </c>
      <c r="J66" s="135">
        <f>HLOOKUP($B66,$C$59:$Q$60,2,FALSE)*Reference!$C$23*(1-IF(ROUNDDOWN((J$59-$B66)/Reference!$D$23,0)&lt;1,0,IF(ROUNDDOWN((J$59-$B66)/Reference!$D$23,0)&lt;2,0.5,IF(ROUNDDOWN((J$59-$B66)/Reference!$D$23,0)&lt;3,0.75,IF(ROUNDDOWN((J$59-$B66)/Reference!$D$23,0)&lt;4,0.875,0.9375)))))+HLOOKUP($B66,$C$59:$Q$60,2,FALSE)*Reference!$C$24*(1-IF(ROUNDDOWN((J$59-$B66)/Reference!$D$24,0)&lt;1,0,IF(ROUNDDOWN((J$59-$B66)/Reference!$D$24,0)&lt;2,0.5,IF(ROUNDDOWN((J$59-$B66)/Reference!$D$24,0)&lt;3,0.75,IF(ROUNDDOWN((J$59-$B66)/Reference!$D$24,0)&lt;4,0.875,0.9375)))))+HLOOKUP($B66,$C$59:$Q$60,2,FALSE)*Reference!$C$25*(1-IF(ROUNDDOWN((J$59-$B66)/Reference!$D$25,0)&lt;1,0,IF(ROUNDDOWN((J$59-$B66)/Reference!$D$25,0)&lt;2,0.5,IF(ROUNDDOWN((J$59-$B66)/Reference!$D$25,0)&lt;3,0.75,IF(ROUNDDOWN((J$59-$B66)/Reference!$D$25,0)&lt;4,0.875,0.9375)))))+HLOOKUP($B66,$C$59:$Q$60,2,FALSE)*Reference!$C$26*(1-IF(ROUNDDOWN((J$59-$B66)/Reference!$D$26,0)&lt;1,0,IF(ROUNDDOWN((J$59-$B66)/Reference!$D$26,0)&lt;2,0.5,IF(ROUNDDOWN((J$59-$B66)/Reference!$D$26,0)&lt;3,0.75,IF(ROUNDDOWN((J$59-$B66)/Reference!$D$26,0)&lt;4,0.875,0.9375)))))+HLOOKUP($B66,$C$59:$Q$60,2,FALSE)*Reference!$C$27*(1-IF(ROUNDDOWN((J$59-$B66)/Reference!$D$27,0)&lt;1,0,IF(ROUNDDOWN((J$59-$B66)/Reference!$D$27,0)&lt;2,0.5,IF(ROUNDDOWN((J$59-$B66)/Reference!$D$27,0)&lt;3,0.75,IF(ROUNDDOWN((J$59-$B66)/Reference!$D$27,0)&lt;4,0.875,0.9375)))))+HLOOKUP($B66,$C$59:$Q$60,2,FALSE)*Reference!$C$28*(1-IF(ROUNDDOWN((J$59-$B66)/Reference!$D$28,0)&lt;1,0,IF(ROUNDDOWN((J$59-$B66)/Reference!$D$28,0)&lt;2,0.5,IF(ROUNDDOWN((J$59-$B66)/Reference!$D$28,0)&lt;3,0.75,IF(ROUNDDOWN((J$59-$B66)/Reference!$D$28,0)&lt;4,0.875,0.9375)))))</f>
        <v>0</v>
      </c>
      <c r="K66" s="135">
        <f>HLOOKUP($B66,$C$59:$Q$60,2,FALSE)*Reference!$C$23*(1-IF(ROUNDDOWN((K$59-$B66)/Reference!$D$23,0)&lt;1,0,IF(ROUNDDOWN((K$59-$B66)/Reference!$D$23,0)&lt;2,0.5,IF(ROUNDDOWN((K$59-$B66)/Reference!$D$23,0)&lt;3,0.75,IF(ROUNDDOWN((K$59-$B66)/Reference!$D$23,0)&lt;4,0.875,0.9375)))))+HLOOKUP($B66,$C$59:$Q$60,2,FALSE)*Reference!$C$24*(1-IF(ROUNDDOWN((K$59-$B66)/Reference!$D$24,0)&lt;1,0,IF(ROUNDDOWN((K$59-$B66)/Reference!$D$24,0)&lt;2,0.5,IF(ROUNDDOWN((K$59-$B66)/Reference!$D$24,0)&lt;3,0.75,IF(ROUNDDOWN((K$59-$B66)/Reference!$D$24,0)&lt;4,0.875,0.9375)))))+HLOOKUP($B66,$C$59:$Q$60,2,FALSE)*Reference!$C$25*(1-IF(ROUNDDOWN((K$59-$B66)/Reference!$D$25,0)&lt;1,0,IF(ROUNDDOWN((K$59-$B66)/Reference!$D$25,0)&lt;2,0.5,IF(ROUNDDOWN((K$59-$B66)/Reference!$D$25,0)&lt;3,0.75,IF(ROUNDDOWN((K$59-$B66)/Reference!$D$25,0)&lt;4,0.875,0.9375)))))+HLOOKUP($B66,$C$59:$Q$60,2,FALSE)*Reference!$C$26*(1-IF(ROUNDDOWN((K$59-$B66)/Reference!$D$26,0)&lt;1,0,IF(ROUNDDOWN((K$59-$B66)/Reference!$D$26,0)&lt;2,0.5,IF(ROUNDDOWN((K$59-$B66)/Reference!$D$26,0)&lt;3,0.75,IF(ROUNDDOWN((K$59-$B66)/Reference!$D$26,0)&lt;4,0.875,0.9375)))))+HLOOKUP($B66,$C$59:$Q$60,2,FALSE)*Reference!$C$27*(1-IF(ROUNDDOWN((K$59-$B66)/Reference!$D$27,0)&lt;1,0,IF(ROUNDDOWN((K$59-$B66)/Reference!$D$27,0)&lt;2,0.5,IF(ROUNDDOWN((K$59-$B66)/Reference!$D$27,0)&lt;3,0.75,IF(ROUNDDOWN((K$59-$B66)/Reference!$D$27,0)&lt;4,0.875,0.9375)))))+HLOOKUP($B66,$C$59:$Q$60,2,FALSE)*Reference!$C$28*(1-IF(ROUNDDOWN((K$59-$B66)/Reference!$D$28,0)&lt;1,0,IF(ROUNDDOWN((K$59-$B66)/Reference!$D$28,0)&lt;2,0.5,IF(ROUNDDOWN((K$59-$B66)/Reference!$D$28,0)&lt;3,0.75,IF(ROUNDDOWN((K$59-$B66)/Reference!$D$28,0)&lt;4,0.875,0.9375)))))</f>
        <v>0</v>
      </c>
      <c r="L66" s="135">
        <f>HLOOKUP($B66,$C$59:$Q$60,2,FALSE)*Reference!$C$23*(1-IF(ROUNDDOWN((L$59-$B66)/Reference!$D$23,0)&lt;1,0,IF(ROUNDDOWN((L$59-$B66)/Reference!$D$23,0)&lt;2,0.5,IF(ROUNDDOWN((L$59-$B66)/Reference!$D$23,0)&lt;3,0.75,IF(ROUNDDOWN((L$59-$B66)/Reference!$D$23,0)&lt;4,0.875,0.9375)))))+HLOOKUP($B66,$C$59:$Q$60,2,FALSE)*Reference!$C$24*(1-IF(ROUNDDOWN((L$59-$B66)/Reference!$D$24,0)&lt;1,0,IF(ROUNDDOWN((L$59-$B66)/Reference!$D$24,0)&lt;2,0.5,IF(ROUNDDOWN((L$59-$B66)/Reference!$D$24,0)&lt;3,0.75,IF(ROUNDDOWN((L$59-$B66)/Reference!$D$24,0)&lt;4,0.875,0.9375)))))+HLOOKUP($B66,$C$59:$Q$60,2,FALSE)*Reference!$C$25*(1-IF(ROUNDDOWN((L$59-$B66)/Reference!$D$25,0)&lt;1,0,IF(ROUNDDOWN((L$59-$B66)/Reference!$D$25,0)&lt;2,0.5,IF(ROUNDDOWN((L$59-$B66)/Reference!$D$25,0)&lt;3,0.75,IF(ROUNDDOWN((L$59-$B66)/Reference!$D$25,0)&lt;4,0.875,0.9375)))))+HLOOKUP($B66,$C$59:$Q$60,2,FALSE)*Reference!$C$26*(1-IF(ROUNDDOWN((L$59-$B66)/Reference!$D$26,0)&lt;1,0,IF(ROUNDDOWN((L$59-$B66)/Reference!$D$26,0)&lt;2,0.5,IF(ROUNDDOWN((L$59-$B66)/Reference!$D$26,0)&lt;3,0.75,IF(ROUNDDOWN((L$59-$B66)/Reference!$D$26,0)&lt;4,0.875,0.9375)))))+HLOOKUP($B66,$C$59:$Q$60,2,FALSE)*Reference!$C$27*(1-IF(ROUNDDOWN((L$59-$B66)/Reference!$D$27,0)&lt;1,0,IF(ROUNDDOWN((L$59-$B66)/Reference!$D$27,0)&lt;2,0.5,IF(ROUNDDOWN((L$59-$B66)/Reference!$D$27,0)&lt;3,0.75,IF(ROUNDDOWN((L$59-$B66)/Reference!$D$27,0)&lt;4,0.875,0.9375)))))+HLOOKUP($B66,$C$59:$Q$60,2,FALSE)*Reference!$C$28*(1-IF(ROUNDDOWN((L$59-$B66)/Reference!$D$28,0)&lt;1,0,IF(ROUNDDOWN((L$59-$B66)/Reference!$D$28,0)&lt;2,0.5,IF(ROUNDDOWN((L$59-$B66)/Reference!$D$28,0)&lt;3,0.75,IF(ROUNDDOWN((L$59-$B66)/Reference!$D$28,0)&lt;4,0.875,0.9375)))))</f>
        <v>0</v>
      </c>
      <c r="M66" s="135">
        <f>HLOOKUP($B66,$C$59:$Q$60,2,FALSE)*Reference!$C$23*(1-IF(ROUNDDOWN((M$59-$B66)/Reference!$D$23,0)&lt;1,0,IF(ROUNDDOWN((M$59-$B66)/Reference!$D$23,0)&lt;2,0.5,IF(ROUNDDOWN((M$59-$B66)/Reference!$D$23,0)&lt;3,0.75,IF(ROUNDDOWN((M$59-$B66)/Reference!$D$23,0)&lt;4,0.875,0.9375)))))+HLOOKUP($B66,$C$59:$Q$60,2,FALSE)*Reference!$C$24*(1-IF(ROUNDDOWN((M$59-$B66)/Reference!$D$24,0)&lt;1,0,IF(ROUNDDOWN((M$59-$B66)/Reference!$D$24,0)&lt;2,0.5,IF(ROUNDDOWN((M$59-$B66)/Reference!$D$24,0)&lt;3,0.75,IF(ROUNDDOWN((M$59-$B66)/Reference!$D$24,0)&lt;4,0.875,0.9375)))))+HLOOKUP($B66,$C$59:$Q$60,2,FALSE)*Reference!$C$25*(1-IF(ROUNDDOWN((M$59-$B66)/Reference!$D$25,0)&lt;1,0,IF(ROUNDDOWN((M$59-$B66)/Reference!$D$25,0)&lt;2,0.5,IF(ROUNDDOWN((M$59-$B66)/Reference!$D$25,0)&lt;3,0.75,IF(ROUNDDOWN((M$59-$B66)/Reference!$D$25,0)&lt;4,0.875,0.9375)))))+HLOOKUP($B66,$C$59:$Q$60,2,FALSE)*Reference!$C$26*(1-IF(ROUNDDOWN((M$59-$B66)/Reference!$D$26,0)&lt;1,0,IF(ROUNDDOWN((M$59-$B66)/Reference!$D$26,0)&lt;2,0.5,IF(ROUNDDOWN((M$59-$B66)/Reference!$D$26,0)&lt;3,0.75,IF(ROUNDDOWN((M$59-$B66)/Reference!$D$26,0)&lt;4,0.875,0.9375)))))+HLOOKUP($B66,$C$59:$Q$60,2,FALSE)*Reference!$C$27*(1-IF(ROUNDDOWN((M$59-$B66)/Reference!$D$27,0)&lt;1,0,IF(ROUNDDOWN((M$59-$B66)/Reference!$D$27,0)&lt;2,0.5,IF(ROUNDDOWN((M$59-$B66)/Reference!$D$27,0)&lt;3,0.75,IF(ROUNDDOWN((M$59-$B66)/Reference!$D$27,0)&lt;4,0.875,0.9375)))))+HLOOKUP($B66,$C$59:$Q$60,2,FALSE)*Reference!$C$28*(1-IF(ROUNDDOWN((M$59-$B66)/Reference!$D$28,0)&lt;1,0,IF(ROUNDDOWN((M$59-$B66)/Reference!$D$28,0)&lt;2,0.5,IF(ROUNDDOWN((M$59-$B66)/Reference!$D$28,0)&lt;3,0.75,IF(ROUNDDOWN((M$59-$B66)/Reference!$D$28,0)&lt;4,0.875,0.9375)))))</f>
        <v>0</v>
      </c>
      <c r="N66" s="135">
        <f>HLOOKUP($B66,$C$59:$Q$60,2,FALSE)*Reference!$C$23*(1-IF(ROUNDDOWN((N$59-$B66)/Reference!$D$23,0)&lt;1,0,IF(ROUNDDOWN((N$59-$B66)/Reference!$D$23,0)&lt;2,0.5,IF(ROUNDDOWN((N$59-$B66)/Reference!$D$23,0)&lt;3,0.75,IF(ROUNDDOWN((N$59-$B66)/Reference!$D$23,0)&lt;4,0.875,0.9375)))))+HLOOKUP($B66,$C$59:$Q$60,2,FALSE)*Reference!$C$24*(1-IF(ROUNDDOWN((N$59-$B66)/Reference!$D$24,0)&lt;1,0,IF(ROUNDDOWN((N$59-$B66)/Reference!$D$24,0)&lt;2,0.5,IF(ROUNDDOWN((N$59-$B66)/Reference!$D$24,0)&lt;3,0.75,IF(ROUNDDOWN((N$59-$B66)/Reference!$D$24,0)&lt;4,0.875,0.9375)))))+HLOOKUP($B66,$C$59:$Q$60,2,FALSE)*Reference!$C$25*(1-IF(ROUNDDOWN((N$59-$B66)/Reference!$D$25,0)&lt;1,0,IF(ROUNDDOWN((N$59-$B66)/Reference!$D$25,0)&lt;2,0.5,IF(ROUNDDOWN((N$59-$B66)/Reference!$D$25,0)&lt;3,0.75,IF(ROUNDDOWN((N$59-$B66)/Reference!$D$25,0)&lt;4,0.875,0.9375)))))+HLOOKUP($B66,$C$59:$Q$60,2,FALSE)*Reference!$C$26*(1-IF(ROUNDDOWN((N$59-$B66)/Reference!$D$26,0)&lt;1,0,IF(ROUNDDOWN((N$59-$B66)/Reference!$D$26,0)&lt;2,0.5,IF(ROUNDDOWN((N$59-$B66)/Reference!$D$26,0)&lt;3,0.75,IF(ROUNDDOWN((N$59-$B66)/Reference!$D$26,0)&lt;4,0.875,0.9375)))))+HLOOKUP($B66,$C$59:$Q$60,2,FALSE)*Reference!$C$27*(1-IF(ROUNDDOWN((N$59-$B66)/Reference!$D$27,0)&lt;1,0,IF(ROUNDDOWN((N$59-$B66)/Reference!$D$27,0)&lt;2,0.5,IF(ROUNDDOWN((N$59-$B66)/Reference!$D$27,0)&lt;3,0.75,IF(ROUNDDOWN((N$59-$B66)/Reference!$D$27,0)&lt;4,0.875,0.9375)))))+HLOOKUP($B66,$C$59:$Q$60,2,FALSE)*Reference!$C$28*(1-IF(ROUNDDOWN((N$59-$B66)/Reference!$D$28,0)&lt;1,0,IF(ROUNDDOWN((N$59-$B66)/Reference!$D$28,0)&lt;2,0.5,IF(ROUNDDOWN((N$59-$B66)/Reference!$D$28,0)&lt;3,0.75,IF(ROUNDDOWN((N$59-$B66)/Reference!$D$28,0)&lt;4,0.875,0.9375)))))</f>
        <v>0</v>
      </c>
      <c r="O66" s="135">
        <f>HLOOKUP($B66,$C$59:$Q$60,2,FALSE)*Reference!$C$23*(1-IF(ROUNDDOWN((O$59-$B66)/Reference!$D$23,0)&lt;1,0,IF(ROUNDDOWN((O$59-$B66)/Reference!$D$23,0)&lt;2,0.5,IF(ROUNDDOWN((O$59-$B66)/Reference!$D$23,0)&lt;3,0.75,IF(ROUNDDOWN((O$59-$B66)/Reference!$D$23,0)&lt;4,0.875,0.9375)))))+HLOOKUP($B66,$C$59:$Q$60,2,FALSE)*Reference!$C$24*(1-IF(ROUNDDOWN((O$59-$B66)/Reference!$D$24,0)&lt;1,0,IF(ROUNDDOWN((O$59-$B66)/Reference!$D$24,0)&lt;2,0.5,IF(ROUNDDOWN((O$59-$B66)/Reference!$D$24,0)&lt;3,0.75,IF(ROUNDDOWN((O$59-$B66)/Reference!$D$24,0)&lt;4,0.875,0.9375)))))+HLOOKUP($B66,$C$59:$Q$60,2,FALSE)*Reference!$C$25*(1-IF(ROUNDDOWN((O$59-$B66)/Reference!$D$25,0)&lt;1,0,IF(ROUNDDOWN((O$59-$B66)/Reference!$D$25,0)&lt;2,0.5,IF(ROUNDDOWN((O$59-$B66)/Reference!$D$25,0)&lt;3,0.75,IF(ROUNDDOWN((O$59-$B66)/Reference!$D$25,0)&lt;4,0.875,0.9375)))))+HLOOKUP($B66,$C$59:$Q$60,2,FALSE)*Reference!$C$26*(1-IF(ROUNDDOWN((O$59-$B66)/Reference!$D$26,0)&lt;1,0,IF(ROUNDDOWN((O$59-$B66)/Reference!$D$26,0)&lt;2,0.5,IF(ROUNDDOWN((O$59-$B66)/Reference!$D$26,0)&lt;3,0.75,IF(ROUNDDOWN((O$59-$B66)/Reference!$D$26,0)&lt;4,0.875,0.9375)))))+HLOOKUP($B66,$C$59:$Q$60,2,FALSE)*Reference!$C$27*(1-IF(ROUNDDOWN((O$59-$B66)/Reference!$D$27,0)&lt;1,0,IF(ROUNDDOWN((O$59-$B66)/Reference!$D$27,0)&lt;2,0.5,IF(ROUNDDOWN((O$59-$B66)/Reference!$D$27,0)&lt;3,0.75,IF(ROUNDDOWN((O$59-$B66)/Reference!$D$27,0)&lt;4,0.875,0.9375)))))+HLOOKUP($B66,$C$59:$Q$60,2,FALSE)*Reference!$C$28*(1-IF(ROUNDDOWN((O$59-$B66)/Reference!$D$28,0)&lt;1,0,IF(ROUNDDOWN((O$59-$B66)/Reference!$D$28,0)&lt;2,0.5,IF(ROUNDDOWN((O$59-$B66)/Reference!$D$28,0)&lt;3,0.75,IF(ROUNDDOWN((O$59-$B66)/Reference!$D$28,0)&lt;4,0.875,0.9375)))))</f>
        <v>0</v>
      </c>
      <c r="P66" s="135">
        <f>HLOOKUP($B66,$C$59:$Q$60,2,FALSE)*Reference!$C$23*(1-IF(ROUNDDOWN((P$59-$B66)/Reference!$D$23,0)&lt;1,0,IF(ROUNDDOWN((P$59-$B66)/Reference!$D$23,0)&lt;2,0.5,IF(ROUNDDOWN((P$59-$B66)/Reference!$D$23,0)&lt;3,0.75,IF(ROUNDDOWN((P$59-$B66)/Reference!$D$23,0)&lt;4,0.875,0.9375)))))+HLOOKUP($B66,$C$59:$Q$60,2,FALSE)*Reference!$C$24*(1-IF(ROUNDDOWN((P$59-$B66)/Reference!$D$24,0)&lt;1,0,IF(ROUNDDOWN((P$59-$B66)/Reference!$D$24,0)&lt;2,0.5,IF(ROUNDDOWN((P$59-$B66)/Reference!$D$24,0)&lt;3,0.75,IF(ROUNDDOWN((P$59-$B66)/Reference!$D$24,0)&lt;4,0.875,0.9375)))))+HLOOKUP($B66,$C$59:$Q$60,2,FALSE)*Reference!$C$25*(1-IF(ROUNDDOWN((P$59-$B66)/Reference!$D$25,0)&lt;1,0,IF(ROUNDDOWN((P$59-$B66)/Reference!$D$25,0)&lt;2,0.5,IF(ROUNDDOWN((P$59-$B66)/Reference!$D$25,0)&lt;3,0.75,IF(ROUNDDOWN((P$59-$B66)/Reference!$D$25,0)&lt;4,0.875,0.9375)))))+HLOOKUP($B66,$C$59:$Q$60,2,FALSE)*Reference!$C$26*(1-IF(ROUNDDOWN((P$59-$B66)/Reference!$D$26,0)&lt;1,0,IF(ROUNDDOWN((P$59-$B66)/Reference!$D$26,0)&lt;2,0.5,IF(ROUNDDOWN((P$59-$B66)/Reference!$D$26,0)&lt;3,0.75,IF(ROUNDDOWN((P$59-$B66)/Reference!$D$26,0)&lt;4,0.875,0.9375)))))+HLOOKUP($B66,$C$59:$Q$60,2,FALSE)*Reference!$C$27*(1-IF(ROUNDDOWN((P$59-$B66)/Reference!$D$27,0)&lt;1,0,IF(ROUNDDOWN((P$59-$B66)/Reference!$D$27,0)&lt;2,0.5,IF(ROUNDDOWN((P$59-$B66)/Reference!$D$27,0)&lt;3,0.75,IF(ROUNDDOWN((P$59-$B66)/Reference!$D$27,0)&lt;4,0.875,0.9375)))))+HLOOKUP($B66,$C$59:$Q$60,2,FALSE)*Reference!$C$28*(1-IF(ROUNDDOWN((P$59-$B66)/Reference!$D$28,0)&lt;1,0,IF(ROUNDDOWN((P$59-$B66)/Reference!$D$28,0)&lt;2,0.5,IF(ROUNDDOWN((P$59-$B66)/Reference!$D$28,0)&lt;3,0.75,IF(ROUNDDOWN((P$59-$B66)/Reference!$D$28,0)&lt;4,0.875,0.9375)))))</f>
        <v>0</v>
      </c>
      <c r="Q66" s="135">
        <f>HLOOKUP($B66,$C$59:$Q$60,2,FALSE)*Reference!$C$23*(1-IF(ROUNDDOWN((Q$59-$B66)/Reference!$D$23,0)&lt;1,0,IF(ROUNDDOWN((Q$59-$B66)/Reference!$D$23,0)&lt;2,0.5,IF(ROUNDDOWN((Q$59-$B66)/Reference!$D$23,0)&lt;3,0.75,IF(ROUNDDOWN((Q$59-$B66)/Reference!$D$23,0)&lt;4,0.875,0.9375)))))+HLOOKUP($B66,$C$59:$Q$60,2,FALSE)*Reference!$C$24*(1-IF(ROUNDDOWN((Q$59-$B66)/Reference!$D$24,0)&lt;1,0,IF(ROUNDDOWN((Q$59-$B66)/Reference!$D$24,0)&lt;2,0.5,IF(ROUNDDOWN((Q$59-$B66)/Reference!$D$24,0)&lt;3,0.75,IF(ROUNDDOWN((Q$59-$B66)/Reference!$D$24,0)&lt;4,0.875,0.9375)))))+HLOOKUP($B66,$C$59:$Q$60,2,FALSE)*Reference!$C$25*(1-IF(ROUNDDOWN((Q$59-$B66)/Reference!$D$25,0)&lt;1,0,IF(ROUNDDOWN((Q$59-$B66)/Reference!$D$25,0)&lt;2,0.5,IF(ROUNDDOWN((Q$59-$B66)/Reference!$D$25,0)&lt;3,0.75,IF(ROUNDDOWN((Q$59-$B66)/Reference!$D$25,0)&lt;4,0.875,0.9375)))))+HLOOKUP($B66,$C$59:$Q$60,2,FALSE)*Reference!$C$26*(1-IF(ROUNDDOWN((Q$59-$B66)/Reference!$D$26,0)&lt;1,0,IF(ROUNDDOWN((Q$59-$B66)/Reference!$D$26,0)&lt;2,0.5,IF(ROUNDDOWN((Q$59-$B66)/Reference!$D$26,0)&lt;3,0.75,IF(ROUNDDOWN((Q$59-$B66)/Reference!$D$26,0)&lt;4,0.875,0.9375)))))+HLOOKUP($B66,$C$59:$Q$60,2,FALSE)*Reference!$C$27*(1-IF(ROUNDDOWN((Q$59-$B66)/Reference!$D$27,0)&lt;1,0,IF(ROUNDDOWN((Q$59-$B66)/Reference!$D$27,0)&lt;2,0.5,IF(ROUNDDOWN((Q$59-$B66)/Reference!$D$27,0)&lt;3,0.75,IF(ROUNDDOWN((Q$59-$B66)/Reference!$D$27,0)&lt;4,0.875,0.9375)))))+HLOOKUP($B66,$C$59:$Q$60,2,FALSE)*Reference!$C$28*(1-IF(ROUNDDOWN((Q$59-$B66)/Reference!$D$28,0)&lt;1,0,IF(ROUNDDOWN((Q$59-$B66)/Reference!$D$28,0)&lt;2,0.5,IF(ROUNDDOWN((Q$59-$B66)/Reference!$D$28,0)&lt;3,0.75,IF(ROUNDDOWN((Q$59-$B66)/Reference!$D$28,0)&lt;4,0.875,0.9375)))))</f>
        <v>0</v>
      </c>
      <c r="R66" s="50"/>
    </row>
    <row r="67" spans="2:18" x14ac:dyDescent="0.3">
      <c r="B67" s="237">
        <f t="shared" si="10"/>
        <v>2019</v>
      </c>
      <c r="C67" s="135"/>
      <c r="D67" s="135"/>
      <c r="E67" s="135"/>
      <c r="F67" s="135"/>
      <c r="G67" s="135">
        <f>HLOOKUP($B67,$C$59:$Q$60,2,FALSE)*Reference!$C$23*(1-IF(ROUNDDOWN((G$59-$B67)/Reference!$D$23,0)&lt;1,0,IF(ROUNDDOWN((G$59-$B67)/Reference!$D$23,0)&lt;2,0.5,IF(ROUNDDOWN((G$59-$B67)/Reference!$D$23,0)&lt;3,0.75,IF(ROUNDDOWN((G$59-$B67)/Reference!$D$23,0)&lt;4,0.875,0.9375)))))+HLOOKUP($B67,$C$59:$Q$60,2,FALSE)*Reference!$C$24*(1-IF(ROUNDDOWN((G$59-$B67)/Reference!$D$24,0)&lt;1,0,IF(ROUNDDOWN((G$59-$B67)/Reference!$D$24,0)&lt;2,0.5,IF(ROUNDDOWN((G$59-$B67)/Reference!$D$24,0)&lt;3,0.75,IF(ROUNDDOWN((G$59-$B67)/Reference!$D$24,0)&lt;4,0.875,0.9375)))))+HLOOKUP($B67,$C$59:$Q$60,2,FALSE)*Reference!$C$25*(1-IF(ROUNDDOWN((G$59-$B67)/Reference!$D$25,0)&lt;1,0,IF(ROUNDDOWN((G$59-$B67)/Reference!$D$25,0)&lt;2,0.5,IF(ROUNDDOWN((G$59-$B67)/Reference!$D$25,0)&lt;3,0.75,IF(ROUNDDOWN((G$59-$B67)/Reference!$D$25,0)&lt;4,0.875,0.9375)))))+HLOOKUP($B67,$C$59:$Q$60,2,FALSE)*Reference!$C$26*(1-IF(ROUNDDOWN((G$59-$B67)/Reference!$D$26,0)&lt;1,0,IF(ROUNDDOWN((G$59-$B67)/Reference!$D$26,0)&lt;2,0.5,IF(ROUNDDOWN((G$59-$B67)/Reference!$D$26,0)&lt;3,0.75,IF(ROUNDDOWN((G$59-$B67)/Reference!$D$26,0)&lt;4,0.875,0.9375)))))+HLOOKUP($B67,$C$59:$Q$60,2,FALSE)*Reference!$C$27*(1-IF(ROUNDDOWN((G$59-$B67)/Reference!$D$27,0)&lt;1,0,IF(ROUNDDOWN((G$59-$B67)/Reference!$D$27,0)&lt;2,0.5,IF(ROUNDDOWN((G$59-$B67)/Reference!$D$27,0)&lt;3,0.75,IF(ROUNDDOWN((G$59-$B67)/Reference!$D$27,0)&lt;4,0.875,0.9375)))))+HLOOKUP($B67,$C$59:$Q$60,2,FALSE)*Reference!$C$28*(1-IF(ROUNDDOWN((G$59-$B67)/Reference!$D$28,0)&lt;1,0,IF(ROUNDDOWN((G$59-$B67)/Reference!$D$28,0)&lt;2,0.5,IF(ROUNDDOWN((G$59-$B67)/Reference!$D$28,0)&lt;3,0.75,IF(ROUNDDOWN((G$59-$B67)/Reference!$D$28,0)&lt;4,0.875,0.9375)))))</f>
        <v>0</v>
      </c>
      <c r="H67" s="135">
        <f>HLOOKUP($B67,$C$59:$Q$60,2,FALSE)*Reference!$C$23*(1-IF(ROUNDDOWN((H$59-$B67)/Reference!$D$23,0)&lt;1,0,IF(ROUNDDOWN((H$59-$B67)/Reference!$D$23,0)&lt;2,0.5,IF(ROUNDDOWN((H$59-$B67)/Reference!$D$23,0)&lt;3,0.75,IF(ROUNDDOWN((H$59-$B67)/Reference!$D$23,0)&lt;4,0.875,0.9375)))))+HLOOKUP($B67,$C$59:$Q$60,2,FALSE)*Reference!$C$24*(1-IF(ROUNDDOWN((H$59-$B67)/Reference!$D$24,0)&lt;1,0,IF(ROUNDDOWN((H$59-$B67)/Reference!$D$24,0)&lt;2,0.5,IF(ROUNDDOWN((H$59-$B67)/Reference!$D$24,0)&lt;3,0.75,IF(ROUNDDOWN((H$59-$B67)/Reference!$D$24,0)&lt;4,0.875,0.9375)))))+HLOOKUP($B67,$C$59:$Q$60,2,FALSE)*Reference!$C$25*(1-IF(ROUNDDOWN((H$59-$B67)/Reference!$D$25,0)&lt;1,0,IF(ROUNDDOWN((H$59-$B67)/Reference!$D$25,0)&lt;2,0.5,IF(ROUNDDOWN((H$59-$B67)/Reference!$D$25,0)&lt;3,0.75,IF(ROUNDDOWN((H$59-$B67)/Reference!$D$25,0)&lt;4,0.875,0.9375)))))+HLOOKUP($B67,$C$59:$Q$60,2,FALSE)*Reference!$C$26*(1-IF(ROUNDDOWN((H$59-$B67)/Reference!$D$26,0)&lt;1,0,IF(ROUNDDOWN((H$59-$B67)/Reference!$D$26,0)&lt;2,0.5,IF(ROUNDDOWN((H$59-$B67)/Reference!$D$26,0)&lt;3,0.75,IF(ROUNDDOWN((H$59-$B67)/Reference!$D$26,0)&lt;4,0.875,0.9375)))))+HLOOKUP($B67,$C$59:$Q$60,2,FALSE)*Reference!$C$27*(1-IF(ROUNDDOWN((H$59-$B67)/Reference!$D$27,0)&lt;1,0,IF(ROUNDDOWN((H$59-$B67)/Reference!$D$27,0)&lt;2,0.5,IF(ROUNDDOWN((H$59-$B67)/Reference!$D$27,0)&lt;3,0.75,IF(ROUNDDOWN((H$59-$B67)/Reference!$D$27,0)&lt;4,0.875,0.9375)))))+HLOOKUP($B67,$C$59:$Q$60,2,FALSE)*Reference!$C$28*(1-IF(ROUNDDOWN((H$59-$B67)/Reference!$D$28,0)&lt;1,0,IF(ROUNDDOWN((H$59-$B67)/Reference!$D$28,0)&lt;2,0.5,IF(ROUNDDOWN((H$59-$B67)/Reference!$D$28,0)&lt;3,0.75,IF(ROUNDDOWN((H$59-$B67)/Reference!$D$28,0)&lt;4,0.875,0.9375)))))</f>
        <v>0</v>
      </c>
      <c r="I67" s="135">
        <f>HLOOKUP($B67,$C$59:$Q$60,2,FALSE)*Reference!$C$23*(1-IF(ROUNDDOWN((I$59-$B67)/Reference!$D$23,0)&lt;1,0,IF(ROUNDDOWN((I$59-$B67)/Reference!$D$23,0)&lt;2,0.5,IF(ROUNDDOWN((I$59-$B67)/Reference!$D$23,0)&lt;3,0.75,IF(ROUNDDOWN((I$59-$B67)/Reference!$D$23,0)&lt;4,0.875,0.9375)))))+HLOOKUP($B67,$C$59:$Q$60,2,FALSE)*Reference!$C$24*(1-IF(ROUNDDOWN((I$59-$B67)/Reference!$D$24,0)&lt;1,0,IF(ROUNDDOWN((I$59-$B67)/Reference!$D$24,0)&lt;2,0.5,IF(ROUNDDOWN((I$59-$B67)/Reference!$D$24,0)&lt;3,0.75,IF(ROUNDDOWN((I$59-$B67)/Reference!$D$24,0)&lt;4,0.875,0.9375)))))+HLOOKUP($B67,$C$59:$Q$60,2,FALSE)*Reference!$C$25*(1-IF(ROUNDDOWN((I$59-$B67)/Reference!$D$25,0)&lt;1,0,IF(ROUNDDOWN((I$59-$B67)/Reference!$D$25,0)&lt;2,0.5,IF(ROUNDDOWN((I$59-$B67)/Reference!$D$25,0)&lt;3,0.75,IF(ROUNDDOWN((I$59-$B67)/Reference!$D$25,0)&lt;4,0.875,0.9375)))))+HLOOKUP($B67,$C$59:$Q$60,2,FALSE)*Reference!$C$26*(1-IF(ROUNDDOWN((I$59-$B67)/Reference!$D$26,0)&lt;1,0,IF(ROUNDDOWN((I$59-$B67)/Reference!$D$26,0)&lt;2,0.5,IF(ROUNDDOWN((I$59-$B67)/Reference!$D$26,0)&lt;3,0.75,IF(ROUNDDOWN((I$59-$B67)/Reference!$D$26,0)&lt;4,0.875,0.9375)))))+HLOOKUP($B67,$C$59:$Q$60,2,FALSE)*Reference!$C$27*(1-IF(ROUNDDOWN((I$59-$B67)/Reference!$D$27,0)&lt;1,0,IF(ROUNDDOWN((I$59-$B67)/Reference!$D$27,0)&lt;2,0.5,IF(ROUNDDOWN((I$59-$B67)/Reference!$D$27,0)&lt;3,0.75,IF(ROUNDDOWN((I$59-$B67)/Reference!$D$27,0)&lt;4,0.875,0.9375)))))+HLOOKUP($B67,$C$59:$Q$60,2,FALSE)*Reference!$C$28*(1-IF(ROUNDDOWN((I$59-$B67)/Reference!$D$28,0)&lt;1,0,IF(ROUNDDOWN((I$59-$B67)/Reference!$D$28,0)&lt;2,0.5,IF(ROUNDDOWN((I$59-$B67)/Reference!$D$28,0)&lt;3,0.75,IF(ROUNDDOWN((I$59-$B67)/Reference!$D$28,0)&lt;4,0.875,0.9375)))))</f>
        <v>0</v>
      </c>
      <c r="J67" s="135">
        <f>HLOOKUP($B67,$C$59:$Q$60,2,FALSE)*Reference!$C$23*(1-IF(ROUNDDOWN((J$59-$B67)/Reference!$D$23,0)&lt;1,0,IF(ROUNDDOWN((J$59-$B67)/Reference!$D$23,0)&lt;2,0.5,IF(ROUNDDOWN((J$59-$B67)/Reference!$D$23,0)&lt;3,0.75,IF(ROUNDDOWN((J$59-$B67)/Reference!$D$23,0)&lt;4,0.875,0.9375)))))+HLOOKUP($B67,$C$59:$Q$60,2,FALSE)*Reference!$C$24*(1-IF(ROUNDDOWN((J$59-$B67)/Reference!$D$24,0)&lt;1,0,IF(ROUNDDOWN((J$59-$B67)/Reference!$D$24,0)&lt;2,0.5,IF(ROUNDDOWN((J$59-$B67)/Reference!$D$24,0)&lt;3,0.75,IF(ROUNDDOWN((J$59-$B67)/Reference!$D$24,0)&lt;4,0.875,0.9375)))))+HLOOKUP($B67,$C$59:$Q$60,2,FALSE)*Reference!$C$25*(1-IF(ROUNDDOWN((J$59-$B67)/Reference!$D$25,0)&lt;1,0,IF(ROUNDDOWN((J$59-$B67)/Reference!$D$25,0)&lt;2,0.5,IF(ROUNDDOWN((J$59-$B67)/Reference!$D$25,0)&lt;3,0.75,IF(ROUNDDOWN((J$59-$B67)/Reference!$D$25,0)&lt;4,0.875,0.9375)))))+HLOOKUP($B67,$C$59:$Q$60,2,FALSE)*Reference!$C$26*(1-IF(ROUNDDOWN((J$59-$B67)/Reference!$D$26,0)&lt;1,0,IF(ROUNDDOWN((J$59-$B67)/Reference!$D$26,0)&lt;2,0.5,IF(ROUNDDOWN((J$59-$B67)/Reference!$D$26,0)&lt;3,0.75,IF(ROUNDDOWN((J$59-$B67)/Reference!$D$26,0)&lt;4,0.875,0.9375)))))+HLOOKUP($B67,$C$59:$Q$60,2,FALSE)*Reference!$C$27*(1-IF(ROUNDDOWN((J$59-$B67)/Reference!$D$27,0)&lt;1,0,IF(ROUNDDOWN((J$59-$B67)/Reference!$D$27,0)&lt;2,0.5,IF(ROUNDDOWN((J$59-$B67)/Reference!$D$27,0)&lt;3,0.75,IF(ROUNDDOWN((J$59-$B67)/Reference!$D$27,0)&lt;4,0.875,0.9375)))))+HLOOKUP($B67,$C$59:$Q$60,2,FALSE)*Reference!$C$28*(1-IF(ROUNDDOWN((J$59-$B67)/Reference!$D$28,0)&lt;1,0,IF(ROUNDDOWN((J$59-$B67)/Reference!$D$28,0)&lt;2,0.5,IF(ROUNDDOWN((J$59-$B67)/Reference!$D$28,0)&lt;3,0.75,IF(ROUNDDOWN((J$59-$B67)/Reference!$D$28,0)&lt;4,0.875,0.9375)))))</f>
        <v>0</v>
      </c>
      <c r="K67" s="135">
        <f>HLOOKUP($B67,$C$59:$Q$60,2,FALSE)*Reference!$C$23*(1-IF(ROUNDDOWN((K$59-$B67)/Reference!$D$23,0)&lt;1,0,IF(ROUNDDOWN((K$59-$B67)/Reference!$D$23,0)&lt;2,0.5,IF(ROUNDDOWN((K$59-$B67)/Reference!$D$23,0)&lt;3,0.75,IF(ROUNDDOWN((K$59-$B67)/Reference!$D$23,0)&lt;4,0.875,0.9375)))))+HLOOKUP($B67,$C$59:$Q$60,2,FALSE)*Reference!$C$24*(1-IF(ROUNDDOWN((K$59-$B67)/Reference!$D$24,0)&lt;1,0,IF(ROUNDDOWN((K$59-$B67)/Reference!$D$24,0)&lt;2,0.5,IF(ROUNDDOWN((K$59-$B67)/Reference!$D$24,0)&lt;3,0.75,IF(ROUNDDOWN((K$59-$B67)/Reference!$D$24,0)&lt;4,0.875,0.9375)))))+HLOOKUP($B67,$C$59:$Q$60,2,FALSE)*Reference!$C$25*(1-IF(ROUNDDOWN((K$59-$B67)/Reference!$D$25,0)&lt;1,0,IF(ROUNDDOWN((K$59-$B67)/Reference!$D$25,0)&lt;2,0.5,IF(ROUNDDOWN((K$59-$B67)/Reference!$D$25,0)&lt;3,0.75,IF(ROUNDDOWN((K$59-$B67)/Reference!$D$25,0)&lt;4,0.875,0.9375)))))+HLOOKUP($B67,$C$59:$Q$60,2,FALSE)*Reference!$C$26*(1-IF(ROUNDDOWN((K$59-$B67)/Reference!$D$26,0)&lt;1,0,IF(ROUNDDOWN((K$59-$B67)/Reference!$D$26,0)&lt;2,0.5,IF(ROUNDDOWN((K$59-$B67)/Reference!$D$26,0)&lt;3,0.75,IF(ROUNDDOWN((K$59-$B67)/Reference!$D$26,0)&lt;4,0.875,0.9375)))))+HLOOKUP($B67,$C$59:$Q$60,2,FALSE)*Reference!$C$27*(1-IF(ROUNDDOWN((K$59-$B67)/Reference!$D$27,0)&lt;1,0,IF(ROUNDDOWN((K$59-$B67)/Reference!$D$27,0)&lt;2,0.5,IF(ROUNDDOWN((K$59-$B67)/Reference!$D$27,0)&lt;3,0.75,IF(ROUNDDOWN((K$59-$B67)/Reference!$D$27,0)&lt;4,0.875,0.9375)))))+HLOOKUP($B67,$C$59:$Q$60,2,FALSE)*Reference!$C$28*(1-IF(ROUNDDOWN((K$59-$B67)/Reference!$D$28,0)&lt;1,0,IF(ROUNDDOWN((K$59-$B67)/Reference!$D$28,0)&lt;2,0.5,IF(ROUNDDOWN((K$59-$B67)/Reference!$D$28,0)&lt;3,0.75,IF(ROUNDDOWN((K$59-$B67)/Reference!$D$28,0)&lt;4,0.875,0.9375)))))</f>
        <v>0</v>
      </c>
      <c r="L67" s="135">
        <f>HLOOKUP($B67,$C$59:$Q$60,2,FALSE)*Reference!$C$23*(1-IF(ROUNDDOWN((L$59-$B67)/Reference!$D$23,0)&lt;1,0,IF(ROUNDDOWN((L$59-$B67)/Reference!$D$23,0)&lt;2,0.5,IF(ROUNDDOWN((L$59-$B67)/Reference!$D$23,0)&lt;3,0.75,IF(ROUNDDOWN((L$59-$B67)/Reference!$D$23,0)&lt;4,0.875,0.9375)))))+HLOOKUP($B67,$C$59:$Q$60,2,FALSE)*Reference!$C$24*(1-IF(ROUNDDOWN((L$59-$B67)/Reference!$D$24,0)&lt;1,0,IF(ROUNDDOWN((L$59-$B67)/Reference!$D$24,0)&lt;2,0.5,IF(ROUNDDOWN((L$59-$B67)/Reference!$D$24,0)&lt;3,0.75,IF(ROUNDDOWN((L$59-$B67)/Reference!$D$24,0)&lt;4,0.875,0.9375)))))+HLOOKUP($B67,$C$59:$Q$60,2,FALSE)*Reference!$C$25*(1-IF(ROUNDDOWN((L$59-$B67)/Reference!$D$25,0)&lt;1,0,IF(ROUNDDOWN((L$59-$B67)/Reference!$D$25,0)&lt;2,0.5,IF(ROUNDDOWN((L$59-$B67)/Reference!$D$25,0)&lt;3,0.75,IF(ROUNDDOWN((L$59-$B67)/Reference!$D$25,0)&lt;4,0.875,0.9375)))))+HLOOKUP($B67,$C$59:$Q$60,2,FALSE)*Reference!$C$26*(1-IF(ROUNDDOWN((L$59-$B67)/Reference!$D$26,0)&lt;1,0,IF(ROUNDDOWN((L$59-$B67)/Reference!$D$26,0)&lt;2,0.5,IF(ROUNDDOWN((L$59-$B67)/Reference!$D$26,0)&lt;3,0.75,IF(ROUNDDOWN((L$59-$B67)/Reference!$D$26,0)&lt;4,0.875,0.9375)))))+HLOOKUP($B67,$C$59:$Q$60,2,FALSE)*Reference!$C$27*(1-IF(ROUNDDOWN((L$59-$B67)/Reference!$D$27,0)&lt;1,0,IF(ROUNDDOWN((L$59-$B67)/Reference!$D$27,0)&lt;2,0.5,IF(ROUNDDOWN((L$59-$B67)/Reference!$D$27,0)&lt;3,0.75,IF(ROUNDDOWN((L$59-$B67)/Reference!$D$27,0)&lt;4,0.875,0.9375)))))+HLOOKUP($B67,$C$59:$Q$60,2,FALSE)*Reference!$C$28*(1-IF(ROUNDDOWN((L$59-$B67)/Reference!$D$28,0)&lt;1,0,IF(ROUNDDOWN((L$59-$B67)/Reference!$D$28,0)&lt;2,0.5,IF(ROUNDDOWN((L$59-$B67)/Reference!$D$28,0)&lt;3,0.75,IF(ROUNDDOWN((L$59-$B67)/Reference!$D$28,0)&lt;4,0.875,0.9375)))))</f>
        <v>0</v>
      </c>
      <c r="M67" s="135">
        <f>HLOOKUP($B67,$C$59:$Q$60,2,FALSE)*Reference!$C$23*(1-IF(ROUNDDOWN((M$59-$B67)/Reference!$D$23,0)&lt;1,0,IF(ROUNDDOWN((M$59-$B67)/Reference!$D$23,0)&lt;2,0.5,IF(ROUNDDOWN((M$59-$B67)/Reference!$D$23,0)&lt;3,0.75,IF(ROUNDDOWN((M$59-$B67)/Reference!$D$23,0)&lt;4,0.875,0.9375)))))+HLOOKUP($B67,$C$59:$Q$60,2,FALSE)*Reference!$C$24*(1-IF(ROUNDDOWN((M$59-$B67)/Reference!$D$24,0)&lt;1,0,IF(ROUNDDOWN((M$59-$B67)/Reference!$D$24,0)&lt;2,0.5,IF(ROUNDDOWN((M$59-$B67)/Reference!$D$24,0)&lt;3,0.75,IF(ROUNDDOWN((M$59-$B67)/Reference!$D$24,0)&lt;4,0.875,0.9375)))))+HLOOKUP($B67,$C$59:$Q$60,2,FALSE)*Reference!$C$25*(1-IF(ROUNDDOWN((M$59-$B67)/Reference!$D$25,0)&lt;1,0,IF(ROUNDDOWN((M$59-$B67)/Reference!$D$25,0)&lt;2,0.5,IF(ROUNDDOWN((M$59-$B67)/Reference!$D$25,0)&lt;3,0.75,IF(ROUNDDOWN((M$59-$B67)/Reference!$D$25,0)&lt;4,0.875,0.9375)))))+HLOOKUP($B67,$C$59:$Q$60,2,FALSE)*Reference!$C$26*(1-IF(ROUNDDOWN((M$59-$B67)/Reference!$D$26,0)&lt;1,0,IF(ROUNDDOWN((M$59-$B67)/Reference!$D$26,0)&lt;2,0.5,IF(ROUNDDOWN((M$59-$B67)/Reference!$D$26,0)&lt;3,0.75,IF(ROUNDDOWN((M$59-$B67)/Reference!$D$26,0)&lt;4,0.875,0.9375)))))+HLOOKUP($B67,$C$59:$Q$60,2,FALSE)*Reference!$C$27*(1-IF(ROUNDDOWN((M$59-$B67)/Reference!$D$27,0)&lt;1,0,IF(ROUNDDOWN((M$59-$B67)/Reference!$D$27,0)&lt;2,0.5,IF(ROUNDDOWN((M$59-$B67)/Reference!$D$27,0)&lt;3,0.75,IF(ROUNDDOWN((M$59-$B67)/Reference!$D$27,0)&lt;4,0.875,0.9375)))))+HLOOKUP($B67,$C$59:$Q$60,2,FALSE)*Reference!$C$28*(1-IF(ROUNDDOWN((M$59-$B67)/Reference!$D$28,0)&lt;1,0,IF(ROUNDDOWN((M$59-$B67)/Reference!$D$28,0)&lt;2,0.5,IF(ROUNDDOWN((M$59-$B67)/Reference!$D$28,0)&lt;3,0.75,IF(ROUNDDOWN((M$59-$B67)/Reference!$D$28,0)&lt;4,0.875,0.9375)))))</f>
        <v>0</v>
      </c>
      <c r="N67" s="135">
        <f>HLOOKUP($B67,$C$59:$Q$60,2,FALSE)*Reference!$C$23*(1-IF(ROUNDDOWN((N$59-$B67)/Reference!$D$23,0)&lt;1,0,IF(ROUNDDOWN((N$59-$B67)/Reference!$D$23,0)&lt;2,0.5,IF(ROUNDDOWN((N$59-$B67)/Reference!$D$23,0)&lt;3,0.75,IF(ROUNDDOWN((N$59-$B67)/Reference!$D$23,0)&lt;4,0.875,0.9375)))))+HLOOKUP($B67,$C$59:$Q$60,2,FALSE)*Reference!$C$24*(1-IF(ROUNDDOWN((N$59-$B67)/Reference!$D$24,0)&lt;1,0,IF(ROUNDDOWN((N$59-$B67)/Reference!$D$24,0)&lt;2,0.5,IF(ROUNDDOWN((N$59-$B67)/Reference!$D$24,0)&lt;3,0.75,IF(ROUNDDOWN((N$59-$B67)/Reference!$D$24,0)&lt;4,0.875,0.9375)))))+HLOOKUP($B67,$C$59:$Q$60,2,FALSE)*Reference!$C$25*(1-IF(ROUNDDOWN((N$59-$B67)/Reference!$D$25,0)&lt;1,0,IF(ROUNDDOWN((N$59-$B67)/Reference!$D$25,0)&lt;2,0.5,IF(ROUNDDOWN((N$59-$B67)/Reference!$D$25,0)&lt;3,0.75,IF(ROUNDDOWN((N$59-$B67)/Reference!$D$25,0)&lt;4,0.875,0.9375)))))+HLOOKUP($B67,$C$59:$Q$60,2,FALSE)*Reference!$C$26*(1-IF(ROUNDDOWN((N$59-$B67)/Reference!$D$26,0)&lt;1,0,IF(ROUNDDOWN((N$59-$B67)/Reference!$D$26,0)&lt;2,0.5,IF(ROUNDDOWN((N$59-$B67)/Reference!$D$26,0)&lt;3,0.75,IF(ROUNDDOWN((N$59-$B67)/Reference!$D$26,0)&lt;4,0.875,0.9375)))))+HLOOKUP($B67,$C$59:$Q$60,2,FALSE)*Reference!$C$27*(1-IF(ROUNDDOWN((N$59-$B67)/Reference!$D$27,0)&lt;1,0,IF(ROUNDDOWN((N$59-$B67)/Reference!$D$27,0)&lt;2,0.5,IF(ROUNDDOWN((N$59-$B67)/Reference!$D$27,0)&lt;3,0.75,IF(ROUNDDOWN((N$59-$B67)/Reference!$D$27,0)&lt;4,0.875,0.9375)))))+HLOOKUP($B67,$C$59:$Q$60,2,FALSE)*Reference!$C$28*(1-IF(ROUNDDOWN((N$59-$B67)/Reference!$D$28,0)&lt;1,0,IF(ROUNDDOWN((N$59-$B67)/Reference!$D$28,0)&lt;2,0.5,IF(ROUNDDOWN((N$59-$B67)/Reference!$D$28,0)&lt;3,0.75,IF(ROUNDDOWN((N$59-$B67)/Reference!$D$28,0)&lt;4,0.875,0.9375)))))</f>
        <v>0</v>
      </c>
      <c r="O67" s="135">
        <f>HLOOKUP($B67,$C$59:$Q$60,2,FALSE)*Reference!$C$23*(1-IF(ROUNDDOWN((O$59-$B67)/Reference!$D$23,0)&lt;1,0,IF(ROUNDDOWN((O$59-$B67)/Reference!$D$23,0)&lt;2,0.5,IF(ROUNDDOWN((O$59-$B67)/Reference!$D$23,0)&lt;3,0.75,IF(ROUNDDOWN((O$59-$B67)/Reference!$D$23,0)&lt;4,0.875,0.9375)))))+HLOOKUP($B67,$C$59:$Q$60,2,FALSE)*Reference!$C$24*(1-IF(ROUNDDOWN((O$59-$B67)/Reference!$D$24,0)&lt;1,0,IF(ROUNDDOWN((O$59-$B67)/Reference!$D$24,0)&lt;2,0.5,IF(ROUNDDOWN((O$59-$B67)/Reference!$D$24,0)&lt;3,0.75,IF(ROUNDDOWN((O$59-$B67)/Reference!$D$24,0)&lt;4,0.875,0.9375)))))+HLOOKUP($B67,$C$59:$Q$60,2,FALSE)*Reference!$C$25*(1-IF(ROUNDDOWN((O$59-$B67)/Reference!$D$25,0)&lt;1,0,IF(ROUNDDOWN((O$59-$B67)/Reference!$D$25,0)&lt;2,0.5,IF(ROUNDDOWN((O$59-$B67)/Reference!$D$25,0)&lt;3,0.75,IF(ROUNDDOWN((O$59-$B67)/Reference!$D$25,0)&lt;4,0.875,0.9375)))))+HLOOKUP($B67,$C$59:$Q$60,2,FALSE)*Reference!$C$26*(1-IF(ROUNDDOWN((O$59-$B67)/Reference!$D$26,0)&lt;1,0,IF(ROUNDDOWN((O$59-$B67)/Reference!$D$26,0)&lt;2,0.5,IF(ROUNDDOWN((O$59-$B67)/Reference!$D$26,0)&lt;3,0.75,IF(ROUNDDOWN((O$59-$B67)/Reference!$D$26,0)&lt;4,0.875,0.9375)))))+HLOOKUP($B67,$C$59:$Q$60,2,FALSE)*Reference!$C$27*(1-IF(ROUNDDOWN((O$59-$B67)/Reference!$D$27,0)&lt;1,0,IF(ROUNDDOWN((O$59-$B67)/Reference!$D$27,0)&lt;2,0.5,IF(ROUNDDOWN((O$59-$B67)/Reference!$D$27,0)&lt;3,0.75,IF(ROUNDDOWN((O$59-$B67)/Reference!$D$27,0)&lt;4,0.875,0.9375)))))+HLOOKUP($B67,$C$59:$Q$60,2,FALSE)*Reference!$C$28*(1-IF(ROUNDDOWN((O$59-$B67)/Reference!$D$28,0)&lt;1,0,IF(ROUNDDOWN((O$59-$B67)/Reference!$D$28,0)&lt;2,0.5,IF(ROUNDDOWN((O$59-$B67)/Reference!$D$28,0)&lt;3,0.75,IF(ROUNDDOWN((O$59-$B67)/Reference!$D$28,0)&lt;4,0.875,0.9375)))))</f>
        <v>0</v>
      </c>
      <c r="P67" s="135">
        <f>HLOOKUP($B67,$C$59:$Q$60,2,FALSE)*Reference!$C$23*(1-IF(ROUNDDOWN((P$59-$B67)/Reference!$D$23,0)&lt;1,0,IF(ROUNDDOWN((P$59-$B67)/Reference!$D$23,0)&lt;2,0.5,IF(ROUNDDOWN((P$59-$B67)/Reference!$D$23,0)&lt;3,0.75,IF(ROUNDDOWN((P$59-$B67)/Reference!$D$23,0)&lt;4,0.875,0.9375)))))+HLOOKUP($B67,$C$59:$Q$60,2,FALSE)*Reference!$C$24*(1-IF(ROUNDDOWN((P$59-$B67)/Reference!$D$24,0)&lt;1,0,IF(ROUNDDOWN((P$59-$B67)/Reference!$D$24,0)&lt;2,0.5,IF(ROUNDDOWN((P$59-$B67)/Reference!$D$24,0)&lt;3,0.75,IF(ROUNDDOWN((P$59-$B67)/Reference!$D$24,0)&lt;4,0.875,0.9375)))))+HLOOKUP($B67,$C$59:$Q$60,2,FALSE)*Reference!$C$25*(1-IF(ROUNDDOWN((P$59-$B67)/Reference!$D$25,0)&lt;1,0,IF(ROUNDDOWN((P$59-$B67)/Reference!$D$25,0)&lt;2,0.5,IF(ROUNDDOWN((P$59-$B67)/Reference!$D$25,0)&lt;3,0.75,IF(ROUNDDOWN((P$59-$B67)/Reference!$D$25,0)&lt;4,0.875,0.9375)))))+HLOOKUP($B67,$C$59:$Q$60,2,FALSE)*Reference!$C$26*(1-IF(ROUNDDOWN((P$59-$B67)/Reference!$D$26,0)&lt;1,0,IF(ROUNDDOWN((P$59-$B67)/Reference!$D$26,0)&lt;2,0.5,IF(ROUNDDOWN((P$59-$B67)/Reference!$D$26,0)&lt;3,0.75,IF(ROUNDDOWN((P$59-$B67)/Reference!$D$26,0)&lt;4,0.875,0.9375)))))+HLOOKUP($B67,$C$59:$Q$60,2,FALSE)*Reference!$C$27*(1-IF(ROUNDDOWN((P$59-$B67)/Reference!$D$27,0)&lt;1,0,IF(ROUNDDOWN((P$59-$B67)/Reference!$D$27,0)&lt;2,0.5,IF(ROUNDDOWN((P$59-$B67)/Reference!$D$27,0)&lt;3,0.75,IF(ROUNDDOWN((P$59-$B67)/Reference!$D$27,0)&lt;4,0.875,0.9375)))))+HLOOKUP($B67,$C$59:$Q$60,2,FALSE)*Reference!$C$28*(1-IF(ROUNDDOWN((P$59-$B67)/Reference!$D$28,0)&lt;1,0,IF(ROUNDDOWN((P$59-$B67)/Reference!$D$28,0)&lt;2,0.5,IF(ROUNDDOWN((P$59-$B67)/Reference!$D$28,0)&lt;3,0.75,IF(ROUNDDOWN((P$59-$B67)/Reference!$D$28,0)&lt;4,0.875,0.9375)))))</f>
        <v>0</v>
      </c>
      <c r="Q67" s="135">
        <f>HLOOKUP($B67,$C$59:$Q$60,2,FALSE)*Reference!$C$23*(1-IF(ROUNDDOWN((Q$59-$B67)/Reference!$D$23,0)&lt;1,0,IF(ROUNDDOWN((Q$59-$B67)/Reference!$D$23,0)&lt;2,0.5,IF(ROUNDDOWN((Q$59-$B67)/Reference!$D$23,0)&lt;3,0.75,IF(ROUNDDOWN((Q$59-$B67)/Reference!$D$23,0)&lt;4,0.875,0.9375)))))+HLOOKUP($B67,$C$59:$Q$60,2,FALSE)*Reference!$C$24*(1-IF(ROUNDDOWN((Q$59-$B67)/Reference!$D$24,0)&lt;1,0,IF(ROUNDDOWN((Q$59-$B67)/Reference!$D$24,0)&lt;2,0.5,IF(ROUNDDOWN((Q$59-$B67)/Reference!$D$24,0)&lt;3,0.75,IF(ROUNDDOWN((Q$59-$B67)/Reference!$D$24,0)&lt;4,0.875,0.9375)))))+HLOOKUP($B67,$C$59:$Q$60,2,FALSE)*Reference!$C$25*(1-IF(ROUNDDOWN((Q$59-$B67)/Reference!$D$25,0)&lt;1,0,IF(ROUNDDOWN((Q$59-$B67)/Reference!$D$25,0)&lt;2,0.5,IF(ROUNDDOWN((Q$59-$B67)/Reference!$D$25,0)&lt;3,0.75,IF(ROUNDDOWN((Q$59-$B67)/Reference!$D$25,0)&lt;4,0.875,0.9375)))))+HLOOKUP($B67,$C$59:$Q$60,2,FALSE)*Reference!$C$26*(1-IF(ROUNDDOWN((Q$59-$B67)/Reference!$D$26,0)&lt;1,0,IF(ROUNDDOWN((Q$59-$B67)/Reference!$D$26,0)&lt;2,0.5,IF(ROUNDDOWN((Q$59-$B67)/Reference!$D$26,0)&lt;3,0.75,IF(ROUNDDOWN((Q$59-$B67)/Reference!$D$26,0)&lt;4,0.875,0.9375)))))+HLOOKUP($B67,$C$59:$Q$60,2,FALSE)*Reference!$C$27*(1-IF(ROUNDDOWN((Q$59-$B67)/Reference!$D$27,0)&lt;1,0,IF(ROUNDDOWN((Q$59-$B67)/Reference!$D$27,0)&lt;2,0.5,IF(ROUNDDOWN((Q$59-$B67)/Reference!$D$27,0)&lt;3,0.75,IF(ROUNDDOWN((Q$59-$B67)/Reference!$D$27,0)&lt;4,0.875,0.9375)))))+HLOOKUP($B67,$C$59:$Q$60,2,FALSE)*Reference!$C$28*(1-IF(ROUNDDOWN((Q$59-$B67)/Reference!$D$28,0)&lt;1,0,IF(ROUNDDOWN((Q$59-$B67)/Reference!$D$28,0)&lt;2,0.5,IF(ROUNDDOWN((Q$59-$B67)/Reference!$D$28,0)&lt;3,0.75,IF(ROUNDDOWN((Q$59-$B67)/Reference!$D$28,0)&lt;4,0.875,0.9375)))))</f>
        <v>0</v>
      </c>
      <c r="R67" s="50"/>
    </row>
    <row r="68" spans="2:18" x14ac:dyDescent="0.3">
      <c r="B68" s="237">
        <f t="shared" si="10"/>
        <v>2020</v>
      </c>
      <c r="C68" s="135"/>
      <c r="D68" s="135"/>
      <c r="E68" s="135"/>
      <c r="F68" s="135"/>
      <c r="G68" s="135"/>
      <c r="H68" s="135">
        <f>HLOOKUP($B68,$C$59:$Q$60,2,FALSE)*Reference!$C$23*(1-IF(ROUNDDOWN((H$59-$B68)/Reference!$D$23,0)&lt;1,0,IF(ROUNDDOWN((H$59-$B68)/Reference!$D$23,0)&lt;2,0.5,IF(ROUNDDOWN((H$59-$B68)/Reference!$D$23,0)&lt;3,0.75,IF(ROUNDDOWN((H$59-$B68)/Reference!$D$23,0)&lt;4,0.875,0.9375)))))+HLOOKUP($B68,$C$59:$Q$60,2,FALSE)*Reference!$C$24*(1-IF(ROUNDDOWN((H$59-$B68)/Reference!$D$24,0)&lt;1,0,IF(ROUNDDOWN((H$59-$B68)/Reference!$D$24,0)&lt;2,0.5,IF(ROUNDDOWN((H$59-$B68)/Reference!$D$24,0)&lt;3,0.75,IF(ROUNDDOWN((H$59-$B68)/Reference!$D$24,0)&lt;4,0.875,0.9375)))))+HLOOKUP($B68,$C$59:$Q$60,2,FALSE)*Reference!$C$25*(1-IF(ROUNDDOWN((H$59-$B68)/Reference!$D$25,0)&lt;1,0,IF(ROUNDDOWN((H$59-$B68)/Reference!$D$25,0)&lt;2,0.5,IF(ROUNDDOWN((H$59-$B68)/Reference!$D$25,0)&lt;3,0.75,IF(ROUNDDOWN((H$59-$B68)/Reference!$D$25,0)&lt;4,0.875,0.9375)))))+HLOOKUP($B68,$C$59:$Q$60,2,FALSE)*Reference!$C$26*(1-IF(ROUNDDOWN((H$59-$B68)/Reference!$D$26,0)&lt;1,0,IF(ROUNDDOWN((H$59-$B68)/Reference!$D$26,0)&lt;2,0.5,IF(ROUNDDOWN((H$59-$B68)/Reference!$D$26,0)&lt;3,0.75,IF(ROUNDDOWN((H$59-$B68)/Reference!$D$26,0)&lt;4,0.875,0.9375)))))+HLOOKUP($B68,$C$59:$Q$60,2,FALSE)*Reference!$C$27*(1-IF(ROUNDDOWN((H$59-$B68)/Reference!$D$27,0)&lt;1,0,IF(ROUNDDOWN((H$59-$B68)/Reference!$D$27,0)&lt;2,0.5,IF(ROUNDDOWN((H$59-$B68)/Reference!$D$27,0)&lt;3,0.75,IF(ROUNDDOWN((H$59-$B68)/Reference!$D$27,0)&lt;4,0.875,0.9375)))))+HLOOKUP($B68,$C$59:$Q$60,2,FALSE)*Reference!$C$28*(1-IF(ROUNDDOWN((H$59-$B68)/Reference!$D$28,0)&lt;1,0,IF(ROUNDDOWN((H$59-$B68)/Reference!$D$28,0)&lt;2,0.5,IF(ROUNDDOWN((H$59-$B68)/Reference!$D$28,0)&lt;3,0.75,IF(ROUNDDOWN((H$59-$B68)/Reference!$D$28,0)&lt;4,0.875,0.9375)))))</f>
        <v>0</v>
      </c>
      <c r="I68" s="135">
        <f>HLOOKUP($B68,$C$59:$Q$60,2,FALSE)*Reference!$C$23*(1-IF(ROUNDDOWN((I$59-$B68)/Reference!$D$23,0)&lt;1,0,IF(ROUNDDOWN((I$59-$B68)/Reference!$D$23,0)&lt;2,0.5,IF(ROUNDDOWN((I$59-$B68)/Reference!$D$23,0)&lt;3,0.75,IF(ROUNDDOWN((I$59-$B68)/Reference!$D$23,0)&lt;4,0.875,0.9375)))))+HLOOKUP($B68,$C$59:$Q$60,2,FALSE)*Reference!$C$24*(1-IF(ROUNDDOWN((I$59-$B68)/Reference!$D$24,0)&lt;1,0,IF(ROUNDDOWN((I$59-$B68)/Reference!$D$24,0)&lt;2,0.5,IF(ROUNDDOWN((I$59-$B68)/Reference!$D$24,0)&lt;3,0.75,IF(ROUNDDOWN((I$59-$B68)/Reference!$D$24,0)&lt;4,0.875,0.9375)))))+HLOOKUP($B68,$C$59:$Q$60,2,FALSE)*Reference!$C$25*(1-IF(ROUNDDOWN((I$59-$B68)/Reference!$D$25,0)&lt;1,0,IF(ROUNDDOWN((I$59-$B68)/Reference!$D$25,0)&lt;2,0.5,IF(ROUNDDOWN((I$59-$B68)/Reference!$D$25,0)&lt;3,0.75,IF(ROUNDDOWN((I$59-$B68)/Reference!$D$25,0)&lt;4,0.875,0.9375)))))+HLOOKUP($B68,$C$59:$Q$60,2,FALSE)*Reference!$C$26*(1-IF(ROUNDDOWN((I$59-$B68)/Reference!$D$26,0)&lt;1,0,IF(ROUNDDOWN((I$59-$B68)/Reference!$D$26,0)&lt;2,0.5,IF(ROUNDDOWN((I$59-$B68)/Reference!$D$26,0)&lt;3,0.75,IF(ROUNDDOWN((I$59-$B68)/Reference!$D$26,0)&lt;4,0.875,0.9375)))))+HLOOKUP($B68,$C$59:$Q$60,2,FALSE)*Reference!$C$27*(1-IF(ROUNDDOWN((I$59-$B68)/Reference!$D$27,0)&lt;1,0,IF(ROUNDDOWN((I$59-$B68)/Reference!$D$27,0)&lt;2,0.5,IF(ROUNDDOWN((I$59-$B68)/Reference!$D$27,0)&lt;3,0.75,IF(ROUNDDOWN((I$59-$B68)/Reference!$D$27,0)&lt;4,0.875,0.9375)))))+HLOOKUP($B68,$C$59:$Q$60,2,FALSE)*Reference!$C$28*(1-IF(ROUNDDOWN((I$59-$B68)/Reference!$D$28,0)&lt;1,0,IF(ROUNDDOWN((I$59-$B68)/Reference!$D$28,0)&lt;2,0.5,IF(ROUNDDOWN((I$59-$B68)/Reference!$D$28,0)&lt;3,0.75,IF(ROUNDDOWN((I$59-$B68)/Reference!$D$28,0)&lt;4,0.875,0.9375)))))</f>
        <v>0</v>
      </c>
      <c r="J68" s="135">
        <f>HLOOKUP($B68,$C$59:$Q$60,2,FALSE)*Reference!$C$23*(1-IF(ROUNDDOWN((J$59-$B68)/Reference!$D$23,0)&lt;1,0,IF(ROUNDDOWN((J$59-$B68)/Reference!$D$23,0)&lt;2,0.5,IF(ROUNDDOWN((J$59-$B68)/Reference!$D$23,0)&lt;3,0.75,IF(ROUNDDOWN((J$59-$B68)/Reference!$D$23,0)&lt;4,0.875,0.9375)))))+HLOOKUP($B68,$C$59:$Q$60,2,FALSE)*Reference!$C$24*(1-IF(ROUNDDOWN((J$59-$B68)/Reference!$D$24,0)&lt;1,0,IF(ROUNDDOWN((J$59-$B68)/Reference!$D$24,0)&lt;2,0.5,IF(ROUNDDOWN((J$59-$B68)/Reference!$D$24,0)&lt;3,0.75,IF(ROUNDDOWN((J$59-$B68)/Reference!$D$24,0)&lt;4,0.875,0.9375)))))+HLOOKUP($B68,$C$59:$Q$60,2,FALSE)*Reference!$C$25*(1-IF(ROUNDDOWN((J$59-$B68)/Reference!$D$25,0)&lt;1,0,IF(ROUNDDOWN((J$59-$B68)/Reference!$D$25,0)&lt;2,0.5,IF(ROUNDDOWN((J$59-$B68)/Reference!$D$25,0)&lt;3,0.75,IF(ROUNDDOWN((J$59-$B68)/Reference!$D$25,0)&lt;4,0.875,0.9375)))))+HLOOKUP($B68,$C$59:$Q$60,2,FALSE)*Reference!$C$26*(1-IF(ROUNDDOWN((J$59-$B68)/Reference!$D$26,0)&lt;1,0,IF(ROUNDDOWN((J$59-$B68)/Reference!$D$26,0)&lt;2,0.5,IF(ROUNDDOWN((J$59-$B68)/Reference!$D$26,0)&lt;3,0.75,IF(ROUNDDOWN((J$59-$B68)/Reference!$D$26,0)&lt;4,0.875,0.9375)))))+HLOOKUP($B68,$C$59:$Q$60,2,FALSE)*Reference!$C$27*(1-IF(ROUNDDOWN((J$59-$B68)/Reference!$D$27,0)&lt;1,0,IF(ROUNDDOWN((J$59-$B68)/Reference!$D$27,0)&lt;2,0.5,IF(ROUNDDOWN((J$59-$B68)/Reference!$D$27,0)&lt;3,0.75,IF(ROUNDDOWN((J$59-$B68)/Reference!$D$27,0)&lt;4,0.875,0.9375)))))+HLOOKUP($B68,$C$59:$Q$60,2,FALSE)*Reference!$C$28*(1-IF(ROUNDDOWN((J$59-$B68)/Reference!$D$28,0)&lt;1,0,IF(ROUNDDOWN((J$59-$B68)/Reference!$D$28,0)&lt;2,0.5,IF(ROUNDDOWN((J$59-$B68)/Reference!$D$28,0)&lt;3,0.75,IF(ROUNDDOWN((J$59-$B68)/Reference!$D$28,0)&lt;4,0.875,0.9375)))))</f>
        <v>0</v>
      </c>
      <c r="K68" s="135">
        <f>HLOOKUP($B68,$C$59:$Q$60,2,FALSE)*Reference!$C$23*(1-IF(ROUNDDOWN((K$59-$B68)/Reference!$D$23,0)&lt;1,0,IF(ROUNDDOWN((K$59-$B68)/Reference!$D$23,0)&lt;2,0.5,IF(ROUNDDOWN((K$59-$B68)/Reference!$D$23,0)&lt;3,0.75,IF(ROUNDDOWN((K$59-$B68)/Reference!$D$23,0)&lt;4,0.875,0.9375)))))+HLOOKUP($B68,$C$59:$Q$60,2,FALSE)*Reference!$C$24*(1-IF(ROUNDDOWN((K$59-$B68)/Reference!$D$24,0)&lt;1,0,IF(ROUNDDOWN((K$59-$B68)/Reference!$D$24,0)&lt;2,0.5,IF(ROUNDDOWN((K$59-$B68)/Reference!$D$24,0)&lt;3,0.75,IF(ROUNDDOWN((K$59-$B68)/Reference!$D$24,0)&lt;4,0.875,0.9375)))))+HLOOKUP($B68,$C$59:$Q$60,2,FALSE)*Reference!$C$25*(1-IF(ROUNDDOWN((K$59-$B68)/Reference!$D$25,0)&lt;1,0,IF(ROUNDDOWN((K$59-$B68)/Reference!$D$25,0)&lt;2,0.5,IF(ROUNDDOWN((K$59-$B68)/Reference!$D$25,0)&lt;3,0.75,IF(ROUNDDOWN((K$59-$B68)/Reference!$D$25,0)&lt;4,0.875,0.9375)))))+HLOOKUP($B68,$C$59:$Q$60,2,FALSE)*Reference!$C$26*(1-IF(ROUNDDOWN((K$59-$B68)/Reference!$D$26,0)&lt;1,0,IF(ROUNDDOWN((K$59-$B68)/Reference!$D$26,0)&lt;2,0.5,IF(ROUNDDOWN((K$59-$B68)/Reference!$D$26,0)&lt;3,0.75,IF(ROUNDDOWN((K$59-$B68)/Reference!$D$26,0)&lt;4,0.875,0.9375)))))+HLOOKUP($B68,$C$59:$Q$60,2,FALSE)*Reference!$C$27*(1-IF(ROUNDDOWN((K$59-$B68)/Reference!$D$27,0)&lt;1,0,IF(ROUNDDOWN((K$59-$B68)/Reference!$D$27,0)&lt;2,0.5,IF(ROUNDDOWN((K$59-$B68)/Reference!$D$27,0)&lt;3,0.75,IF(ROUNDDOWN((K$59-$B68)/Reference!$D$27,0)&lt;4,0.875,0.9375)))))+HLOOKUP($B68,$C$59:$Q$60,2,FALSE)*Reference!$C$28*(1-IF(ROUNDDOWN((K$59-$B68)/Reference!$D$28,0)&lt;1,0,IF(ROUNDDOWN((K$59-$B68)/Reference!$D$28,0)&lt;2,0.5,IF(ROUNDDOWN((K$59-$B68)/Reference!$D$28,0)&lt;3,0.75,IF(ROUNDDOWN((K$59-$B68)/Reference!$D$28,0)&lt;4,0.875,0.9375)))))</f>
        <v>0</v>
      </c>
      <c r="L68" s="135">
        <f>HLOOKUP($B68,$C$59:$Q$60,2,FALSE)*Reference!$C$23*(1-IF(ROUNDDOWN((L$59-$B68)/Reference!$D$23,0)&lt;1,0,IF(ROUNDDOWN((L$59-$B68)/Reference!$D$23,0)&lt;2,0.5,IF(ROUNDDOWN((L$59-$B68)/Reference!$D$23,0)&lt;3,0.75,IF(ROUNDDOWN((L$59-$B68)/Reference!$D$23,0)&lt;4,0.875,0.9375)))))+HLOOKUP($B68,$C$59:$Q$60,2,FALSE)*Reference!$C$24*(1-IF(ROUNDDOWN((L$59-$B68)/Reference!$D$24,0)&lt;1,0,IF(ROUNDDOWN((L$59-$B68)/Reference!$D$24,0)&lt;2,0.5,IF(ROUNDDOWN((L$59-$B68)/Reference!$D$24,0)&lt;3,0.75,IF(ROUNDDOWN((L$59-$B68)/Reference!$D$24,0)&lt;4,0.875,0.9375)))))+HLOOKUP($B68,$C$59:$Q$60,2,FALSE)*Reference!$C$25*(1-IF(ROUNDDOWN((L$59-$B68)/Reference!$D$25,0)&lt;1,0,IF(ROUNDDOWN((L$59-$B68)/Reference!$D$25,0)&lt;2,0.5,IF(ROUNDDOWN((L$59-$B68)/Reference!$D$25,0)&lt;3,0.75,IF(ROUNDDOWN((L$59-$B68)/Reference!$D$25,0)&lt;4,0.875,0.9375)))))+HLOOKUP($B68,$C$59:$Q$60,2,FALSE)*Reference!$C$26*(1-IF(ROUNDDOWN((L$59-$B68)/Reference!$D$26,0)&lt;1,0,IF(ROUNDDOWN((L$59-$B68)/Reference!$D$26,0)&lt;2,0.5,IF(ROUNDDOWN((L$59-$B68)/Reference!$D$26,0)&lt;3,0.75,IF(ROUNDDOWN((L$59-$B68)/Reference!$D$26,0)&lt;4,0.875,0.9375)))))+HLOOKUP($B68,$C$59:$Q$60,2,FALSE)*Reference!$C$27*(1-IF(ROUNDDOWN((L$59-$B68)/Reference!$D$27,0)&lt;1,0,IF(ROUNDDOWN((L$59-$B68)/Reference!$D$27,0)&lt;2,0.5,IF(ROUNDDOWN((L$59-$B68)/Reference!$D$27,0)&lt;3,0.75,IF(ROUNDDOWN((L$59-$B68)/Reference!$D$27,0)&lt;4,0.875,0.9375)))))+HLOOKUP($B68,$C$59:$Q$60,2,FALSE)*Reference!$C$28*(1-IF(ROUNDDOWN((L$59-$B68)/Reference!$D$28,0)&lt;1,0,IF(ROUNDDOWN((L$59-$B68)/Reference!$D$28,0)&lt;2,0.5,IF(ROUNDDOWN((L$59-$B68)/Reference!$D$28,0)&lt;3,0.75,IF(ROUNDDOWN((L$59-$B68)/Reference!$D$28,0)&lt;4,0.875,0.9375)))))</f>
        <v>0</v>
      </c>
      <c r="M68" s="135">
        <f>HLOOKUP($B68,$C$59:$Q$60,2,FALSE)*Reference!$C$23*(1-IF(ROUNDDOWN((M$59-$B68)/Reference!$D$23,0)&lt;1,0,IF(ROUNDDOWN((M$59-$B68)/Reference!$D$23,0)&lt;2,0.5,IF(ROUNDDOWN((M$59-$B68)/Reference!$D$23,0)&lt;3,0.75,IF(ROUNDDOWN((M$59-$B68)/Reference!$D$23,0)&lt;4,0.875,0.9375)))))+HLOOKUP($B68,$C$59:$Q$60,2,FALSE)*Reference!$C$24*(1-IF(ROUNDDOWN((M$59-$B68)/Reference!$D$24,0)&lt;1,0,IF(ROUNDDOWN((M$59-$B68)/Reference!$D$24,0)&lt;2,0.5,IF(ROUNDDOWN((M$59-$B68)/Reference!$D$24,0)&lt;3,0.75,IF(ROUNDDOWN((M$59-$B68)/Reference!$D$24,0)&lt;4,0.875,0.9375)))))+HLOOKUP($B68,$C$59:$Q$60,2,FALSE)*Reference!$C$25*(1-IF(ROUNDDOWN((M$59-$B68)/Reference!$D$25,0)&lt;1,0,IF(ROUNDDOWN((M$59-$B68)/Reference!$D$25,0)&lt;2,0.5,IF(ROUNDDOWN((M$59-$B68)/Reference!$D$25,0)&lt;3,0.75,IF(ROUNDDOWN((M$59-$B68)/Reference!$D$25,0)&lt;4,0.875,0.9375)))))+HLOOKUP($B68,$C$59:$Q$60,2,FALSE)*Reference!$C$26*(1-IF(ROUNDDOWN((M$59-$B68)/Reference!$D$26,0)&lt;1,0,IF(ROUNDDOWN((M$59-$B68)/Reference!$D$26,0)&lt;2,0.5,IF(ROUNDDOWN((M$59-$B68)/Reference!$D$26,0)&lt;3,0.75,IF(ROUNDDOWN((M$59-$B68)/Reference!$D$26,0)&lt;4,0.875,0.9375)))))+HLOOKUP($B68,$C$59:$Q$60,2,FALSE)*Reference!$C$27*(1-IF(ROUNDDOWN((M$59-$B68)/Reference!$D$27,0)&lt;1,0,IF(ROUNDDOWN((M$59-$B68)/Reference!$D$27,0)&lt;2,0.5,IF(ROUNDDOWN((M$59-$B68)/Reference!$D$27,0)&lt;3,0.75,IF(ROUNDDOWN((M$59-$B68)/Reference!$D$27,0)&lt;4,0.875,0.9375)))))+HLOOKUP($B68,$C$59:$Q$60,2,FALSE)*Reference!$C$28*(1-IF(ROUNDDOWN((M$59-$B68)/Reference!$D$28,0)&lt;1,0,IF(ROUNDDOWN((M$59-$B68)/Reference!$D$28,0)&lt;2,0.5,IF(ROUNDDOWN((M$59-$B68)/Reference!$D$28,0)&lt;3,0.75,IF(ROUNDDOWN((M$59-$B68)/Reference!$D$28,0)&lt;4,0.875,0.9375)))))</f>
        <v>0</v>
      </c>
      <c r="N68" s="135">
        <f>HLOOKUP($B68,$C$59:$Q$60,2,FALSE)*Reference!$C$23*(1-IF(ROUNDDOWN((N$59-$B68)/Reference!$D$23,0)&lt;1,0,IF(ROUNDDOWN((N$59-$B68)/Reference!$D$23,0)&lt;2,0.5,IF(ROUNDDOWN((N$59-$B68)/Reference!$D$23,0)&lt;3,0.75,IF(ROUNDDOWN((N$59-$B68)/Reference!$D$23,0)&lt;4,0.875,0.9375)))))+HLOOKUP($B68,$C$59:$Q$60,2,FALSE)*Reference!$C$24*(1-IF(ROUNDDOWN((N$59-$B68)/Reference!$D$24,0)&lt;1,0,IF(ROUNDDOWN((N$59-$B68)/Reference!$D$24,0)&lt;2,0.5,IF(ROUNDDOWN((N$59-$B68)/Reference!$D$24,0)&lt;3,0.75,IF(ROUNDDOWN((N$59-$B68)/Reference!$D$24,0)&lt;4,0.875,0.9375)))))+HLOOKUP($B68,$C$59:$Q$60,2,FALSE)*Reference!$C$25*(1-IF(ROUNDDOWN((N$59-$B68)/Reference!$D$25,0)&lt;1,0,IF(ROUNDDOWN((N$59-$B68)/Reference!$D$25,0)&lt;2,0.5,IF(ROUNDDOWN((N$59-$B68)/Reference!$D$25,0)&lt;3,0.75,IF(ROUNDDOWN((N$59-$B68)/Reference!$D$25,0)&lt;4,0.875,0.9375)))))+HLOOKUP($B68,$C$59:$Q$60,2,FALSE)*Reference!$C$26*(1-IF(ROUNDDOWN((N$59-$B68)/Reference!$D$26,0)&lt;1,0,IF(ROUNDDOWN((N$59-$B68)/Reference!$D$26,0)&lt;2,0.5,IF(ROUNDDOWN((N$59-$B68)/Reference!$D$26,0)&lt;3,0.75,IF(ROUNDDOWN((N$59-$B68)/Reference!$D$26,0)&lt;4,0.875,0.9375)))))+HLOOKUP($B68,$C$59:$Q$60,2,FALSE)*Reference!$C$27*(1-IF(ROUNDDOWN((N$59-$B68)/Reference!$D$27,0)&lt;1,0,IF(ROUNDDOWN((N$59-$B68)/Reference!$D$27,0)&lt;2,0.5,IF(ROUNDDOWN((N$59-$B68)/Reference!$D$27,0)&lt;3,0.75,IF(ROUNDDOWN((N$59-$B68)/Reference!$D$27,0)&lt;4,0.875,0.9375)))))+HLOOKUP($B68,$C$59:$Q$60,2,FALSE)*Reference!$C$28*(1-IF(ROUNDDOWN((N$59-$B68)/Reference!$D$28,0)&lt;1,0,IF(ROUNDDOWN((N$59-$B68)/Reference!$D$28,0)&lt;2,0.5,IF(ROUNDDOWN((N$59-$B68)/Reference!$D$28,0)&lt;3,0.75,IF(ROUNDDOWN((N$59-$B68)/Reference!$D$28,0)&lt;4,0.875,0.9375)))))</f>
        <v>0</v>
      </c>
      <c r="O68" s="135">
        <f>HLOOKUP($B68,$C$59:$Q$60,2,FALSE)*Reference!$C$23*(1-IF(ROUNDDOWN((O$59-$B68)/Reference!$D$23,0)&lt;1,0,IF(ROUNDDOWN((O$59-$B68)/Reference!$D$23,0)&lt;2,0.5,IF(ROUNDDOWN((O$59-$B68)/Reference!$D$23,0)&lt;3,0.75,IF(ROUNDDOWN((O$59-$B68)/Reference!$D$23,0)&lt;4,0.875,0.9375)))))+HLOOKUP($B68,$C$59:$Q$60,2,FALSE)*Reference!$C$24*(1-IF(ROUNDDOWN((O$59-$B68)/Reference!$D$24,0)&lt;1,0,IF(ROUNDDOWN((O$59-$B68)/Reference!$D$24,0)&lt;2,0.5,IF(ROUNDDOWN((O$59-$B68)/Reference!$D$24,0)&lt;3,0.75,IF(ROUNDDOWN((O$59-$B68)/Reference!$D$24,0)&lt;4,0.875,0.9375)))))+HLOOKUP($B68,$C$59:$Q$60,2,FALSE)*Reference!$C$25*(1-IF(ROUNDDOWN((O$59-$B68)/Reference!$D$25,0)&lt;1,0,IF(ROUNDDOWN((O$59-$B68)/Reference!$D$25,0)&lt;2,0.5,IF(ROUNDDOWN((O$59-$B68)/Reference!$D$25,0)&lt;3,0.75,IF(ROUNDDOWN((O$59-$B68)/Reference!$D$25,0)&lt;4,0.875,0.9375)))))+HLOOKUP($B68,$C$59:$Q$60,2,FALSE)*Reference!$C$26*(1-IF(ROUNDDOWN((O$59-$B68)/Reference!$D$26,0)&lt;1,0,IF(ROUNDDOWN((O$59-$B68)/Reference!$D$26,0)&lt;2,0.5,IF(ROUNDDOWN((O$59-$B68)/Reference!$D$26,0)&lt;3,0.75,IF(ROUNDDOWN((O$59-$B68)/Reference!$D$26,0)&lt;4,0.875,0.9375)))))+HLOOKUP($B68,$C$59:$Q$60,2,FALSE)*Reference!$C$27*(1-IF(ROUNDDOWN((O$59-$B68)/Reference!$D$27,0)&lt;1,0,IF(ROUNDDOWN((O$59-$B68)/Reference!$D$27,0)&lt;2,0.5,IF(ROUNDDOWN((O$59-$B68)/Reference!$D$27,0)&lt;3,0.75,IF(ROUNDDOWN((O$59-$B68)/Reference!$D$27,0)&lt;4,0.875,0.9375)))))+HLOOKUP($B68,$C$59:$Q$60,2,FALSE)*Reference!$C$28*(1-IF(ROUNDDOWN((O$59-$B68)/Reference!$D$28,0)&lt;1,0,IF(ROUNDDOWN((O$59-$B68)/Reference!$D$28,0)&lt;2,0.5,IF(ROUNDDOWN((O$59-$B68)/Reference!$D$28,0)&lt;3,0.75,IF(ROUNDDOWN((O$59-$B68)/Reference!$D$28,0)&lt;4,0.875,0.9375)))))</f>
        <v>0</v>
      </c>
      <c r="P68" s="135">
        <f>HLOOKUP($B68,$C$59:$Q$60,2,FALSE)*Reference!$C$23*(1-IF(ROUNDDOWN((P$59-$B68)/Reference!$D$23,0)&lt;1,0,IF(ROUNDDOWN((P$59-$B68)/Reference!$D$23,0)&lt;2,0.5,IF(ROUNDDOWN((P$59-$B68)/Reference!$D$23,0)&lt;3,0.75,IF(ROUNDDOWN((P$59-$B68)/Reference!$D$23,0)&lt;4,0.875,0.9375)))))+HLOOKUP($B68,$C$59:$Q$60,2,FALSE)*Reference!$C$24*(1-IF(ROUNDDOWN((P$59-$B68)/Reference!$D$24,0)&lt;1,0,IF(ROUNDDOWN((P$59-$B68)/Reference!$D$24,0)&lt;2,0.5,IF(ROUNDDOWN((P$59-$B68)/Reference!$D$24,0)&lt;3,0.75,IF(ROUNDDOWN((P$59-$B68)/Reference!$D$24,0)&lt;4,0.875,0.9375)))))+HLOOKUP($B68,$C$59:$Q$60,2,FALSE)*Reference!$C$25*(1-IF(ROUNDDOWN((P$59-$B68)/Reference!$D$25,0)&lt;1,0,IF(ROUNDDOWN((P$59-$B68)/Reference!$D$25,0)&lt;2,0.5,IF(ROUNDDOWN((P$59-$B68)/Reference!$D$25,0)&lt;3,0.75,IF(ROUNDDOWN((P$59-$B68)/Reference!$D$25,0)&lt;4,0.875,0.9375)))))+HLOOKUP($B68,$C$59:$Q$60,2,FALSE)*Reference!$C$26*(1-IF(ROUNDDOWN((P$59-$B68)/Reference!$D$26,0)&lt;1,0,IF(ROUNDDOWN((P$59-$B68)/Reference!$D$26,0)&lt;2,0.5,IF(ROUNDDOWN((P$59-$B68)/Reference!$D$26,0)&lt;3,0.75,IF(ROUNDDOWN((P$59-$B68)/Reference!$D$26,0)&lt;4,0.875,0.9375)))))+HLOOKUP($B68,$C$59:$Q$60,2,FALSE)*Reference!$C$27*(1-IF(ROUNDDOWN((P$59-$B68)/Reference!$D$27,0)&lt;1,0,IF(ROUNDDOWN((P$59-$B68)/Reference!$D$27,0)&lt;2,0.5,IF(ROUNDDOWN((P$59-$B68)/Reference!$D$27,0)&lt;3,0.75,IF(ROUNDDOWN((P$59-$B68)/Reference!$D$27,0)&lt;4,0.875,0.9375)))))+HLOOKUP($B68,$C$59:$Q$60,2,FALSE)*Reference!$C$28*(1-IF(ROUNDDOWN((P$59-$B68)/Reference!$D$28,0)&lt;1,0,IF(ROUNDDOWN((P$59-$B68)/Reference!$D$28,0)&lt;2,0.5,IF(ROUNDDOWN((P$59-$B68)/Reference!$D$28,0)&lt;3,0.75,IF(ROUNDDOWN((P$59-$B68)/Reference!$D$28,0)&lt;4,0.875,0.9375)))))</f>
        <v>0</v>
      </c>
      <c r="Q68" s="135">
        <f>HLOOKUP($B68,$C$59:$Q$60,2,FALSE)*Reference!$C$23*(1-IF(ROUNDDOWN((Q$59-$B68)/Reference!$D$23,0)&lt;1,0,IF(ROUNDDOWN((Q$59-$B68)/Reference!$D$23,0)&lt;2,0.5,IF(ROUNDDOWN((Q$59-$B68)/Reference!$D$23,0)&lt;3,0.75,IF(ROUNDDOWN((Q$59-$B68)/Reference!$D$23,0)&lt;4,0.875,0.9375)))))+HLOOKUP($B68,$C$59:$Q$60,2,FALSE)*Reference!$C$24*(1-IF(ROUNDDOWN((Q$59-$B68)/Reference!$D$24,0)&lt;1,0,IF(ROUNDDOWN((Q$59-$B68)/Reference!$D$24,0)&lt;2,0.5,IF(ROUNDDOWN((Q$59-$B68)/Reference!$D$24,0)&lt;3,0.75,IF(ROUNDDOWN((Q$59-$B68)/Reference!$D$24,0)&lt;4,0.875,0.9375)))))+HLOOKUP($B68,$C$59:$Q$60,2,FALSE)*Reference!$C$25*(1-IF(ROUNDDOWN((Q$59-$B68)/Reference!$D$25,0)&lt;1,0,IF(ROUNDDOWN((Q$59-$B68)/Reference!$D$25,0)&lt;2,0.5,IF(ROUNDDOWN((Q$59-$B68)/Reference!$D$25,0)&lt;3,0.75,IF(ROUNDDOWN((Q$59-$B68)/Reference!$D$25,0)&lt;4,0.875,0.9375)))))+HLOOKUP($B68,$C$59:$Q$60,2,FALSE)*Reference!$C$26*(1-IF(ROUNDDOWN((Q$59-$B68)/Reference!$D$26,0)&lt;1,0,IF(ROUNDDOWN((Q$59-$B68)/Reference!$D$26,0)&lt;2,0.5,IF(ROUNDDOWN((Q$59-$B68)/Reference!$D$26,0)&lt;3,0.75,IF(ROUNDDOWN((Q$59-$B68)/Reference!$D$26,0)&lt;4,0.875,0.9375)))))+HLOOKUP($B68,$C$59:$Q$60,2,FALSE)*Reference!$C$27*(1-IF(ROUNDDOWN((Q$59-$B68)/Reference!$D$27,0)&lt;1,0,IF(ROUNDDOWN((Q$59-$B68)/Reference!$D$27,0)&lt;2,0.5,IF(ROUNDDOWN((Q$59-$B68)/Reference!$D$27,0)&lt;3,0.75,IF(ROUNDDOWN((Q$59-$B68)/Reference!$D$27,0)&lt;4,0.875,0.9375)))))+HLOOKUP($B68,$C$59:$Q$60,2,FALSE)*Reference!$C$28*(1-IF(ROUNDDOWN((Q$59-$B68)/Reference!$D$28,0)&lt;1,0,IF(ROUNDDOWN((Q$59-$B68)/Reference!$D$28,0)&lt;2,0.5,IF(ROUNDDOWN((Q$59-$B68)/Reference!$D$28,0)&lt;3,0.75,IF(ROUNDDOWN((Q$59-$B68)/Reference!$D$28,0)&lt;4,0.875,0.9375)))))</f>
        <v>0</v>
      </c>
      <c r="R68" s="50"/>
    </row>
    <row r="69" spans="2:18" x14ac:dyDescent="0.3">
      <c r="B69" s="237">
        <f t="shared" si="10"/>
        <v>2021</v>
      </c>
      <c r="C69" s="135"/>
      <c r="D69" s="135"/>
      <c r="E69" s="135"/>
      <c r="F69" s="135"/>
      <c r="G69" s="135"/>
      <c r="H69" s="135"/>
      <c r="I69" s="135">
        <f>HLOOKUP($B69,$C$59:$Q$60,2,FALSE)*Reference!$C$23*(1-IF(ROUNDDOWN((I$59-$B69)/Reference!$D$23,0)&lt;1,0,IF(ROUNDDOWN((I$59-$B69)/Reference!$D$23,0)&lt;2,0.5,IF(ROUNDDOWN((I$59-$B69)/Reference!$D$23,0)&lt;3,0.75,IF(ROUNDDOWN((I$59-$B69)/Reference!$D$23,0)&lt;4,0.875,0.9375)))))+HLOOKUP($B69,$C$59:$Q$60,2,FALSE)*Reference!$C$24*(1-IF(ROUNDDOWN((I$59-$B69)/Reference!$D$24,0)&lt;1,0,IF(ROUNDDOWN((I$59-$B69)/Reference!$D$24,0)&lt;2,0.5,IF(ROUNDDOWN((I$59-$B69)/Reference!$D$24,0)&lt;3,0.75,IF(ROUNDDOWN((I$59-$B69)/Reference!$D$24,0)&lt;4,0.875,0.9375)))))+HLOOKUP($B69,$C$59:$Q$60,2,FALSE)*Reference!$C$25*(1-IF(ROUNDDOWN((I$59-$B69)/Reference!$D$25,0)&lt;1,0,IF(ROUNDDOWN((I$59-$B69)/Reference!$D$25,0)&lt;2,0.5,IF(ROUNDDOWN((I$59-$B69)/Reference!$D$25,0)&lt;3,0.75,IF(ROUNDDOWN((I$59-$B69)/Reference!$D$25,0)&lt;4,0.875,0.9375)))))+HLOOKUP($B69,$C$59:$Q$60,2,FALSE)*Reference!$C$26*(1-IF(ROUNDDOWN((I$59-$B69)/Reference!$D$26,0)&lt;1,0,IF(ROUNDDOWN((I$59-$B69)/Reference!$D$26,0)&lt;2,0.5,IF(ROUNDDOWN((I$59-$B69)/Reference!$D$26,0)&lt;3,0.75,IF(ROUNDDOWN((I$59-$B69)/Reference!$D$26,0)&lt;4,0.875,0.9375)))))+HLOOKUP($B69,$C$59:$Q$60,2,FALSE)*Reference!$C$27*(1-IF(ROUNDDOWN((I$59-$B69)/Reference!$D$27,0)&lt;1,0,IF(ROUNDDOWN((I$59-$B69)/Reference!$D$27,0)&lt;2,0.5,IF(ROUNDDOWN((I$59-$B69)/Reference!$D$27,0)&lt;3,0.75,IF(ROUNDDOWN((I$59-$B69)/Reference!$D$27,0)&lt;4,0.875,0.9375)))))+HLOOKUP($B69,$C$59:$Q$60,2,FALSE)*Reference!$C$28*(1-IF(ROUNDDOWN((I$59-$B69)/Reference!$D$28,0)&lt;1,0,IF(ROUNDDOWN((I$59-$B69)/Reference!$D$28,0)&lt;2,0.5,IF(ROUNDDOWN((I$59-$B69)/Reference!$D$28,0)&lt;3,0.75,IF(ROUNDDOWN((I$59-$B69)/Reference!$D$28,0)&lt;4,0.875,0.9375)))))</f>
        <v>0.15433375474924435</v>
      </c>
      <c r="J69" s="135">
        <f>HLOOKUP($B69,$C$59:$Q$60,2,FALSE)*Reference!$C$23*(1-IF(ROUNDDOWN((J$59-$B69)/Reference!$D$23,0)&lt;1,0,IF(ROUNDDOWN((J$59-$B69)/Reference!$D$23,0)&lt;2,0.5,IF(ROUNDDOWN((J$59-$B69)/Reference!$D$23,0)&lt;3,0.75,IF(ROUNDDOWN((J$59-$B69)/Reference!$D$23,0)&lt;4,0.875,0.9375)))))+HLOOKUP($B69,$C$59:$Q$60,2,FALSE)*Reference!$C$24*(1-IF(ROUNDDOWN((J$59-$B69)/Reference!$D$24,0)&lt;1,0,IF(ROUNDDOWN((J$59-$B69)/Reference!$D$24,0)&lt;2,0.5,IF(ROUNDDOWN((J$59-$B69)/Reference!$D$24,0)&lt;3,0.75,IF(ROUNDDOWN((J$59-$B69)/Reference!$D$24,0)&lt;4,0.875,0.9375)))))+HLOOKUP($B69,$C$59:$Q$60,2,FALSE)*Reference!$C$25*(1-IF(ROUNDDOWN((J$59-$B69)/Reference!$D$25,0)&lt;1,0,IF(ROUNDDOWN((J$59-$B69)/Reference!$D$25,0)&lt;2,0.5,IF(ROUNDDOWN((J$59-$B69)/Reference!$D$25,0)&lt;3,0.75,IF(ROUNDDOWN((J$59-$B69)/Reference!$D$25,0)&lt;4,0.875,0.9375)))))+HLOOKUP($B69,$C$59:$Q$60,2,FALSE)*Reference!$C$26*(1-IF(ROUNDDOWN((J$59-$B69)/Reference!$D$26,0)&lt;1,0,IF(ROUNDDOWN((J$59-$B69)/Reference!$D$26,0)&lt;2,0.5,IF(ROUNDDOWN((J$59-$B69)/Reference!$D$26,0)&lt;3,0.75,IF(ROUNDDOWN((J$59-$B69)/Reference!$D$26,0)&lt;4,0.875,0.9375)))))+HLOOKUP($B69,$C$59:$Q$60,2,FALSE)*Reference!$C$27*(1-IF(ROUNDDOWN((J$59-$B69)/Reference!$D$27,0)&lt;1,0,IF(ROUNDDOWN((J$59-$B69)/Reference!$D$27,0)&lt;2,0.5,IF(ROUNDDOWN((J$59-$B69)/Reference!$D$27,0)&lt;3,0.75,IF(ROUNDDOWN((J$59-$B69)/Reference!$D$27,0)&lt;4,0.875,0.9375)))))+HLOOKUP($B69,$C$59:$Q$60,2,FALSE)*Reference!$C$28*(1-IF(ROUNDDOWN((J$59-$B69)/Reference!$D$28,0)&lt;1,0,IF(ROUNDDOWN((J$59-$B69)/Reference!$D$28,0)&lt;2,0.5,IF(ROUNDDOWN((J$59-$B69)/Reference!$D$28,0)&lt;3,0.75,IF(ROUNDDOWN((J$59-$B69)/Reference!$D$28,0)&lt;4,0.875,0.9375)))))</f>
        <v>0.15433375474924435</v>
      </c>
      <c r="K69" s="135">
        <f>HLOOKUP($B69,$C$59:$Q$60,2,FALSE)*Reference!$C$23*(1-IF(ROUNDDOWN((K$59-$B69)/Reference!$D$23,0)&lt;1,0,IF(ROUNDDOWN((K$59-$B69)/Reference!$D$23,0)&lt;2,0.5,IF(ROUNDDOWN((K$59-$B69)/Reference!$D$23,0)&lt;3,0.75,IF(ROUNDDOWN((K$59-$B69)/Reference!$D$23,0)&lt;4,0.875,0.9375)))))+HLOOKUP($B69,$C$59:$Q$60,2,FALSE)*Reference!$C$24*(1-IF(ROUNDDOWN((K$59-$B69)/Reference!$D$24,0)&lt;1,0,IF(ROUNDDOWN((K$59-$B69)/Reference!$D$24,0)&lt;2,0.5,IF(ROUNDDOWN((K$59-$B69)/Reference!$D$24,0)&lt;3,0.75,IF(ROUNDDOWN((K$59-$B69)/Reference!$D$24,0)&lt;4,0.875,0.9375)))))+HLOOKUP($B69,$C$59:$Q$60,2,FALSE)*Reference!$C$25*(1-IF(ROUNDDOWN((K$59-$B69)/Reference!$D$25,0)&lt;1,0,IF(ROUNDDOWN((K$59-$B69)/Reference!$D$25,0)&lt;2,0.5,IF(ROUNDDOWN((K$59-$B69)/Reference!$D$25,0)&lt;3,0.75,IF(ROUNDDOWN((K$59-$B69)/Reference!$D$25,0)&lt;4,0.875,0.9375)))))+HLOOKUP($B69,$C$59:$Q$60,2,FALSE)*Reference!$C$26*(1-IF(ROUNDDOWN((K$59-$B69)/Reference!$D$26,0)&lt;1,0,IF(ROUNDDOWN((K$59-$B69)/Reference!$D$26,0)&lt;2,0.5,IF(ROUNDDOWN((K$59-$B69)/Reference!$D$26,0)&lt;3,0.75,IF(ROUNDDOWN((K$59-$B69)/Reference!$D$26,0)&lt;4,0.875,0.9375)))))+HLOOKUP($B69,$C$59:$Q$60,2,FALSE)*Reference!$C$27*(1-IF(ROUNDDOWN((K$59-$B69)/Reference!$D$27,0)&lt;1,0,IF(ROUNDDOWN((K$59-$B69)/Reference!$D$27,0)&lt;2,0.5,IF(ROUNDDOWN((K$59-$B69)/Reference!$D$27,0)&lt;3,0.75,IF(ROUNDDOWN((K$59-$B69)/Reference!$D$27,0)&lt;4,0.875,0.9375)))))+HLOOKUP($B69,$C$59:$Q$60,2,FALSE)*Reference!$C$28*(1-IF(ROUNDDOWN((K$59-$B69)/Reference!$D$28,0)&lt;1,0,IF(ROUNDDOWN((K$59-$B69)/Reference!$D$28,0)&lt;2,0.5,IF(ROUNDDOWN((K$59-$B69)/Reference!$D$28,0)&lt;3,0.75,IF(ROUNDDOWN((K$59-$B69)/Reference!$D$28,0)&lt;4,0.875,0.9375)))))</f>
        <v>0.15433375474924435</v>
      </c>
      <c r="L69" s="135">
        <f>HLOOKUP($B69,$C$59:$Q$60,2,FALSE)*Reference!$C$23*(1-IF(ROUNDDOWN((L$59-$B69)/Reference!$D$23,0)&lt;1,0,IF(ROUNDDOWN((L$59-$B69)/Reference!$D$23,0)&lt;2,0.5,IF(ROUNDDOWN((L$59-$B69)/Reference!$D$23,0)&lt;3,0.75,IF(ROUNDDOWN((L$59-$B69)/Reference!$D$23,0)&lt;4,0.875,0.9375)))))+HLOOKUP($B69,$C$59:$Q$60,2,FALSE)*Reference!$C$24*(1-IF(ROUNDDOWN((L$59-$B69)/Reference!$D$24,0)&lt;1,0,IF(ROUNDDOWN((L$59-$B69)/Reference!$D$24,0)&lt;2,0.5,IF(ROUNDDOWN((L$59-$B69)/Reference!$D$24,0)&lt;3,0.75,IF(ROUNDDOWN((L$59-$B69)/Reference!$D$24,0)&lt;4,0.875,0.9375)))))+HLOOKUP($B69,$C$59:$Q$60,2,FALSE)*Reference!$C$25*(1-IF(ROUNDDOWN((L$59-$B69)/Reference!$D$25,0)&lt;1,0,IF(ROUNDDOWN((L$59-$B69)/Reference!$D$25,0)&lt;2,0.5,IF(ROUNDDOWN((L$59-$B69)/Reference!$D$25,0)&lt;3,0.75,IF(ROUNDDOWN((L$59-$B69)/Reference!$D$25,0)&lt;4,0.875,0.9375)))))+HLOOKUP($B69,$C$59:$Q$60,2,FALSE)*Reference!$C$26*(1-IF(ROUNDDOWN((L$59-$B69)/Reference!$D$26,0)&lt;1,0,IF(ROUNDDOWN((L$59-$B69)/Reference!$D$26,0)&lt;2,0.5,IF(ROUNDDOWN((L$59-$B69)/Reference!$D$26,0)&lt;3,0.75,IF(ROUNDDOWN((L$59-$B69)/Reference!$D$26,0)&lt;4,0.875,0.9375)))))+HLOOKUP($B69,$C$59:$Q$60,2,FALSE)*Reference!$C$27*(1-IF(ROUNDDOWN((L$59-$B69)/Reference!$D$27,0)&lt;1,0,IF(ROUNDDOWN((L$59-$B69)/Reference!$D$27,0)&lt;2,0.5,IF(ROUNDDOWN((L$59-$B69)/Reference!$D$27,0)&lt;3,0.75,IF(ROUNDDOWN((L$59-$B69)/Reference!$D$27,0)&lt;4,0.875,0.9375)))))+HLOOKUP($B69,$C$59:$Q$60,2,FALSE)*Reference!$C$28*(1-IF(ROUNDDOWN((L$59-$B69)/Reference!$D$28,0)&lt;1,0,IF(ROUNDDOWN((L$59-$B69)/Reference!$D$28,0)&lt;2,0.5,IF(ROUNDDOWN((L$59-$B69)/Reference!$D$28,0)&lt;3,0.75,IF(ROUNDDOWN((L$59-$B69)/Reference!$D$28,0)&lt;4,0.875,0.9375)))))</f>
        <v>0.14769740329502687</v>
      </c>
      <c r="M69" s="135">
        <f>HLOOKUP($B69,$C$59:$Q$60,2,FALSE)*Reference!$C$23*(1-IF(ROUNDDOWN((M$59-$B69)/Reference!$D$23,0)&lt;1,0,IF(ROUNDDOWN((M$59-$B69)/Reference!$D$23,0)&lt;2,0.5,IF(ROUNDDOWN((M$59-$B69)/Reference!$D$23,0)&lt;3,0.75,IF(ROUNDDOWN((M$59-$B69)/Reference!$D$23,0)&lt;4,0.875,0.9375)))))+HLOOKUP($B69,$C$59:$Q$60,2,FALSE)*Reference!$C$24*(1-IF(ROUNDDOWN((M$59-$B69)/Reference!$D$24,0)&lt;1,0,IF(ROUNDDOWN((M$59-$B69)/Reference!$D$24,0)&lt;2,0.5,IF(ROUNDDOWN((M$59-$B69)/Reference!$D$24,0)&lt;3,0.75,IF(ROUNDDOWN((M$59-$B69)/Reference!$D$24,0)&lt;4,0.875,0.9375)))))+HLOOKUP($B69,$C$59:$Q$60,2,FALSE)*Reference!$C$25*(1-IF(ROUNDDOWN((M$59-$B69)/Reference!$D$25,0)&lt;1,0,IF(ROUNDDOWN((M$59-$B69)/Reference!$D$25,0)&lt;2,0.5,IF(ROUNDDOWN((M$59-$B69)/Reference!$D$25,0)&lt;3,0.75,IF(ROUNDDOWN((M$59-$B69)/Reference!$D$25,0)&lt;4,0.875,0.9375)))))+HLOOKUP($B69,$C$59:$Q$60,2,FALSE)*Reference!$C$26*(1-IF(ROUNDDOWN((M$59-$B69)/Reference!$D$26,0)&lt;1,0,IF(ROUNDDOWN((M$59-$B69)/Reference!$D$26,0)&lt;2,0.5,IF(ROUNDDOWN((M$59-$B69)/Reference!$D$26,0)&lt;3,0.75,IF(ROUNDDOWN((M$59-$B69)/Reference!$D$26,0)&lt;4,0.875,0.9375)))))+HLOOKUP($B69,$C$59:$Q$60,2,FALSE)*Reference!$C$27*(1-IF(ROUNDDOWN((M$59-$B69)/Reference!$D$27,0)&lt;1,0,IF(ROUNDDOWN((M$59-$B69)/Reference!$D$27,0)&lt;2,0.5,IF(ROUNDDOWN((M$59-$B69)/Reference!$D$27,0)&lt;3,0.75,IF(ROUNDDOWN((M$59-$B69)/Reference!$D$27,0)&lt;4,0.875,0.9375)))))+HLOOKUP($B69,$C$59:$Q$60,2,FALSE)*Reference!$C$28*(1-IF(ROUNDDOWN((M$59-$B69)/Reference!$D$28,0)&lt;1,0,IF(ROUNDDOWN((M$59-$B69)/Reference!$D$28,0)&lt;2,0.5,IF(ROUNDDOWN((M$59-$B69)/Reference!$D$28,0)&lt;3,0.75,IF(ROUNDDOWN((M$59-$B69)/Reference!$D$28,0)&lt;4,0.875,0.9375)))))</f>
        <v>0.14769740329502687</v>
      </c>
      <c r="N69" s="135">
        <f>HLOOKUP($B69,$C$59:$Q$60,2,FALSE)*Reference!$C$23*(1-IF(ROUNDDOWN((N$59-$B69)/Reference!$D$23,0)&lt;1,0,IF(ROUNDDOWN((N$59-$B69)/Reference!$D$23,0)&lt;2,0.5,IF(ROUNDDOWN((N$59-$B69)/Reference!$D$23,0)&lt;3,0.75,IF(ROUNDDOWN((N$59-$B69)/Reference!$D$23,0)&lt;4,0.875,0.9375)))))+HLOOKUP($B69,$C$59:$Q$60,2,FALSE)*Reference!$C$24*(1-IF(ROUNDDOWN((N$59-$B69)/Reference!$D$24,0)&lt;1,0,IF(ROUNDDOWN((N$59-$B69)/Reference!$D$24,0)&lt;2,0.5,IF(ROUNDDOWN((N$59-$B69)/Reference!$D$24,0)&lt;3,0.75,IF(ROUNDDOWN((N$59-$B69)/Reference!$D$24,0)&lt;4,0.875,0.9375)))))+HLOOKUP($B69,$C$59:$Q$60,2,FALSE)*Reference!$C$25*(1-IF(ROUNDDOWN((N$59-$B69)/Reference!$D$25,0)&lt;1,0,IF(ROUNDDOWN((N$59-$B69)/Reference!$D$25,0)&lt;2,0.5,IF(ROUNDDOWN((N$59-$B69)/Reference!$D$25,0)&lt;3,0.75,IF(ROUNDDOWN((N$59-$B69)/Reference!$D$25,0)&lt;4,0.875,0.9375)))))+HLOOKUP($B69,$C$59:$Q$60,2,FALSE)*Reference!$C$26*(1-IF(ROUNDDOWN((N$59-$B69)/Reference!$D$26,0)&lt;1,0,IF(ROUNDDOWN((N$59-$B69)/Reference!$D$26,0)&lt;2,0.5,IF(ROUNDDOWN((N$59-$B69)/Reference!$D$26,0)&lt;3,0.75,IF(ROUNDDOWN((N$59-$B69)/Reference!$D$26,0)&lt;4,0.875,0.9375)))))+HLOOKUP($B69,$C$59:$Q$60,2,FALSE)*Reference!$C$27*(1-IF(ROUNDDOWN((N$59-$B69)/Reference!$D$27,0)&lt;1,0,IF(ROUNDDOWN((N$59-$B69)/Reference!$D$27,0)&lt;2,0.5,IF(ROUNDDOWN((N$59-$B69)/Reference!$D$27,0)&lt;3,0.75,IF(ROUNDDOWN((N$59-$B69)/Reference!$D$27,0)&lt;4,0.875,0.9375)))))+HLOOKUP($B69,$C$59:$Q$60,2,FALSE)*Reference!$C$28*(1-IF(ROUNDDOWN((N$59-$B69)/Reference!$D$28,0)&lt;1,0,IF(ROUNDDOWN((N$59-$B69)/Reference!$D$28,0)&lt;2,0.5,IF(ROUNDDOWN((N$59-$B69)/Reference!$D$28,0)&lt;3,0.75,IF(ROUNDDOWN((N$59-$B69)/Reference!$D$28,0)&lt;4,0.875,0.9375)))))</f>
        <v>0.14769740329502687</v>
      </c>
      <c r="O69" s="135">
        <f>HLOOKUP($B69,$C$59:$Q$60,2,FALSE)*Reference!$C$23*(1-IF(ROUNDDOWN((O$59-$B69)/Reference!$D$23,0)&lt;1,0,IF(ROUNDDOWN((O$59-$B69)/Reference!$D$23,0)&lt;2,0.5,IF(ROUNDDOWN((O$59-$B69)/Reference!$D$23,0)&lt;3,0.75,IF(ROUNDDOWN((O$59-$B69)/Reference!$D$23,0)&lt;4,0.875,0.9375)))))+HLOOKUP($B69,$C$59:$Q$60,2,FALSE)*Reference!$C$24*(1-IF(ROUNDDOWN((O$59-$B69)/Reference!$D$24,0)&lt;1,0,IF(ROUNDDOWN((O$59-$B69)/Reference!$D$24,0)&lt;2,0.5,IF(ROUNDDOWN((O$59-$B69)/Reference!$D$24,0)&lt;3,0.75,IF(ROUNDDOWN((O$59-$B69)/Reference!$D$24,0)&lt;4,0.875,0.9375)))))+HLOOKUP($B69,$C$59:$Q$60,2,FALSE)*Reference!$C$25*(1-IF(ROUNDDOWN((O$59-$B69)/Reference!$D$25,0)&lt;1,0,IF(ROUNDDOWN((O$59-$B69)/Reference!$D$25,0)&lt;2,0.5,IF(ROUNDDOWN((O$59-$B69)/Reference!$D$25,0)&lt;3,0.75,IF(ROUNDDOWN((O$59-$B69)/Reference!$D$25,0)&lt;4,0.875,0.9375)))))+HLOOKUP($B69,$C$59:$Q$60,2,FALSE)*Reference!$C$26*(1-IF(ROUNDDOWN((O$59-$B69)/Reference!$D$26,0)&lt;1,0,IF(ROUNDDOWN((O$59-$B69)/Reference!$D$26,0)&lt;2,0.5,IF(ROUNDDOWN((O$59-$B69)/Reference!$D$26,0)&lt;3,0.75,IF(ROUNDDOWN((O$59-$B69)/Reference!$D$26,0)&lt;4,0.875,0.9375)))))+HLOOKUP($B69,$C$59:$Q$60,2,FALSE)*Reference!$C$27*(1-IF(ROUNDDOWN((O$59-$B69)/Reference!$D$27,0)&lt;1,0,IF(ROUNDDOWN((O$59-$B69)/Reference!$D$27,0)&lt;2,0.5,IF(ROUNDDOWN((O$59-$B69)/Reference!$D$27,0)&lt;3,0.75,IF(ROUNDDOWN((O$59-$B69)/Reference!$D$27,0)&lt;4,0.875,0.9375)))))+HLOOKUP($B69,$C$59:$Q$60,2,FALSE)*Reference!$C$28*(1-IF(ROUNDDOWN((O$59-$B69)/Reference!$D$28,0)&lt;1,0,IF(ROUNDDOWN((O$59-$B69)/Reference!$D$28,0)&lt;2,0.5,IF(ROUNDDOWN((O$59-$B69)/Reference!$D$28,0)&lt;3,0.75,IF(ROUNDDOWN((O$59-$B69)/Reference!$D$28,0)&lt;4,0.875,0.9375)))))</f>
        <v>0.1443792275679181</v>
      </c>
      <c r="P69" s="135">
        <f>HLOOKUP($B69,$C$59:$Q$60,2,FALSE)*Reference!$C$23*(1-IF(ROUNDDOWN((P$59-$B69)/Reference!$D$23,0)&lt;1,0,IF(ROUNDDOWN((P$59-$B69)/Reference!$D$23,0)&lt;2,0.5,IF(ROUNDDOWN((P$59-$B69)/Reference!$D$23,0)&lt;3,0.75,IF(ROUNDDOWN((P$59-$B69)/Reference!$D$23,0)&lt;4,0.875,0.9375)))))+HLOOKUP($B69,$C$59:$Q$60,2,FALSE)*Reference!$C$24*(1-IF(ROUNDDOWN((P$59-$B69)/Reference!$D$24,0)&lt;1,0,IF(ROUNDDOWN((P$59-$B69)/Reference!$D$24,0)&lt;2,0.5,IF(ROUNDDOWN((P$59-$B69)/Reference!$D$24,0)&lt;3,0.75,IF(ROUNDDOWN((P$59-$B69)/Reference!$D$24,0)&lt;4,0.875,0.9375)))))+HLOOKUP($B69,$C$59:$Q$60,2,FALSE)*Reference!$C$25*(1-IF(ROUNDDOWN((P$59-$B69)/Reference!$D$25,0)&lt;1,0,IF(ROUNDDOWN((P$59-$B69)/Reference!$D$25,0)&lt;2,0.5,IF(ROUNDDOWN((P$59-$B69)/Reference!$D$25,0)&lt;3,0.75,IF(ROUNDDOWN((P$59-$B69)/Reference!$D$25,0)&lt;4,0.875,0.9375)))))+HLOOKUP($B69,$C$59:$Q$60,2,FALSE)*Reference!$C$26*(1-IF(ROUNDDOWN((P$59-$B69)/Reference!$D$26,0)&lt;1,0,IF(ROUNDDOWN((P$59-$B69)/Reference!$D$26,0)&lt;2,0.5,IF(ROUNDDOWN((P$59-$B69)/Reference!$D$26,0)&lt;3,0.75,IF(ROUNDDOWN((P$59-$B69)/Reference!$D$26,0)&lt;4,0.875,0.9375)))))+HLOOKUP($B69,$C$59:$Q$60,2,FALSE)*Reference!$C$27*(1-IF(ROUNDDOWN((P$59-$B69)/Reference!$D$27,0)&lt;1,0,IF(ROUNDDOWN((P$59-$B69)/Reference!$D$27,0)&lt;2,0.5,IF(ROUNDDOWN((P$59-$B69)/Reference!$D$27,0)&lt;3,0.75,IF(ROUNDDOWN((P$59-$B69)/Reference!$D$27,0)&lt;4,0.875,0.9375)))))+HLOOKUP($B69,$C$59:$Q$60,2,FALSE)*Reference!$C$28*(1-IF(ROUNDDOWN((P$59-$B69)/Reference!$D$28,0)&lt;1,0,IF(ROUNDDOWN((P$59-$B69)/Reference!$D$28,0)&lt;2,0.5,IF(ROUNDDOWN((P$59-$B69)/Reference!$D$28,0)&lt;3,0.75,IF(ROUNDDOWN((P$59-$B69)/Reference!$D$28,0)&lt;4,0.875,0.9375)))))</f>
        <v>0.1443792275679181</v>
      </c>
      <c r="Q69" s="135">
        <f>HLOOKUP($B69,$C$59:$Q$60,2,FALSE)*Reference!$C$23*(1-IF(ROUNDDOWN((Q$59-$B69)/Reference!$D$23,0)&lt;1,0,IF(ROUNDDOWN((Q$59-$B69)/Reference!$D$23,0)&lt;2,0.5,IF(ROUNDDOWN((Q$59-$B69)/Reference!$D$23,0)&lt;3,0.75,IF(ROUNDDOWN((Q$59-$B69)/Reference!$D$23,0)&lt;4,0.875,0.9375)))))+HLOOKUP($B69,$C$59:$Q$60,2,FALSE)*Reference!$C$24*(1-IF(ROUNDDOWN((Q$59-$B69)/Reference!$D$24,0)&lt;1,0,IF(ROUNDDOWN((Q$59-$B69)/Reference!$D$24,0)&lt;2,0.5,IF(ROUNDDOWN((Q$59-$B69)/Reference!$D$24,0)&lt;3,0.75,IF(ROUNDDOWN((Q$59-$B69)/Reference!$D$24,0)&lt;4,0.875,0.9375)))))+HLOOKUP($B69,$C$59:$Q$60,2,FALSE)*Reference!$C$25*(1-IF(ROUNDDOWN((Q$59-$B69)/Reference!$D$25,0)&lt;1,0,IF(ROUNDDOWN((Q$59-$B69)/Reference!$D$25,0)&lt;2,0.5,IF(ROUNDDOWN((Q$59-$B69)/Reference!$D$25,0)&lt;3,0.75,IF(ROUNDDOWN((Q$59-$B69)/Reference!$D$25,0)&lt;4,0.875,0.9375)))))+HLOOKUP($B69,$C$59:$Q$60,2,FALSE)*Reference!$C$26*(1-IF(ROUNDDOWN((Q$59-$B69)/Reference!$D$26,0)&lt;1,0,IF(ROUNDDOWN((Q$59-$B69)/Reference!$D$26,0)&lt;2,0.5,IF(ROUNDDOWN((Q$59-$B69)/Reference!$D$26,0)&lt;3,0.75,IF(ROUNDDOWN((Q$59-$B69)/Reference!$D$26,0)&lt;4,0.875,0.9375)))))+HLOOKUP($B69,$C$59:$Q$60,2,FALSE)*Reference!$C$27*(1-IF(ROUNDDOWN((Q$59-$B69)/Reference!$D$27,0)&lt;1,0,IF(ROUNDDOWN((Q$59-$B69)/Reference!$D$27,0)&lt;2,0.5,IF(ROUNDDOWN((Q$59-$B69)/Reference!$D$27,0)&lt;3,0.75,IF(ROUNDDOWN((Q$59-$B69)/Reference!$D$27,0)&lt;4,0.875,0.9375)))))+HLOOKUP($B69,$C$59:$Q$60,2,FALSE)*Reference!$C$28*(1-IF(ROUNDDOWN((Q$59-$B69)/Reference!$D$28,0)&lt;1,0,IF(ROUNDDOWN((Q$59-$B69)/Reference!$D$28,0)&lt;2,0.5,IF(ROUNDDOWN((Q$59-$B69)/Reference!$D$28,0)&lt;3,0.75,IF(ROUNDDOWN((Q$59-$B69)/Reference!$D$28,0)&lt;4,0.875,0.9375)))))</f>
        <v>0.13820587737794834</v>
      </c>
      <c r="R69" s="50"/>
    </row>
    <row r="70" spans="2:18" x14ac:dyDescent="0.3">
      <c r="B70" s="237">
        <f t="shared" si="10"/>
        <v>2022</v>
      </c>
      <c r="C70" s="135"/>
      <c r="D70" s="135"/>
      <c r="E70" s="135"/>
      <c r="F70" s="135"/>
      <c r="G70" s="135"/>
      <c r="H70" s="135"/>
      <c r="I70" s="135"/>
      <c r="J70" s="135">
        <f>HLOOKUP($B70,$C$59:$Q$60,2,FALSE)*Reference!$C$23*(1-IF(ROUNDDOWN((J$59-$B70)/Reference!$D$23,0)&lt;1,0,IF(ROUNDDOWN((J$59-$B70)/Reference!$D$23,0)&lt;2,0.5,IF(ROUNDDOWN((J$59-$B70)/Reference!$D$23,0)&lt;3,0.75,IF(ROUNDDOWN((J$59-$B70)/Reference!$D$23,0)&lt;4,0.875,0.9375)))))+HLOOKUP($B70,$C$59:$Q$60,2,FALSE)*Reference!$C$24*(1-IF(ROUNDDOWN((J$59-$B70)/Reference!$D$24,0)&lt;1,0,IF(ROUNDDOWN((J$59-$B70)/Reference!$D$24,0)&lt;2,0.5,IF(ROUNDDOWN((J$59-$B70)/Reference!$D$24,0)&lt;3,0.75,IF(ROUNDDOWN((J$59-$B70)/Reference!$D$24,0)&lt;4,0.875,0.9375)))))+HLOOKUP($B70,$C$59:$Q$60,2,FALSE)*Reference!$C$25*(1-IF(ROUNDDOWN((J$59-$B70)/Reference!$D$25,0)&lt;1,0,IF(ROUNDDOWN((J$59-$B70)/Reference!$D$25,0)&lt;2,0.5,IF(ROUNDDOWN((J$59-$B70)/Reference!$D$25,0)&lt;3,0.75,IF(ROUNDDOWN((J$59-$B70)/Reference!$D$25,0)&lt;4,0.875,0.9375)))))+HLOOKUP($B70,$C$59:$Q$60,2,FALSE)*Reference!$C$26*(1-IF(ROUNDDOWN((J$59-$B70)/Reference!$D$26,0)&lt;1,0,IF(ROUNDDOWN((J$59-$B70)/Reference!$D$26,0)&lt;2,0.5,IF(ROUNDDOWN((J$59-$B70)/Reference!$D$26,0)&lt;3,0.75,IF(ROUNDDOWN((J$59-$B70)/Reference!$D$26,0)&lt;4,0.875,0.9375)))))+HLOOKUP($B70,$C$59:$Q$60,2,FALSE)*Reference!$C$27*(1-IF(ROUNDDOWN((J$59-$B70)/Reference!$D$27,0)&lt;1,0,IF(ROUNDDOWN((J$59-$B70)/Reference!$D$27,0)&lt;2,0.5,IF(ROUNDDOWN((J$59-$B70)/Reference!$D$27,0)&lt;3,0.75,IF(ROUNDDOWN((J$59-$B70)/Reference!$D$27,0)&lt;4,0.875,0.9375)))))+HLOOKUP($B70,$C$59:$Q$60,2,FALSE)*Reference!$C$28*(1-IF(ROUNDDOWN((J$59-$B70)/Reference!$D$28,0)&lt;1,0,IF(ROUNDDOWN((J$59-$B70)/Reference!$D$28,0)&lt;2,0.5,IF(ROUNDDOWN((J$59-$B70)/Reference!$D$28,0)&lt;3,0.75,IF(ROUNDDOWN((J$59-$B70)/Reference!$D$28,0)&lt;4,0.875,0.9375)))))</f>
        <v>0.15433375474924435</v>
      </c>
      <c r="K70" s="135">
        <f>HLOOKUP($B70,$C$59:$Q$60,2,FALSE)*Reference!$C$23*(1-IF(ROUNDDOWN((K$59-$B70)/Reference!$D$23,0)&lt;1,0,IF(ROUNDDOWN((K$59-$B70)/Reference!$D$23,0)&lt;2,0.5,IF(ROUNDDOWN((K$59-$B70)/Reference!$D$23,0)&lt;3,0.75,IF(ROUNDDOWN((K$59-$B70)/Reference!$D$23,0)&lt;4,0.875,0.9375)))))+HLOOKUP($B70,$C$59:$Q$60,2,FALSE)*Reference!$C$24*(1-IF(ROUNDDOWN((K$59-$B70)/Reference!$D$24,0)&lt;1,0,IF(ROUNDDOWN((K$59-$B70)/Reference!$D$24,0)&lt;2,0.5,IF(ROUNDDOWN((K$59-$B70)/Reference!$D$24,0)&lt;3,0.75,IF(ROUNDDOWN((K$59-$B70)/Reference!$D$24,0)&lt;4,0.875,0.9375)))))+HLOOKUP($B70,$C$59:$Q$60,2,FALSE)*Reference!$C$25*(1-IF(ROUNDDOWN((K$59-$B70)/Reference!$D$25,0)&lt;1,0,IF(ROUNDDOWN((K$59-$B70)/Reference!$D$25,0)&lt;2,0.5,IF(ROUNDDOWN((K$59-$B70)/Reference!$D$25,0)&lt;3,0.75,IF(ROUNDDOWN((K$59-$B70)/Reference!$D$25,0)&lt;4,0.875,0.9375)))))+HLOOKUP($B70,$C$59:$Q$60,2,FALSE)*Reference!$C$26*(1-IF(ROUNDDOWN((K$59-$B70)/Reference!$D$26,0)&lt;1,0,IF(ROUNDDOWN((K$59-$B70)/Reference!$D$26,0)&lt;2,0.5,IF(ROUNDDOWN((K$59-$B70)/Reference!$D$26,0)&lt;3,0.75,IF(ROUNDDOWN((K$59-$B70)/Reference!$D$26,0)&lt;4,0.875,0.9375)))))+HLOOKUP($B70,$C$59:$Q$60,2,FALSE)*Reference!$C$27*(1-IF(ROUNDDOWN((K$59-$B70)/Reference!$D$27,0)&lt;1,0,IF(ROUNDDOWN((K$59-$B70)/Reference!$D$27,0)&lt;2,0.5,IF(ROUNDDOWN((K$59-$B70)/Reference!$D$27,0)&lt;3,0.75,IF(ROUNDDOWN((K$59-$B70)/Reference!$D$27,0)&lt;4,0.875,0.9375)))))+HLOOKUP($B70,$C$59:$Q$60,2,FALSE)*Reference!$C$28*(1-IF(ROUNDDOWN((K$59-$B70)/Reference!$D$28,0)&lt;1,0,IF(ROUNDDOWN((K$59-$B70)/Reference!$D$28,0)&lt;2,0.5,IF(ROUNDDOWN((K$59-$B70)/Reference!$D$28,0)&lt;3,0.75,IF(ROUNDDOWN((K$59-$B70)/Reference!$D$28,0)&lt;4,0.875,0.9375)))))</f>
        <v>0.15433375474924435</v>
      </c>
      <c r="L70" s="135">
        <f>HLOOKUP($B70,$C$59:$Q$60,2,FALSE)*Reference!$C$23*(1-IF(ROUNDDOWN((L$59-$B70)/Reference!$D$23,0)&lt;1,0,IF(ROUNDDOWN((L$59-$B70)/Reference!$D$23,0)&lt;2,0.5,IF(ROUNDDOWN((L$59-$B70)/Reference!$D$23,0)&lt;3,0.75,IF(ROUNDDOWN((L$59-$B70)/Reference!$D$23,0)&lt;4,0.875,0.9375)))))+HLOOKUP($B70,$C$59:$Q$60,2,FALSE)*Reference!$C$24*(1-IF(ROUNDDOWN((L$59-$B70)/Reference!$D$24,0)&lt;1,0,IF(ROUNDDOWN((L$59-$B70)/Reference!$D$24,0)&lt;2,0.5,IF(ROUNDDOWN((L$59-$B70)/Reference!$D$24,0)&lt;3,0.75,IF(ROUNDDOWN((L$59-$B70)/Reference!$D$24,0)&lt;4,0.875,0.9375)))))+HLOOKUP($B70,$C$59:$Q$60,2,FALSE)*Reference!$C$25*(1-IF(ROUNDDOWN((L$59-$B70)/Reference!$D$25,0)&lt;1,0,IF(ROUNDDOWN((L$59-$B70)/Reference!$D$25,0)&lt;2,0.5,IF(ROUNDDOWN((L$59-$B70)/Reference!$D$25,0)&lt;3,0.75,IF(ROUNDDOWN((L$59-$B70)/Reference!$D$25,0)&lt;4,0.875,0.9375)))))+HLOOKUP($B70,$C$59:$Q$60,2,FALSE)*Reference!$C$26*(1-IF(ROUNDDOWN((L$59-$B70)/Reference!$D$26,0)&lt;1,0,IF(ROUNDDOWN((L$59-$B70)/Reference!$D$26,0)&lt;2,0.5,IF(ROUNDDOWN((L$59-$B70)/Reference!$D$26,0)&lt;3,0.75,IF(ROUNDDOWN((L$59-$B70)/Reference!$D$26,0)&lt;4,0.875,0.9375)))))+HLOOKUP($B70,$C$59:$Q$60,2,FALSE)*Reference!$C$27*(1-IF(ROUNDDOWN((L$59-$B70)/Reference!$D$27,0)&lt;1,0,IF(ROUNDDOWN((L$59-$B70)/Reference!$D$27,0)&lt;2,0.5,IF(ROUNDDOWN((L$59-$B70)/Reference!$D$27,0)&lt;3,0.75,IF(ROUNDDOWN((L$59-$B70)/Reference!$D$27,0)&lt;4,0.875,0.9375)))))+HLOOKUP($B70,$C$59:$Q$60,2,FALSE)*Reference!$C$28*(1-IF(ROUNDDOWN((L$59-$B70)/Reference!$D$28,0)&lt;1,0,IF(ROUNDDOWN((L$59-$B70)/Reference!$D$28,0)&lt;2,0.5,IF(ROUNDDOWN((L$59-$B70)/Reference!$D$28,0)&lt;3,0.75,IF(ROUNDDOWN((L$59-$B70)/Reference!$D$28,0)&lt;4,0.875,0.9375)))))</f>
        <v>0.15433375474924435</v>
      </c>
      <c r="M70" s="135">
        <f>HLOOKUP($B70,$C$59:$Q$60,2,FALSE)*Reference!$C$23*(1-IF(ROUNDDOWN((M$59-$B70)/Reference!$D$23,0)&lt;1,0,IF(ROUNDDOWN((M$59-$B70)/Reference!$D$23,0)&lt;2,0.5,IF(ROUNDDOWN((M$59-$B70)/Reference!$D$23,0)&lt;3,0.75,IF(ROUNDDOWN((M$59-$B70)/Reference!$D$23,0)&lt;4,0.875,0.9375)))))+HLOOKUP($B70,$C$59:$Q$60,2,FALSE)*Reference!$C$24*(1-IF(ROUNDDOWN((M$59-$B70)/Reference!$D$24,0)&lt;1,0,IF(ROUNDDOWN((M$59-$B70)/Reference!$D$24,0)&lt;2,0.5,IF(ROUNDDOWN((M$59-$B70)/Reference!$D$24,0)&lt;3,0.75,IF(ROUNDDOWN((M$59-$B70)/Reference!$D$24,0)&lt;4,0.875,0.9375)))))+HLOOKUP($B70,$C$59:$Q$60,2,FALSE)*Reference!$C$25*(1-IF(ROUNDDOWN((M$59-$B70)/Reference!$D$25,0)&lt;1,0,IF(ROUNDDOWN((M$59-$B70)/Reference!$D$25,0)&lt;2,0.5,IF(ROUNDDOWN((M$59-$B70)/Reference!$D$25,0)&lt;3,0.75,IF(ROUNDDOWN((M$59-$B70)/Reference!$D$25,0)&lt;4,0.875,0.9375)))))+HLOOKUP($B70,$C$59:$Q$60,2,FALSE)*Reference!$C$26*(1-IF(ROUNDDOWN((M$59-$B70)/Reference!$D$26,0)&lt;1,0,IF(ROUNDDOWN((M$59-$B70)/Reference!$D$26,0)&lt;2,0.5,IF(ROUNDDOWN((M$59-$B70)/Reference!$D$26,0)&lt;3,0.75,IF(ROUNDDOWN((M$59-$B70)/Reference!$D$26,0)&lt;4,0.875,0.9375)))))+HLOOKUP($B70,$C$59:$Q$60,2,FALSE)*Reference!$C$27*(1-IF(ROUNDDOWN((M$59-$B70)/Reference!$D$27,0)&lt;1,0,IF(ROUNDDOWN((M$59-$B70)/Reference!$D$27,0)&lt;2,0.5,IF(ROUNDDOWN((M$59-$B70)/Reference!$D$27,0)&lt;3,0.75,IF(ROUNDDOWN((M$59-$B70)/Reference!$D$27,0)&lt;4,0.875,0.9375)))))+HLOOKUP($B70,$C$59:$Q$60,2,FALSE)*Reference!$C$28*(1-IF(ROUNDDOWN((M$59-$B70)/Reference!$D$28,0)&lt;1,0,IF(ROUNDDOWN((M$59-$B70)/Reference!$D$28,0)&lt;2,0.5,IF(ROUNDDOWN((M$59-$B70)/Reference!$D$28,0)&lt;3,0.75,IF(ROUNDDOWN((M$59-$B70)/Reference!$D$28,0)&lt;4,0.875,0.9375)))))</f>
        <v>0.14769740329502687</v>
      </c>
      <c r="N70" s="135">
        <f>HLOOKUP($B70,$C$59:$Q$60,2,FALSE)*Reference!$C$23*(1-IF(ROUNDDOWN((N$59-$B70)/Reference!$D$23,0)&lt;1,0,IF(ROUNDDOWN((N$59-$B70)/Reference!$D$23,0)&lt;2,0.5,IF(ROUNDDOWN((N$59-$B70)/Reference!$D$23,0)&lt;3,0.75,IF(ROUNDDOWN((N$59-$B70)/Reference!$D$23,0)&lt;4,0.875,0.9375)))))+HLOOKUP($B70,$C$59:$Q$60,2,FALSE)*Reference!$C$24*(1-IF(ROUNDDOWN((N$59-$B70)/Reference!$D$24,0)&lt;1,0,IF(ROUNDDOWN((N$59-$B70)/Reference!$D$24,0)&lt;2,0.5,IF(ROUNDDOWN((N$59-$B70)/Reference!$D$24,0)&lt;3,0.75,IF(ROUNDDOWN((N$59-$B70)/Reference!$D$24,0)&lt;4,0.875,0.9375)))))+HLOOKUP($B70,$C$59:$Q$60,2,FALSE)*Reference!$C$25*(1-IF(ROUNDDOWN((N$59-$B70)/Reference!$D$25,0)&lt;1,0,IF(ROUNDDOWN((N$59-$B70)/Reference!$D$25,0)&lt;2,0.5,IF(ROUNDDOWN((N$59-$B70)/Reference!$D$25,0)&lt;3,0.75,IF(ROUNDDOWN((N$59-$B70)/Reference!$D$25,0)&lt;4,0.875,0.9375)))))+HLOOKUP($B70,$C$59:$Q$60,2,FALSE)*Reference!$C$26*(1-IF(ROUNDDOWN((N$59-$B70)/Reference!$D$26,0)&lt;1,0,IF(ROUNDDOWN((N$59-$B70)/Reference!$D$26,0)&lt;2,0.5,IF(ROUNDDOWN((N$59-$B70)/Reference!$D$26,0)&lt;3,0.75,IF(ROUNDDOWN((N$59-$B70)/Reference!$D$26,0)&lt;4,0.875,0.9375)))))+HLOOKUP($B70,$C$59:$Q$60,2,FALSE)*Reference!$C$27*(1-IF(ROUNDDOWN((N$59-$B70)/Reference!$D$27,0)&lt;1,0,IF(ROUNDDOWN((N$59-$B70)/Reference!$D$27,0)&lt;2,0.5,IF(ROUNDDOWN((N$59-$B70)/Reference!$D$27,0)&lt;3,0.75,IF(ROUNDDOWN((N$59-$B70)/Reference!$D$27,0)&lt;4,0.875,0.9375)))))+HLOOKUP($B70,$C$59:$Q$60,2,FALSE)*Reference!$C$28*(1-IF(ROUNDDOWN((N$59-$B70)/Reference!$D$28,0)&lt;1,0,IF(ROUNDDOWN((N$59-$B70)/Reference!$D$28,0)&lt;2,0.5,IF(ROUNDDOWN((N$59-$B70)/Reference!$D$28,0)&lt;3,0.75,IF(ROUNDDOWN((N$59-$B70)/Reference!$D$28,0)&lt;4,0.875,0.9375)))))</f>
        <v>0.14769740329502687</v>
      </c>
      <c r="O70" s="135">
        <f>HLOOKUP($B70,$C$59:$Q$60,2,FALSE)*Reference!$C$23*(1-IF(ROUNDDOWN((O$59-$B70)/Reference!$D$23,0)&lt;1,0,IF(ROUNDDOWN((O$59-$B70)/Reference!$D$23,0)&lt;2,0.5,IF(ROUNDDOWN((O$59-$B70)/Reference!$D$23,0)&lt;3,0.75,IF(ROUNDDOWN((O$59-$B70)/Reference!$D$23,0)&lt;4,0.875,0.9375)))))+HLOOKUP($B70,$C$59:$Q$60,2,FALSE)*Reference!$C$24*(1-IF(ROUNDDOWN((O$59-$B70)/Reference!$D$24,0)&lt;1,0,IF(ROUNDDOWN((O$59-$B70)/Reference!$D$24,0)&lt;2,0.5,IF(ROUNDDOWN((O$59-$B70)/Reference!$D$24,0)&lt;3,0.75,IF(ROUNDDOWN((O$59-$B70)/Reference!$D$24,0)&lt;4,0.875,0.9375)))))+HLOOKUP($B70,$C$59:$Q$60,2,FALSE)*Reference!$C$25*(1-IF(ROUNDDOWN((O$59-$B70)/Reference!$D$25,0)&lt;1,0,IF(ROUNDDOWN((O$59-$B70)/Reference!$D$25,0)&lt;2,0.5,IF(ROUNDDOWN((O$59-$B70)/Reference!$D$25,0)&lt;3,0.75,IF(ROUNDDOWN((O$59-$B70)/Reference!$D$25,0)&lt;4,0.875,0.9375)))))+HLOOKUP($B70,$C$59:$Q$60,2,FALSE)*Reference!$C$26*(1-IF(ROUNDDOWN((O$59-$B70)/Reference!$D$26,0)&lt;1,0,IF(ROUNDDOWN((O$59-$B70)/Reference!$D$26,0)&lt;2,0.5,IF(ROUNDDOWN((O$59-$B70)/Reference!$D$26,0)&lt;3,0.75,IF(ROUNDDOWN((O$59-$B70)/Reference!$D$26,0)&lt;4,0.875,0.9375)))))+HLOOKUP($B70,$C$59:$Q$60,2,FALSE)*Reference!$C$27*(1-IF(ROUNDDOWN((O$59-$B70)/Reference!$D$27,0)&lt;1,0,IF(ROUNDDOWN((O$59-$B70)/Reference!$D$27,0)&lt;2,0.5,IF(ROUNDDOWN((O$59-$B70)/Reference!$D$27,0)&lt;3,0.75,IF(ROUNDDOWN((O$59-$B70)/Reference!$D$27,0)&lt;4,0.875,0.9375)))))+HLOOKUP($B70,$C$59:$Q$60,2,FALSE)*Reference!$C$28*(1-IF(ROUNDDOWN((O$59-$B70)/Reference!$D$28,0)&lt;1,0,IF(ROUNDDOWN((O$59-$B70)/Reference!$D$28,0)&lt;2,0.5,IF(ROUNDDOWN((O$59-$B70)/Reference!$D$28,0)&lt;3,0.75,IF(ROUNDDOWN((O$59-$B70)/Reference!$D$28,0)&lt;4,0.875,0.9375)))))</f>
        <v>0.14769740329502687</v>
      </c>
      <c r="P70" s="135">
        <f>HLOOKUP($B70,$C$59:$Q$60,2,FALSE)*Reference!$C$23*(1-IF(ROUNDDOWN((P$59-$B70)/Reference!$D$23,0)&lt;1,0,IF(ROUNDDOWN((P$59-$B70)/Reference!$D$23,0)&lt;2,0.5,IF(ROUNDDOWN((P$59-$B70)/Reference!$D$23,0)&lt;3,0.75,IF(ROUNDDOWN((P$59-$B70)/Reference!$D$23,0)&lt;4,0.875,0.9375)))))+HLOOKUP($B70,$C$59:$Q$60,2,FALSE)*Reference!$C$24*(1-IF(ROUNDDOWN((P$59-$B70)/Reference!$D$24,0)&lt;1,0,IF(ROUNDDOWN((P$59-$B70)/Reference!$D$24,0)&lt;2,0.5,IF(ROUNDDOWN((P$59-$B70)/Reference!$D$24,0)&lt;3,0.75,IF(ROUNDDOWN((P$59-$B70)/Reference!$D$24,0)&lt;4,0.875,0.9375)))))+HLOOKUP($B70,$C$59:$Q$60,2,FALSE)*Reference!$C$25*(1-IF(ROUNDDOWN((P$59-$B70)/Reference!$D$25,0)&lt;1,0,IF(ROUNDDOWN((P$59-$B70)/Reference!$D$25,0)&lt;2,0.5,IF(ROUNDDOWN((P$59-$B70)/Reference!$D$25,0)&lt;3,0.75,IF(ROUNDDOWN((P$59-$B70)/Reference!$D$25,0)&lt;4,0.875,0.9375)))))+HLOOKUP($B70,$C$59:$Q$60,2,FALSE)*Reference!$C$26*(1-IF(ROUNDDOWN((P$59-$B70)/Reference!$D$26,0)&lt;1,0,IF(ROUNDDOWN((P$59-$B70)/Reference!$D$26,0)&lt;2,0.5,IF(ROUNDDOWN((P$59-$B70)/Reference!$D$26,0)&lt;3,0.75,IF(ROUNDDOWN((P$59-$B70)/Reference!$D$26,0)&lt;4,0.875,0.9375)))))+HLOOKUP($B70,$C$59:$Q$60,2,FALSE)*Reference!$C$27*(1-IF(ROUNDDOWN((P$59-$B70)/Reference!$D$27,0)&lt;1,0,IF(ROUNDDOWN((P$59-$B70)/Reference!$D$27,0)&lt;2,0.5,IF(ROUNDDOWN((P$59-$B70)/Reference!$D$27,0)&lt;3,0.75,IF(ROUNDDOWN((P$59-$B70)/Reference!$D$27,0)&lt;4,0.875,0.9375)))))+HLOOKUP($B70,$C$59:$Q$60,2,FALSE)*Reference!$C$28*(1-IF(ROUNDDOWN((P$59-$B70)/Reference!$D$28,0)&lt;1,0,IF(ROUNDDOWN((P$59-$B70)/Reference!$D$28,0)&lt;2,0.5,IF(ROUNDDOWN((P$59-$B70)/Reference!$D$28,0)&lt;3,0.75,IF(ROUNDDOWN((P$59-$B70)/Reference!$D$28,0)&lt;4,0.875,0.9375)))))</f>
        <v>0.1443792275679181</v>
      </c>
      <c r="Q70" s="135">
        <f>HLOOKUP($B70,$C$59:$Q$60,2,FALSE)*Reference!$C$23*(1-IF(ROUNDDOWN((Q$59-$B70)/Reference!$D$23,0)&lt;1,0,IF(ROUNDDOWN((Q$59-$B70)/Reference!$D$23,0)&lt;2,0.5,IF(ROUNDDOWN((Q$59-$B70)/Reference!$D$23,0)&lt;3,0.75,IF(ROUNDDOWN((Q$59-$B70)/Reference!$D$23,0)&lt;4,0.875,0.9375)))))+HLOOKUP($B70,$C$59:$Q$60,2,FALSE)*Reference!$C$24*(1-IF(ROUNDDOWN((Q$59-$B70)/Reference!$D$24,0)&lt;1,0,IF(ROUNDDOWN((Q$59-$B70)/Reference!$D$24,0)&lt;2,0.5,IF(ROUNDDOWN((Q$59-$B70)/Reference!$D$24,0)&lt;3,0.75,IF(ROUNDDOWN((Q$59-$B70)/Reference!$D$24,0)&lt;4,0.875,0.9375)))))+HLOOKUP($B70,$C$59:$Q$60,2,FALSE)*Reference!$C$25*(1-IF(ROUNDDOWN((Q$59-$B70)/Reference!$D$25,0)&lt;1,0,IF(ROUNDDOWN((Q$59-$B70)/Reference!$D$25,0)&lt;2,0.5,IF(ROUNDDOWN((Q$59-$B70)/Reference!$D$25,0)&lt;3,0.75,IF(ROUNDDOWN((Q$59-$B70)/Reference!$D$25,0)&lt;4,0.875,0.9375)))))+HLOOKUP($B70,$C$59:$Q$60,2,FALSE)*Reference!$C$26*(1-IF(ROUNDDOWN((Q$59-$B70)/Reference!$D$26,0)&lt;1,0,IF(ROUNDDOWN((Q$59-$B70)/Reference!$D$26,0)&lt;2,0.5,IF(ROUNDDOWN((Q$59-$B70)/Reference!$D$26,0)&lt;3,0.75,IF(ROUNDDOWN((Q$59-$B70)/Reference!$D$26,0)&lt;4,0.875,0.9375)))))+HLOOKUP($B70,$C$59:$Q$60,2,FALSE)*Reference!$C$27*(1-IF(ROUNDDOWN((Q$59-$B70)/Reference!$D$27,0)&lt;1,0,IF(ROUNDDOWN((Q$59-$B70)/Reference!$D$27,0)&lt;2,0.5,IF(ROUNDDOWN((Q$59-$B70)/Reference!$D$27,0)&lt;3,0.75,IF(ROUNDDOWN((Q$59-$B70)/Reference!$D$27,0)&lt;4,0.875,0.9375)))))+HLOOKUP($B70,$C$59:$Q$60,2,FALSE)*Reference!$C$28*(1-IF(ROUNDDOWN((Q$59-$B70)/Reference!$D$28,0)&lt;1,0,IF(ROUNDDOWN((Q$59-$B70)/Reference!$D$28,0)&lt;2,0.5,IF(ROUNDDOWN((Q$59-$B70)/Reference!$D$28,0)&lt;3,0.75,IF(ROUNDDOWN((Q$59-$B70)/Reference!$D$28,0)&lt;4,0.875,0.9375)))))</f>
        <v>0.1443792275679181</v>
      </c>
      <c r="R70" s="50"/>
    </row>
    <row r="71" spans="2:18" x14ac:dyDescent="0.3">
      <c r="B71" s="237">
        <f t="shared" si="10"/>
        <v>2023</v>
      </c>
      <c r="C71" s="135"/>
      <c r="D71" s="135"/>
      <c r="E71" s="135"/>
      <c r="F71" s="135"/>
      <c r="G71" s="135"/>
      <c r="H71" s="135"/>
      <c r="I71" s="135"/>
      <c r="J71" s="135"/>
      <c r="K71" s="135">
        <f>HLOOKUP($B71,$C$59:$Q$60,2,FALSE)*Reference!$C$23*(1-IF(ROUNDDOWN((K$59-$B71)/Reference!$D$23,0)&lt;1,0,IF(ROUNDDOWN((K$59-$B71)/Reference!$D$23,0)&lt;2,0.5,IF(ROUNDDOWN((K$59-$B71)/Reference!$D$23,0)&lt;3,0.75,IF(ROUNDDOWN((K$59-$B71)/Reference!$D$23,0)&lt;4,0.875,0.9375)))))+HLOOKUP($B71,$C$59:$Q$60,2,FALSE)*Reference!$C$24*(1-IF(ROUNDDOWN((K$59-$B71)/Reference!$D$24,0)&lt;1,0,IF(ROUNDDOWN((K$59-$B71)/Reference!$D$24,0)&lt;2,0.5,IF(ROUNDDOWN((K$59-$B71)/Reference!$D$24,0)&lt;3,0.75,IF(ROUNDDOWN((K$59-$B71)/Reference!$D$24,0)&lt;4,0.875,0.9375)))))+HLOOKUP($B71,$C$59:$Q$60,2,FALSE)*Reference!$C$25*(1-IF(ROUNDDOWN((K$59-$B71)/Reference!$D$25,0)&lt;1,0,IF(ROUNDDOWN((K$59-$B71)/Reference!$D$25,0)&lt;2,0.5,IF(ROUNDDOWN((K$59-$B71)/Reference!$D$25,0)&lt;3,0.75,IF(ROUNDDOWN((K$59-$B71)/Reference!$D$25,0)&lt;4,0.875,0.9375)))))+HLOOKUP($B71,$C$59:$Q$60,2,FALSE)*Reference!$C$26*(1-IF(ROUNDDOWN((K$59-$B71)/Reference!$D$26,0)&lt;1,0,IF(ROUNDDOWN((K$59-$B71)/Reference!$D$26,0)&lt;2,0.5,IF(ROUNDDOWN((K$59-$B71)/Reference!$D$26,0)&lt;3,0.75,IF(ROUNDDOWN((K$59-$B71)/Reference!$D$26,0)&lt;4,0.875,0.9375)))))+HLOOKUP($B71,$C$59:$Q$60,2,FALSE)*Reference!$C$27*(1-IF(ROUNDDOWN((K$59-$B71)/Reference!$D$27,0)&lt;1,0,IF(ROUNDDOWN((K$59-$B71)/Reference!$D$27,0)&lt;2,0.5,IF(ROUNDDOWN((K$59-$B71)/Reference!$D$27,0)&lt;3,0.75,IF(ROUNDDOWN((K$59-$B71)/Reference!$D$27,0)&lt;4,0.875,0.9375)))))+HLOOKUP($B71,$C$59:$Q$60,2,FALSE)*Reference!$C$28*(1-IF(ROUNDDOWN((K$59-$B71)/Reference!$D$28,0)&lt;1,0,IF(ROUNDDOWN((K$59-$B71)/Reference!$D$28,0)&lt;2,0.5,IF(ROUNDDOWN((K$59-$B71)/Reference!$D$28,0)&lt;3,0.75,IF(ROUNDDOWN((K$59-$B71)/Reference!$D$28,0)&lt;4,0.875,0.9375)))))</f>
        <v>0.15433375474924435</v>
      </c>
      <c r="L71" s="135">
        <f>HLOOKUP($B71,$C$59:$Q$60,2,FALSE)*Reference!$C$23*(1-IF(ROUNDDOWN((L$59-$B71)/Reference!$D$23,0)&lt;1,0,IF(ROUNDDOWN((L$59-$B71)/Reference!$D$23,0)&lt;2,0.5,IF(ROUNDDOWN((L$59-$B71)/Reference!$D$23,0)&lt;3,0.75,IF(ROUNDDOWN((L$59-$B71)/Reference!$D$23,0)&lt;4,0.875,0.9375)))))+HLOOKUP($B71,$C$59:$Q$60,2,FALSE)*Reference!$C$24*(1-IF(ROUNDDOWN((L$59-$B71)/Reference!$D$24,0)&lt;1,0,IF(ROUNDDOWN((L$59-$B71)/Reference!$D$24,0)&lt;2,0.5,IF(ROUNDDOWN((L$59-$B71)/Reference!$D$24,0)&lt;3,0.75,IF(ROUNDDOWN((L$59-$B71)/Reference!$D$24,0)&lt;4,0.875,0.9375)))))+HLOOKUP($B71,$C$59:$Q$60,2,FALSE)*Reference!$C$25*(1-IF(ROUNDDOWN((L$59-$B71)/Reference!$D$25,0)&lt;1,0,IF(ROUNDDOWN((L$59-$B71)/Reference!$D$25,0)&lt;2,0.5,IF(ROUNDDOWN((L$59-$B71)/Reference!$D$25,0)&lt;3,0.75,IF(ROUNDDOWN((L$59-$B71)/Reference!$D$25,0)&lt;4,0.875,0.9375)))))+HLOOKUP($B71,$C$59:$Q$60,2,FALSE)*Reference!$C$26*(1-IF(ROUNDDOWN((L$59-$B71)/Reference!$D$26,0)&lt;1,0,IF(ROUNDDOWN((L$59-$B71)/Reference!$D$26,0)&lt;2,0.5,IF(ROUNDDOWN((L$59-$B71)/Reference!$D$26,0)&lt;3,0.75,IF(ROUNDDOWN((L$59-$B71)/Reference!$D$26,0)&lt;4,0.875,0.9375)))))+HLOOKUP($B71,$C$59:$Q$60,2,FALSE)*Reference!$C$27*(1-IF(ROUNDDOWN((L$59-$B71)/Reference!$D$27,0)&lt;1,0,IF(ROUNDDOWN((L$59-$B71)/Reference!$D$27,0)&lt;2,0.5,IF(ROUNDDOWN((L$59-$B71)/Reference!$D$27,0)&lt;3,0.75,IF(ROUNDDOWN((L$59-$B71)/Reference!$D$27,0)&lt;4,0.875,0.9375)))))+HLOOKUP($B71,$C$59:$Q$60,2,FALSE)*Reference!$C$28*(1-IF(ROUNDDOWN((L$59-$B71)/Reference!$D$28,0)&lt;1,0,IF(ROUNDDOWN((L$59-$B71)/Reference!$D$28,0)&lt;2,0.5,IF(ROUNDDOWN((L$59-$B71)/Reference!$D$28,0)&lt;3,0.75,IF(ROUNDDOWN((L$59-$B71)/Reference!$D$28,0)&lt;4,0.875,0.9375)))))</f>
        <v>0.15433375474924435</v>
      </c>
      <c r="M71" s="135">
        <f>HLOOKUP($B71,$C$59:$Q$60,2,FALSE)*Reference!$C$23*(1-IF(ROUNDDOWN((M$59-$B71)/Reference!$D$23,0)&lt;1,0,IF(ROUNDDOWN((M$59-$B71)/Reference!$D$23,0)&lt;2,0.5,IF(ROUNDDOWN((M$59-$B71)/Reference!$D$23,0)&lt;3,0.75,IF(ROUNDDOWN((M$59-$B71)/Reference!$D$23,0)&lt;4,0.875,0.9375)))))+HLOOKUP($B71,$C$59:$Q$60,2,FALSE)*Reference!$C$24*(1-IF(ROUNDDOWN((M$59-$B71)/Reference!$D$24,0)&lt;1,0,IF(ROUNDDOWN((M$59-$B71)/Reference!$D$24,0)&lt;2,0.5,IF(ROUNDDOWN((M$59-$B71)/Reference!$D$24,0)&lt;3,0.75,IF(ROUNDDOWN((M$59-$B71)/Reference!$D$24,0)&lt;4,0.875,0.9375)))))+HLOOKUP($B71,$C$59:$Q$60,2,FALSE)*Reference!$C$25*(1-IF(ROUNDDOWN((M$59-$B71)/Reference!$D$25,0)&lt;1,0,IF(ROUNDDOWN((M$59-$B71)/Reference!$D$25,0)&lt;2,0.5,IF(ROUNDDOWN((M$59-$B71)/Reference!$D$25,0)&lt;3,0.75,IF(ROUNDDOWN((M$59-$B71)/Reference!$D$25,0)&lt;4,0.875,0.9375)))))+HLOOKUP($B71,$C$59:$Q$60,2,FALSE)*Reference!$C$26*(1-IF(ROUNDDOWN((M$59-$B71)/Reference!$D$26,0)&lt;1,0,IF(ROUNDDOWN((M$59-$B71)/Reference!$D$26,0)&lt;2,0.5,IF(ROUNDDOWN((M$59-$B71)/Reference!$D$26,0)&lt;3,0.75,IF(ROUNDDOWN((M$59-$B71)/Reference!$D$26,0)&lt;4,0.875,0.9375)))))+HLOOKUP($B71,$C$59:$Q$60,2,FALSE)*Reference!$C$27*(1-IF(ROUNDDOWN((M$59-$B71)/Reference!$D$27,0)&lt;1,0,IF(ROUNDDOWN((M$59-$B71)/Reference!$D$27,0)&lt;2,0.5,IF(ROUNDDOWN((M$59-$B71)/Reference!$D$27,0)&lt;3,0.75,IF(ROUNDDOWN((M$59-$B71)/Reference!$D$27,0)&lt;4,0.875,0.9375)))))+HLOOKUP($B71,$C$59:$Q$60,2,FALSE)*Reference!$C$28*(1-IF(ROUNDDOWN((M$59-$B71)/Reference!$D$28,0)&lt;1,0,IF(ROUNDDOWN((M$59-$B71)/Reference!$D$28,0)&lt;2,0.5,IF(ROUNDDOWN((M$59-$B71)/Reference!$D$28,0)&lt;3,0.75,IF(ROUNDDOWN((M$59-$B71)/Reference!$D$28,0)&lt;4,0.875,0.9375)))))</f>
        <v>0.15433375474924435</v>
      </c>
      <c r="N71" s="135">
        <f>HLOOKUP($B71,$C$59:$Q$60,2,FALSE)*Reference!$C$23*(1-IF(ROUNDDOWN((N$59-$B71)/Reference!$D$23,0)&lt;1,0,IF(ROUNDDOWN((N$59-$B71)/Reference!$D$23,0)&lt;2,0.5,IF(ROUNDDOWN((N$59-$B71)/Reference!$D$23,0)&lt;3,0.75,IF(ROUNDDOWN((N$59-$B71)/Reference!$D$23,0)&lt;4,0.875,0.9375)))))+HLOOKUP($B71,$C$59:$Q$60,2,FALSE)*Reference!$C$24*(1-IF(ROUNDDOWN((N$59-$B71)/Reference!$D$24,0)&lt;1,0,IF(ROUNDDOWN((N$59-$B71)/Reference!$D$24,0)&lt;2,0.5,IF(ROUNDDOWN((N$59-$B71)/Reference!$D$24,0)&lt;3,0.75,IF(ROUNDDOWN((N$59-$B71)/Reference!$D$24,0)&lt;4,0.875,0.9375)))))+HLOOKUP($B71,$C$59:$Q$60,2,FALSE)*Reference!$C$25*(1-IF(ROUNDDOWN((N$59-$B71)/Reference!$D$25,0)&lt;1,0,IF(ROUNDDOWN((N$59-$B71)/Reference!$D$25,0)&lt;2,0.5,IF(ROUNDDOWN((N$59-$B71)/Reference!$D$25,0)&lt;3,0.75,IF(ROUNDDOWN((N$59-$B71)/Reference!$D$25,0)&lt;4,0.875,0.9375)))))+HLOOKUP($B71,$C$59:$Q$60,2,FALSE)*Reference!$C$26*(1-IF(ROUNDDOWN((N$59-$B71)/Reference!$D$26,0)&lt;1,0,IF(ROUNDDOWN((N$59-$B71)/Reference!$D$26,0)&lt;2,0.5,IF(ROUNDDOWN((N$59-$B71)/Reference!$D$26,0)&lt;3,0.75,IF(ROUNDDOWN((N$59-$B71)/Reference!$D$26,0)&lt;4,0.875,0.9375)))))+HLOOKUP($B71,$C$59:$Q$60,2,FALSE)*Reference!$C$27*(1-IF(ROUNDDOWN((N$59-$B71)/Reference!$D$27,0)&lt;1,0,IF(ROUNDDOWN((N$59-$B71)/Reference!$D$27,0)&lt;2,0.5,IF(ROUNDDOWN((N$59-$B71)/Reference!$D$27,0)&lt;3,0.75,IF(ROUNDDOWN((N$59-$B71)/Reference!$D$27,0)&lt;4,0.875,0.9375)))))+HLOOKUP($B71,$C$59:$Q$60,2,FALSE)*Reference!$C$28*(1-IF(ROUNDDOWN((N$59-$B71)/Reference!$D$28,0)&lt;1,0,IF(ROUNDDOWN((N$59-$B71)/Reference!$D$28,0)&lt;2,0.5,IF(ROUNDDOWN((N$59-$B71)/Reference!$D$28,0)&lt;3,0.75,IF(ROUNDDOWN((N$59-$B71)/Reference!$D$28,0)&lt;4,0.875,0.9375)))))</f>
        <v>0.14769740329502687</v>
      </c>
      <c r="O71" s="135">
        <f>HLOOKUP($B71,$C$59:$Q$60,2,FALSE)*Reference!$C$23*(1-IF(ROUNDDOWN((O$59-$B71)/Reference!$D$23,0)&lt;1,0,IF(ROUNDDOWN((O$59-$B71)/Reference!$D$23,0)&lt;2,0.5,IF(ROUNDDOWN((O$59-$B71)/Reference!$D$23,0)&lt;3,0.75,IF(ROUNDDOWN((O$59-$B71)/Reference!$D$23,0)&lt;4,0.875,0.9375)))))+HLOOKUP($B71,$C$59:$Q$60,2,FALSE)*Reference!$C$24*(1-IF(ROUNDDOWN((O$59-$B71)/Reference!$D$24,0)&lt;1,0,IF(ROUNDDOWN((O$59-$B71)/Reference!$D$24,0)&lt;2,0.5,IF(ROUNDDOWN((O$59-$B71)/Reference!$D$24,0)&lt;3,0.75,IF(ROUNDDOWN((O$59-$B71)/Reference!$D$24,0)&lt;4,0.875,0.9375)))))+HLOOKUP($B71,$C$59:$Q$60,2,FALSE)*Reference!$C$25*(1-IF(ROUNDDOWN((O$59-$B71)/Reference!$D$25,0)&lt;1,0,IF(ROUNDDOWN((O$59-$B71)/Reference!$D$25,0)&lt;2,0.5,IF(ROUNDDOWN((O$59-$B71)/Reference!$D$25,0)&lt;3,0.75,IF(ROUNDDOWN((O$59-$B71)/Reference!$D$25,0)&lt;4,0.875,0.9375)))))+HLOOKUP($B71,$C$59:$Q$60,2,FALSE)*Reference!$C$26*(1-IF(ROUNDDOWN((O$59-$B71)/Reference!$D$26,0)&lt;1,0,IF(ROUNDDOWN((O$59-$B71)/Reference!$D$26,0)&lt;2,0.5,IF(ROUNDDOWN((O$59-$B71)/Reference!$D$26,0)&lt;3,0.75,IF(ROUNDDOWN((O$59-$B71)/Reference!$D$26,0)&lt;4,0.875,0.9375)))))+HLOOKUP($B71,$C$59:$Q$60,2,FALSE)*Reference!$C$27*(1-IF(ROUNDDOWN((O$59-$B71)/Reference!$D$27,0)&lt;1,0,IF(ROUNDDOWN((O$59-$B71)/Reference!$D$27,0)&lt;2,0.5,IF(ROUNDDOWN((O$59-$B71)/Reference!$D$27,0)&lt;3,0.75,IF(ROUNDDOWN((O$59-$B71)/Reference!$D$27,0)&lt;4,0.875,0.9375)))))+HLOOKUP($B71,$C$59:$Q$60,2,FALSE)*Reference!$C$28*(1-IF(ROUNDDOWN((O$59-$B71)/Reference!$D$28,0)&lt;1,0,IF(ROUNDDOWN((O$59-$B71)/Reference!$D$28,0)&lt;2,0.5,IF(ROUNDDOWN((O$59-$B71)/Reference!$D$28,0)&lt;3,0.75,IF(ROUNDDOWN((O$59-$B71)/Reference!$D$28,0)&lt;4,0.875,0.9375)))))</f>
        <v>0.14769740329502687</v>
      </c>
      <c r="P71" s="135">
        <f>HLOOKUP($B71,$C$59:$Q$60,2,FALSE)*Reference!$C$23*(1-IF(ROUNDDOWN((P$59-$B71)/Reference!$D$23,0)&lt;1,0,IF(ROUNDDOWN((P$59-$B71)/Reference!$D$23,0)&lt;2,0.5,IF(ROUNDDOWN((P$59-$B71)/Reference!$D$23,0)&lt;3,0.75,IF(ROUNDDOWN((P$59-$B71)/Reference!$D$23,0)&lt;4,0.875,0.9375)))))+HLOOKUP($B71,$C$59:$Q$60,2,FALSE)*Reference!$C$24*(1-IF(ROUNDDOWN((P$59-$B71)/Reference!$D$24,0)&lt;1,0,IF(ROUNDDOWN((P$59-$B71)/Reference!$D$24,0)&lt;2,0.5,IF(ROUNDDOWN((P$59-$B71)/Reference!$D$24,0)&lt;3,0.75,IF(ROUNDDOWN((P$59-$B71)/Reference!$D$24,0)&lt;4,0.875,0.9375)))))+HLOOKUP($B71,$C$59:$Q$60,2,FALSE)*Reference!$C$25*(1-IF(ROUNDDOWN((P$59-$B71)/Reference!$D$25,0)&lt;1,0,IF(ROUNDDOWN((P$59-$B71)/Reference!$D$25,0)&lt;2,0.5,IF(ROUNDDOWN((P$59-$B71)/Reference!$D$25,0)&lt;3,0.75,IF(ROUNDDOWN((P$59-$B71)/Reference!$D$25,0)&lt;4,0.875,0.9375)))))+HLOOKUP($B71,$C$59:$Q$60,2,FALSE)*Reference!$C$26*(1-IF(ROUNDDOWN((P$59-$B71)/Reference!$D$26,0)&lt;1,0,IF(ROUNDDOWN((P$59-$B71)/Reference!$D$26,0)&lt;2,0.5,IF(ROUNDDOWN((P$59-$B71)/Reference!$D$26,0)&lt;3,0.75,IF(ROUNDDOWN((P$59-$B71)/Reference!$D$26,0)&lt;4,0.875,0.9375)))))+HLOOKUP($B71,$C$59:$Q$60,2,FALSE)*Reference!$C$27*(1-IF(ROUNDDOWN((P$59-$B71)/Reference!$D$27,0)&lt;1,0,IF(ROUNDDOWN((P$59-$B71)/Reference!$D$27,0)&lt;2,0.5,IF(ROUNDDOWN((P$59-$B71)/Reference!$D$27,0)&lt;3,0.75,IF(ROUNDDOWN((P$59-$B71)/Reference!$D$27,0)&lt;4,0.875,0.9375)))))+HLOOKUP($B71,$C$59:$Q$60,2,FALSE)*Reference!$C$28*(1-IF(ROUNDDOWN((P$59-$B71)/Reference!$D$28,0)&lt;1,0,IF(ROUNDDOWN((P$59-$B71)/Reference!$D$28,0)&lt;2,0.5,IF(ROUNDDOWN((P$59-$B71)/Reference!$D$28,0)&lt;3,0.75,IF(ROUNDDOWN((P$59-$B71)/Reference!$D$28,0)&lt;4,0.875,0.9375)))))</f>
        <v>0.14769740329502687</v>
      </c>
      <c r="Q71" s="135">
        <f>HLOOKUP($B71,$C$59:$Q$60,2,FALSE)*Reference!$C$23*(1-IF(ROUNDDOWN((Q$59-$B71)/Reference!$D$23,0)&lt;1,0,IF(ROUNDDOWN((Q$59-$B71)/Reference!$D$23,0)&lt;2,0.5,IF(ROUNDDOWN((Q$59-$B71)/Reference!$D$23,0)&lt;3,0.75,IF(ROUNDDOWN((Q$59-$B71)/Reference!$D$23,0)&lt;4,0.875,0.9375)))))+HLOOKUP($B71,$C$59:$Q$60,2,FALSE)*Reference!$C$24*(1-IF(ROUNDDOWN((Q$59-$B71)/Reference!$D$24,0)&lt;1,0,IF(ROUNDDOWN((Q$59-$B71)/Reference!$D$24,0)&lt;2,0.5,IF(ROUNDDOWN((Q$59-$B71)/Reference!$D$24,0)&lt;3,0.75,IF(ROUNDDOWN((Q$59-$B71)/Reference!$D$24,0)&lt;4,0.875,0.9375)))))+HLOOKUP($B71,$C$59:$Q$60,2,FALSE)*Reference!$C$25*(1-IF(ROUNDDOWN((Q$59-$B71)/Reference!$D$25,0)&lt;1,0,IF(ROUNDDOWN((Q$59-$B71)/Reference!$D$25,0)&lt;2,0.5,IF(ROUNDDOWN((Q$59-$B71)/Reference!$D$25,0)&lt;3,0.75,IF(ROUNDDOWN((Q$59-$B71)/Reference!$D$25,0)&lt;4,0.875,0.9375)))))+HLOOKUP($B71,$C$59:$Q$60,2,FALSE)*Reference!$C$26*(1-IF(ROUNDDOWN((Q$59-$B71)/Reference!$D$26,0)&lt;1,0,IF(ROUNDDOWN((Q$59-$B71)/Reference!$D$26,0)&lt;2,0.5,IF(ROUNDDOWN((Q$59-$B71)/Reference!$D$26,0)&lt;3,0.75,IF(ROUNDDOWN((Q$59-$B71)/Reference!$D$26,0)&lt;4,0.875,0.9375)))))+HLOOKUP($B71,$C$59:$Q$60,2,FALSE)*Reference!$C$27*(1-IF(ROUNDDOWN((Q$59-$B71)/Reference!$D$27,0)&lt;1,0,IF(ROUNDDOWN((Q$59-$B71)/Reference!$D$27,0)&lt;2,0.5,IF(ROUNDDOWN((Q$59-$B71)/Reference!$D$27,0)&lt;3,0.75,IF(ROUNDDOWN((Q$59-$B71)/Reference!$D$27,0)&lt;4,0.875,0.9375)))))+HLOOKUP($B71,$C$59:$Q$60,2,FALSE)*Reference!$C$28*(1-IF(ROUNDDOWN((Q$59-$B71)/Reference!$D$28,0)&lt;1,0,IF(ROUNDDOWN((Q$59-$B71)/Reference!$D$28,0)&lt;2,0.5,IF(ROUNDDOWN((Q$59-$B71)/Reference!$D$28,0)&lt;3,0.75,IF(ROUNDDOWN((Q$59-$B71)/Reference!$D$28,0)&lt;4,0.875,0.9375)))))</f>
        <v>0.1443792275679181</v>
      </c>
      <c r="R71" s="50"/>
    </row>
    <row r="72" spans="2:18" x14ac:dyDescent="0.3">
      <c r="B72" s="237">
        <f t="shared" si="10"/>
        <v>2024</v>
      </c>
      <c r="C72" s="135"/>
      <c r="D72" s="135"/>
      <c r="E72" s="135"/>
      <c r="F72" s="135"/>
      <c r="G72" s="135"/>
      <c r="H72" s="135"/>
      <c r="I72" s="135"/>
      <c r="J72" s="135"/>
      <c r="K72" s="135"/>
      <c r="L72" s="135">
        <f>HLOOKUP($B72,$C$59:$Q$60,2,FALSE)*Reference!$C$23*(1-IF(ROUNDDOWN((L$59-$B72)/Reference!$D$23,0)&lt;1,0,IF(ROUNDDOWN((L$59-$B72)/Reference!$D$23,0)&lt;2,0.5,IF(ROUNDDOWN((L$59-$B72)/Reference!$D$23,0)&lt;3,0.75,IF(ROUNDDOWN((L$59-$B72)/Reference!$D$23,0)&lt;4,0.875,0.9375)))))+HLOOKUP($B72,$C$59:$Q$60,2,FALSE)*Reference!$C$24*(1-IF(ROUNDDOWN((L$59-$B72)/Reference!$D$24,0)&lt;1,0,IF(ROUNDDOWN((L$59-$B72)/Reference!$D$24,0)&lt;2,0.5,IF(ROUNDDOWN((L$59-$B72)/Reference!$D$24,0)&lt;3,0.75,IF(ROUNDDOWN((L$59-$B72)/Reference!$D$24,0)&lt;4,0.875,0.9375)))))+HLOOKUP($B72,$C$59:$Q$60,2,FALSE)*Reference!$C$25*(1-IF(ROUNDDOWN((L$59-$B72)/Reference!$D$25,0)&lt;1,0,IF(ROUNDDOWN((L$59-$B72)/Reference!$D$25,0)&lt;2,0.5,IF(ROUNDDOWN((L$59-$B72)/Reference!$D$25,0)&lt;3,0.75,IF(ROUNDDOWN((L$59-$B72)/Reference!$D$25,0)&lt;4,0.875,0.9375)))))+HLOOKUP($B72,$C$59:$Q$60,2,FALSE)*Reference!$C$26*(1-IF(ROUNDDOWN((L$59-$B72)/Reference!$D$26,0)&lt;1,0,IF(ROUNDDOWN((L$59-$B72)/Reference!$D$26,0)&lt;2,0.5,IF(ROUNDDOWN((L$59-$B72)/Reference!$D$26,0)&lt;3,0.75,IF(ROUNDDOWN((L$59-$B72)/Reference!$D$26,0)&lt;4,0.875,0.9375)))))+HLOOKUP($B72,$C$59:$Q$60,2,FALSE)*Reference!$C$27*(1-IF(ROUNDDOWN((L$59-$B72)/Reference!$D$27,0)&lt;1,0,IF(ROUNDDOWN((L$59-$B72)/Reference!$D$27,0)&lt;2,0.5,IF(ROUNDDOWN((L$59-$B72)/Reference!$D$27,0)&lt;3,0.75,IF(ROUNDDOWN((L$59-$B72)/Reference!$D$27,0)&lt;4,0.875,0.9375)))))+HLOOKUP($B72,$C$59:$Q$60,2,FALSE)*Reference!$C$28*(1-IF(ROUNDDOWN((L$59-$B72)/Reference!$D$28,0)&lt;1,0,IF(ROUNDDOWN((L$59-$B72)/Reference!$D$28,0)&lt;2,0.5,IF(ROUNDDOWN((L$59-$B72)/Reference!$D$28,0)&lt;3,0.75,IF(ROUNDDOWN((L$59-$B72)/Reference!$D$28,0)&lt;4,0.875,0.9375)))))</f>
        <v>0.15433375474924435</v>
      </c>
      <c r="M72" s="135">
        <f>HLOOKUP($B72,$C$59:$Q$60,2,FALSE)*Reference!$C$23*(1-IF(ROUNDDOWN((M$59-$B72)/Reference!$D$23,0)&lt;1,0,IF(ROUNDDOWN((M$59-$B72)/Reference!$D$23,0)&lt;2,0.5,IF(ROUNDDOWN((M$59-$B72)/Reference!$D$23,0)&lt;3,0.75,IF(ROUNDDOWN((M$59-$B72)/Reference!$D$23,0)&lt;4,0.875,0.9375)))))+HLOOKUP($B72,$C$59:$Q$60,2,FALSE)*Reference!$C$24*(1-IF(ROUNDDOWN((M$59-$B72)/Reference!$D$24,0)&lt;1,0,IF(ROUNDDOWN((M$59-$B72)/Reference!$D$24,0)&lt;2,0.5,IF(ROUNDDOWN((M$59-$B72)/Reference!$D$24,0)&lt;3,0.75,IF(ROUNDDOWN((M$59-$B72)/Reference!$D$24,0)&lt;4,0.875,0.9375)))))+HLOOKUP($B72,$C$59:$Q$60,2,FALSE)*Reference!$C$25*(1-IF(ROUNDDOWN((M$59-$B72)/Reference!$D$25,0)&lt;1,0,IF(ROUNDDOWN((M$59-$B72)/Reference!$D$25,0)&lt;2,0.5,IF(ROUNDDOWN((M$59-$B72)/Reference!$D$25,0)&lt;3,0.75,IF(ROUNDDOWN((M$59-$B72)/Reference!$D$25,0)&lt;4,0.875,0.9375)))))+HLOOKUP($B72,$C$59:$Q$60,2,FALSE)*Reference!$C$26*(1-IF(ROUNDDOWN((M$59-$B72)/Reference!$D$26,0)&lt;1,0,IF(ROUNDDOWN((M$59-$B72)/Reference!$D$26,0)&lt;2,0.5,IF(ROUNDDOWN((M$59-$B72)/Reference!$D$26,0)&lt;3,0.75,IF(ROUNDDOWN((M$59-$B72)/Reference!$D$26,0)&lt;4,0.875,0.9375)))))+HLOOKUP($B72,$C$59:$Q$60,2,FALSE)*Reference!$C$27*(1-IF(ROUNDDOWN((M$59-$B72)/Reference!$D$27,0)&lt;1,0,IF(ROUNDDOWN((M$59-$B72)/Reference!$D$27,0)&lt;2,0.5,IF(ROUNDDOWN((M$59-$B72)/Reference!$D$27,0)&lt;3,0.75,IF(ROUNDDOWN((M$59-$B72)/Reference!$D$27,0)&lt;4,0.875,0.9375)))))+HLOOKUP($B72,$C$59:$Q$60,2,FALSE)*Reference!$C$28*(1-IF(ROUNDDOWN((M$59-$B72)/Reference!$D$28,0)&lt;1,0,IF(ROUNDDOWN((M$59-$B72)/Reference!$D$28,0)&lt;2,0.5,IF(ROUNDDOWN((M$59-$B72)/Reference!$D$28,0)&lt;3,0.75,IF(ROUNDDOWN((M$59-$B72)/Reference!$D$28,0)&lt;4,0.875,0.9375)))))</f>
        <v>0.15433375474924435</v>
      </c>
      <c r="N72" s="135">
        <f>HLOOKUP($B72,$C$59:$Q$60,2,FALSE)*Reference!$C$23*(1-IF(ROUNDDOWN((N$59-$B72)/Reference!$D$23,0)&lt;1,0,IF(ROUNDDOWN((N$59-$B72)/Reference!$D$23,0)&lt;2,0.5,IF(ROUNDDOWN((N$59-$B72)/Reference!$D$23,0)&lt;3,0.75,IF(ROUNDDOWN((N$59-$B72)/Reference!$D$23,0)&lt;4,0.875,0.9375)))))+HLOOKUP($B72,$C$59:$Q$60,2,FALSE)*Reference!$C$24*(1-IF(ROUNDDOWN((N$59-$B72)/Reference!$D$24,0)&lt;1,0,IF(ROUNDDOWN((N$59-$B72)/Reference!$D$24,0)&lt;2,0.5,IF(ROUNDDOWN((N$59-$B72)/Reference!$D$24,0)&lt;3,0.75,IF(ROUNDDOWN((N$59-$B72)/Reference!$D$24,0)&lt;4,0.875,0.9375)))))+HLOOKUP($B72,$C$59:$Q$60,2,FALSE)*Reference!$C$25*(1-IF(ROUNDDOWN((N$59-$B72)/Reference!$D$25,0)&lt;1,0,IF(ROUNDDOWN((N$59-$B72)/Reference!$D$25,0)&lt;2,0.5,IF(ROUNDDOWN((N$59-$B72)/Reference!$D$25,0)&lt;3,0.75,IF(ROUNDDOWN((N$59-$B72)/Reference!$D$25,0)&lt;4,0.875,0.9375)))))+HLOOKUP($B72,$C$59:$Q$60,2,FALSE)*Reference!$C$26*(1-IF(ROUNDDOWN((N$59-$B72)/Reference!$D$26,0)&lt;1,0,IF(ROUNDDOWN((N$59-$B72)/Reference!$D$26,0)&lt;2,0.5,IF(ROUNDDOWN((N$59-$B72)/Reference!$D$26,0)&lt;3,0.75,IF(ROUNDDOWN((N$59-$B72)/Reference!$D$26,0)&lt;4,0.875,0.9375)))))+HLOOKUP($B72,$C$59:$Q$60,2,FALSE)*Reference!$C$27*(1-IF(ROUNDDOWN((N$59-$B72)/Reference!$D$27,0)&lt;1,0,IF(ROUNDDOWN((N$59-$B72)/Reference!$D$27,0)&lt;2,0.5,IF(ROUNDDOWN((N$59-$B72)/Reference!$D$27,0)&lt;3,0.75,IF(ROUNDDOWN((N$59-$B72)/Reference!$D$27,0)&lt;4,0.875,0.9375)))))+HLOOKUP($B72,$C$59:$Q$60,2,FALSE)*Reference!$C$28*(1-IF(ROUNDDOWN((N$59-$B72)/Reference!$D$28,0)&lt;1,0,IF(ROUNDDOWN((N$59-$B72)/Reference!$D$28,0)&lt;2,0.5,IF(ROUNDDOWN((N$59-$B72)/Reference!$D$28,0)&lt;3,0.75,IF(ROUNDDOWN((N$59-$B72)/Reference!$D$28,0)&lt;4,0.875,0.9375)))))</f>
        <v>0.15433375474924435</v>
      </c>
      <c r="O72" s="135">
        <f>HLOOKUP($B72,$C$59:$Q$60,2,FALSE)*Reference!$C$23*(1-IF(ROUNDDOWN((O$59-$B72)/Reference!$D$23,0)&lt;1,0,IF(ROUNDDOWN((O$59-$B72)/Reference!$D$23,0)&lt;2,0.5,IF(ROUNDDOWN((O$59-$B72)/Reference!$D$23,0)&lt;3,0.75,IF(ROUNDDOWN((O$59-$B72)/Reference!$D$23,0)&lt;4,0.875,0.9375)))))+HLOOKUP($B72,$C$59:$Q$60,2,FALSE)*Reference!$C$24*(1-IF(ROUNDDOWN((O$59-$B72)/Reference!$D$24,0)&lt;1,0,IF(ROUNDDOWN((O$59-$B72)/Reference!$D$24,0)&lt;2,0.5,IF(ROUNDDOWN((O$59-$B72)/Reference!$D$24,0)&lt;3,0.75,IF(ROUNDDOWN((O$59-$B72)/Reference!$D$24,0)&lt;4,0.875,0.9375)))))+HLOOKUP($B72,$C$59:$Q$60,2,FALSE)*Reference!$C$25*(1-IF(ROUNDDOWN((O$59-$B72)/Reference!$D$25,0)&lt;1,0,IF(ROUNDDOWN((O$59-$B72)/Reference!$D$25,0)&lt;2,0.5,IF(ROUNDDOWN((O$59-$B72)/Reference!$D$25,0)&lt;3,0.75,IF(ROUNDDOWN((O$59-$B72)/Reference!$D$25,0)&lt;4,0.875,0.9375)))))+HLOOKUP($B72,$C$59:$Q$60,2,FALSE)*Reference!$C$26*(1-IF(ROUNDDOWN((O$59-$B72)/Reference!$D$26,0)&lt;1,0,IF(ROUNDDOWN((O$59-$B72)/Reference!$D$26,0)&lt;2,0.5,IF(ROUNDDOWN((O$59-$B72)/Reference!$D$26,0)&lt;3,0.75,IF(ROUNDDOWN((O$59-$B72)/Reference!$D$26,0)&lt;4,0.875,0.9375)))))+HLOOKUP($B72,$C$59:$Q$60,2,FALSE)*Reference!$C$27*(1-IF(ROUNDDOWN((O$59-$B72)/Reference!$D$27,0)&lt;1,0,IF(ROUNDDOWN((O$59-$B72)/Reference!$D$27,0)&lt;2,0.5,IF(ROUNDDOWN((O$59-$B72)/Reference!$D$27,0)&lt;3,0.75,IF(ROUNDDOWN((O$59-$B72)/Reference!$D$27,0)&lt;4,0.875,0.9375)))))+HLOOKUP($B72,$C$59:$Q$60,2,FALSE)*Reference!$C$28*(1-IF(ROUNDDOWN((O$59-$B72)/Reference!$D$28,0)&lt;1,0,IF(ROUNDDOWN((O$59-$B72)/Reference!$D$28,0)&lt;2,0.5,IF(ROUNDDOWN((O$59-$B72)/Reference!$D$28,0)&lt;3,0.75,IF(ROUNDDOWN((O$59-$B72)/Reference!$D$28,0)&lt;4,0.875,0.9375)))))</f>
        <v>0.14769740329502687</v>
      </c>
      <c r="P72" s="135">
        <f>HLOOKUP($B72,$C$59:$Q$60,2,FALSE)*Reference!$C$23*(1-IF(ROUNDDOWN((P$59-$B72)/Reference!$D$23,0)&lt;1,0,IF(ROUNDDOWN((P$59-$B72)/Reference!$D$23,0)&lt;2,0.5,IF(ROUNDDOWN((P$59-$B72)/Reference!$D$23,0)&lt;3,0.75,IF(ROUNDDOWN((P$59-$B72)/Reference!$D$23,0)&lt;4,0.875,0.9375)))))+HLOOKUP($B72,$C$59:$Q$60,2,FALSE)*Reference!$C$24*(1-IF(ROUNDDOWN((P$59-$B72)/Reference!$D$24,0)&lt;1,0,IF(ROUNDDOWN((P$59-$B72)/Reference!$D$24,0)&lt;2,0.5,IF(ROUNDDOWN((P$59-$B72)/Reference!$D$24,0)&lt;3,0.75,IF(ROUNDDOWN((P$59-$B72)/Reference!$D$24,0)&lt;4,0.875,0.9375)))))+HLOOKUP($B72,$C$59:$Q$60,2,FALSE)*Reference!$C$25*(1-IF(ROUNDDOWN((P$59-$B72)/Reference!$D$25,0)&lt;1,0,IF(ROUNDDOWN((P$59-$B72)/Reference!$D$25,0)&lt;2,0.5,IF(ROUNDDOWN((P$59-$B72)/Reference!$D$25,0)&lt;3,0.75,IF(ROUNDDOWN((P$59-$B72)/Reference!$D$25,0)&lt;4,0.875,0.9375)))))+HLOOKUP($B72,$C$59:$Q$60,2,FALSE)*Reference!$C$26*(1-IF(ROUNDDOWN((P$59-$B72)/Reference!$D$26,0)&lt;1,0,IF(ROUNDDOWN((P$59-$B72)/Reference!$D$26,0)&lt;2,0.5,IF(ROUNDDOWN((P$59-$B72)/Reference!$D$26,0)&lt;3,0.75,IF(ROUNDDOWN((P$59-$B72)/Reference!$D$26,0)&lt;4,0.875,0.9375)))))+HLOOKUP($B72,$C$59:$Q$60,2,FALSE)*Reference!$C$27*(1-IF(ROUNDDOWN((P$59-$B72)/Reference!$D$27,0)&lt;1,0,IF(ROUNDDOWN((P$59-$B72)/Reference!$D$27,0)&lt;2,0.5,IF(ROUNDDOWN((P$59-$B72)/Reference!$D$27,0)&lt;3,0.75,IF(ROUNDDOWN((P$59-$B72)/Reference!$D$27,0)&lt;4,0.875,0.9375)))))+HLOOKUP($B72,$C$59:$Q$60,2,FALSE)*Reference!$C$28*(1-IF(ROUNDDOWN((P$59-$B72)/Reference!$D$28,0)&lt;1,0,IF(ROUNDDOWN((P$59-$B72)/Reference!$D$28,0)&lt;2,0.5,IF(ROUNDDOWN((P$59-$B72)/Reference!$D$28,0)&lt;3,0.75,IF(ROUNDDOWN((P$59-$B72)/Reference!$D$28,0)&lt;4,0.875,0.9375)))))</f>
        <v>0.14769740329502687</v>
      </c>
      <c r="Q72" s="135">
        <f>HLOOKUP($B72,$C$59:$Q$60,2,FALSE)*Reference!$C$23*(1-IF(ROUNDDOWN((Q$59-$B72)/Reference!$D$23,0)&lt;1,0,IF(ROUNDDOWN((Q$59-$B72)/Reference!$D$23,0)&lt;2,0.5,IF(ROUNDDOWN((Q$59-$B72)/Reference!$D$23,0)&lt;3,0.75,IF(ROUNDDOWN((Q$59-$B72)/Reference!$D$23,0)&lt;4,0.875,0.9375)))))+HLOOKUP($B72,$C$59:$Q$60,2,FALSE)*Reference!$C$24*(1-IF(ROUNDDOWN((Q$59-$B72)/Reference!$D$24,0)&lt;1,0,IF(ROUNDDOWN((Q$59-$B72)/Reference!$D$24,0)&lt;2,0.5,IF(ROUNDDOWN((Q$59-$B72)/Reference!$D$24,0)&lt;3,0.75,IF(ROUNDDOWN((Q$59-$B72)/Reference!$D$24,0)&lt;4,0.875,0.9375)))))+HLOOKUP($B72,$C$59:$Q$60,2,FALSE)*Reference!$C$25*(1-IF(ROUNDDOWN((Q$59-$B72)/Reference!$D$25,0)&lt;1,0,IF(ROUNDDOWN((Q$59-$B72)/Reference!$D$25,0)&lt;2,0.5,IF(ROUNDDOWN((Q$59-$B72)/Reference!$D$25,0)&lt;3,0.75,IF(ROUNDDOWN((Q$59-$B72)/Reference!$D$25,0)&lt;4,0.875,0.9375)))))+HLOOKUP($B72,$C$59:$Q$60,2,FALSE)*Reference!$C$26*(1-IF(ROUNDDOWN((Q$59-$B72)/Reference!$D$26,0)&lt;1,0,IF(ROUNDDOWN((Q$59-$B72)/Reference!$D$26,0)&lt;2,0.5,IF(ROUNDDOWN((Q$59-$B72)/Reference!$D$26,0)&lt;3,0.75,IF(ROUNDDOWN((Q$59-$B72)/Reference!$D$26,0)&lt;4,0.875,0.9375)))))+HLOOKUP($B72,$C$59:$Q$60,2,FALSE)*Reference!$C$27*(1-IF(ROUNDDOWN((Q$59-$B72)/Reference!$D$27,0)&lt;1,0,IF(ROUNDDOWN((Q$59-$B72)/Reference!$D$27,0)&lt;2,0.5,IF(ROUNDDOWN((Q$59-$B72)/Reference!$D$27,0)&lt;3,0.75,IF(ROUNDDOWN((Q$59-$B72)/Reference!$D$27,0)&lt;4,0.875,0.9375)))))+HLOOKUP($B72,$C$59:$Q$60,2,FALSE)*Reference!$C$28*(1-IF(ROUNDDOWN((Q$59-$B72)/Reference!$D$28,0)&lt;1,0,IF(ROUNDDOWN((Q$59-$B72)/Reference!$D$28,0)&lt;2,0.5,IF(ROUNDDOWN((Q$59-$B72)/Reference!$D$28,0)&lt;3,0.75,IF(ROUNDDOWN((Q$59-$B72)/Reference!$D$28,0)&lt;4,0.875,0.9375)))))</f>
        <v>0.14769740329502687</v>
      </c>
      <c r="R72" s="50"/>
    </row>
    <row r="73" spans="2:18" x14ac:dyDescent="0.3">
      <c r="B73" s="237">
        <f t="shared" si="10"/>
        <v>2025</v>
      </c>
      <c r="C73" s="135"/>
      <c r="D73" s="135"/>
      <c r="E73" s="135"/>
      <c r="F73" s="135"/>
      <c r="G73" s="135"/>
      <c r="H73" s="135"/>
      <c r="I73" s="135"/>
      <c r="J73" s="135"/>
      <c r="K73" s="135"/>
      <c r="L73" s="135"/>
      <c r="M73" s="135">
        <f>HLOOKUP($B73,$C$59:$Q$60,2,FALSE)*Reference!$C$23*(1-IF(ROUNDDOWN((M$59-$B73)/Reference!$D$23,0)&lt;1,0,IF(ROUNDDOWN((M$59-$B73)/Reference!$D$23,0)&lt;2,0.5,IF(ROUNDDOWN((M$59-$B73)/Reference!$D$23,0)&lt;3,0.75,IF(ROUNDDOWN((M$59-$B73)/Reference!$D$23,0)&lt;4,0.875,0.9375)))))+HLOOKUP($B73,$C$59:$Q$60,2,FALSE)*Reference!$C$24*(1-IF(ROUNDDOWN((M$59-$B73)/Reference!$D$24,0)&lt;1,0,IF(ROUNDDOWN((M$59-$B73)/Reference!$D$24,0)&lt;2,0.5,IF(ROUNDDOWN((M$59-$B73)/Reference!$D$24,0)&lt;3,0.75,IF(ROUNDDOWN((M$59-$B73)/Reference!$D$24,0)&lt;4,0.875,0.9375)))))+HLOOKUP($B73,$C$59:$Q$60,2,FALSE)*Reference!$C$25*(1-IF(ROUNDDOWN((M$59-$B73)/Reference!$D$25,0)&lt;1,0,IF(ROUNDDOWN((M$59-$B73)/Reference!$D$25,0)&lt;2,0.5,IF(ROUNDDOWN((M$59-$B73)/Reference!$D$25,0)&lt;3,0.75,IF(ROUNDDOWN((M$59-$B73)/Reference!$D$25,0)&lt;4,0.875,0.9375)))))+HLOOKUP($B73,$C$59:$Q$60,2,FALSE)*Reference!$C$26*(1-IF(ROUNDDOWN((M$59-$B73)/Reference!$D$26,0)&lt;1,0,IF(ROUNDDOWN((M$59-$B73)/Reference!$D$26,0)&lt;2,0.5,IF(ROUNDDOWN((M$59-$B73)/Reference!$D$26,0)&lt;3,0.75,IF(ROUNDDOWN((M$59-$B73)/Reference!$D$26,0)&lt;4,0.875,0.9375)))))+HLOOKUP($B73,$C$59:$Q$60,2,FALSE)*Reference!$C$27*(1-IF(ROUNDDOWN((M$59-$B73)/Reference!$D$27,0)&lt;1,0,IF(ROUNDDOWN((M$59-$B73)/Reference!$D$27,0)&lt;2,0.5,IF(ROUNDDOWN((M$59-$B73)/Reference!$D$27,0)&lt;3,0.75,IF(ROUNDDOWN((M$59-$B73)/Reference!$D$27,0)&lt;4,0.875,0.9375)))))+HLOOKUP($B73,$C$59:$Q$60,2,FALSE)*Reference!$C$28*(1-IF(ROUNDDOWN((M$59-$B73)/Reference!$D$28,0)&lt;1,0,IF(ROUNDDOWN((M$59-$B73)/Reference!$D$28,0)&lt;2,0.5,IF(ROUNDDOWN((M$59-$B73)/Reference!$D$28,0)&lt;3,0.75,IF(ROUNDDOWN((M$59-$B73)/Reference!$D$28,0)&lt;4,0.875,0.9375)))))</f>
        <v>0.15433375474924435</v>
      </c>
      <c r="N73" s="135">
        <f>HLOOKUP($B73,$C$59:$Q$60,2,FALSE)*Reference!$C$23*(1-IF(ROUNDDOWN((N$59-$B73)/Reference!$D$23,0)&lt;1,0,IF(ROUNDDOWN((N$59-$B73)/Reference!$D$23,0)&lt;2,0.5,IF(ROUNDDOWN((N$59-$B73)/Reference!$D$23,0)&lt;3,0.75,IF(ROUNDDOWN((N$59-$B73)/Reference!$D$23,0)&lt;4,0.875,0.9375)))))+HLOOKUP($B73,$C$59:$Q$60,2,FALSE)*Reference!$C$24*(1-IF(ROUNDDOWN((N$59-$B73)/Reference!$D$24,0)&lt;1,0,IF(ROUNDDOWN((N$59-$B73)/Reference!$D$24,0)&lt;2,0.5,IF(ROUNDDOWN((N$59-$B73)/Reference!$D$24,0)&lt;3,0.75,IF(ROUNDDOWN((N$59-$B73)/Reference!$D$24,0)&lt;4,0.875,0.9375)))))+HLOOKUP($B73,$C$59:$Q$60,2,FALSE)*Reference!$C$25*(1-IF(ROUNDDOWN((N$59-$B73)/Reference!$D$25,0)&lt;1,0,IF(ROUNDDOWN((N$59-$B73)/Reference!$D$25,0)&lt;2,0.5,IF(ROUNDDOWN((N$59-$B73)/Reference!$D$25,0)&lt;3,0.75,IF(ROUNDDOWN((N$59-$B73)/Reference!$D$25,0)&lt;4,0.875,0.9375)))))+HLOOKUP($B73,$C$59:$Q$60,2,FALSE)*Reference!$C$26*(1-IF(ROUNDDOWN((N$59-$B73)/Reference!$D$26,0)&lt;1,0,IF(ROUNDDOWN((N$59-$B73)/Reference!$D$26,0)&lt;2,0.5,IF(ROUNDDOWN((N$59-$B73)/Reference!$D$26,0)&lt;3,0.75,IF(ROUNDDOWN((N$59-$B73)/Reference!$D$26,0)&lt;4,0.875,0.9375)))))+HLOOKUP($B73,$C$59:$Q$60,2,FALSE)*Reference!$C$27*(1-IF(ROUNDDOWN((N$59-$B73)/Reference!$D$27,0)&lt;1,0,IF(ROUNDDOWN((N$59-$B73)/Reference!$D$27,0)&lt;2,0.5,IF(ROUNDDOWN((N$59-$B73)/Reference!$D$27,0)&lt;3,0.75,IF(ROUNDDOWN((N$59-$B73)/Reference!$D$27,0)&lt;4,0.875,0.9375)))))+HLOOKUP($B73,$C$59:$Q$60,2,FALSE)*Reference!$C$28*(1-IF(ROUNDDOWN((N$59-$B73)/Reference!$D$28,0)&lt;1,0,IF(ROUNDDOWN((N$59-$B73)/Reference!$D$28,0)&lt;2,0.5,IF(ROUNDDOWN((N$59-$B73)/Reference!$D$28,0)&lt;3,0.75,IF(ROUNDDOWN((N$59-$B73)/Reference!$D$28,0)&lt;4,0.875,0.9375)))))</f>
        <v>0.15433375474924435</v>
      </c>
      <c r="O73" s="135">
        <f>HLOOKUP($B73,$C$59:$Q$60,2,FALSE)*Reference!$C$23*(1-IF(ROUNDDOWN((O$59-$B73)/Reference!$D$23,0)&lt;1,0,IF(ROUNDDOWN((O$59-$B73)/Reference!$D$23,0)&lt;2,0.5,IF(ROUNDDOWN((O$59-$B73)/Reference!$D$23,0)&lt;3,0.75,IF(ROUNDDOWN((O$59-$B73)/Reference!$D$23,0)&lt;4,0.875,0.9375)))))+HLOOKUP($B73,$C$59:$Q$60,2,FALSE)*Reference!$C$24*(1-IF(ROUNDDOWN((O$59-$B73)/Reference!$D$24,0)&lt;1,0,IF(ROUNDDOWN((O$59-$B73)/Reference!$D$24,0)&lt;2,0.5,IF(ROUNDDOWN((O$59-$B73)/Reference!$D$24,0)&lt;3,0.75,IF(ROUNDDOWN((O$59-$B73)/Reference!$D$24,0)&lt;4,0.875,0.9375)))))+HLOOKUP($B73,$C$59:$Q$60,2,FALSE)*Reference!$C$25*(1-IF(ROUNDDOWN((O$59-$B73)/Reference!$D$25,0)&lt;1,0,IF(ROUNDDOWN((O$59-$B73)/Reference!$D$25,0)&lt;2,0.5,IF(ROUNDDOWN((O$59-$B73)/Reference!$D$25,0)&lt;3,0.75,IF(ROUNDDOWN((O$59-$B73)/Reference!$D$25,0)&lt;4,0.875,0.9375)))))+HLOOKUP($B73,$C$59:$Q$60,2,FALSE)*Reference!$C$26*(1-IF(ROUNDDOWN((O$59-$B73)/Reference!$D$26,0)&lt;1,0,IF(ROUNDDOWN((O$59-$B73)/Reference!$D$26,0)&lt;2,0.5,IF(ROUNDDOWN((O$59-$B73)/Reference!$D$26,0)&lt;3,0.75,IF(ROUNDDOWN((O$59-$B73)/Reference!$D$26,0)&lt;4,0.875,0.9375)))))+HLOOKUP($B73,$C$59:$Q$60,2,FALSE)*Reference!$C$27*(1-IF(ROUNDDOWN((O$59-$B73)/Reference!$D$27,0)&lt;1,0,IF(ROUNDDOWN((O$59-$B73)/Reference!$D$27,0)&lt;2,0.5,IF(ROUNDDOWN((O$59-$B73)/Reference!$D$27,0)&lt;3,0.75,IF(ROUNDDOWN((O$59-$B73)/Reference!$D$27,0)&lt;4,0.875,0.9375)))))+HLOOKUP($B73,$C$59:$Q$60,2,FALSE)*Reference!$C$28*(1-IF(ROUNDDOWN((O$59-$B73)/Reference!$D$28,0)&lt;1,0,IF(ROUNDDOWN((O$59-$B73)/Reference!$D$28,0)&lt;2,0.5,IF(ROUNDDOWN((O$59-$B73)/Reference!$D$28,0)&lt;3,0.75,IF(ROUNDDOWN((O$59-$B73)/Reference!$D$28,0)&lt;4,0.875,0.9375)))))</f>
        <v>0.15433375474924435</v>
      </c>
      <c r="P73" s="135">
        <f>HLOOKUP($B73,$C$59:$Q$60,2,FALSE)*Reference!$C$23*(1-IF(ROUNDDOWN((P$59-$B73)/Reference!$D$23,0)&lt;1,0,IF(ROUNDDOWN((P$59-$B73)/Reference!$D$23,0)&lt;2,0.5,IF(ROUNDDOWN((P$59-$B73)/Reference!$D$23,0)&lt;3,0.75,IF(ROUNDDOWN((P$59-$B73)/Reference!$D$23,0)&lt;4,0.875,0.9375)))))+HLOOKUP($B73,$C$59:$Q$60,2,FALSE)*Reference!$C$24*(1-IF(ROUNDDOWN((P$59-$B73)/Reference!$D$24,0)&lt;1,0,IF(ROUNDDOWN((P$59-$B73)/Reference!$D$24,0)&lt;2,0.5,IF(ROUNDDOWN((P$59-$B73)/Reference!$D$24,0)&lt;3,0.75,IF(ROUNDDOWN((P$59-$B73)/Reference!$D$24,0)&lt;4,0.875,0.9375)))))+HLOOKUP($B73,$C$59:$Q$60,2,FALSE)*Reference!$C$25*(1-IF(ROUNDDOWN((P$59-$B73)/Reference!$D$25,0)&lt;1,0,IF(ROUNDDOWN((P$59-$B73)/Reference!$D$25,0)&lt;2,0.5,IF(ROUNDDOWN((P$59-$B73)/Reference!$D$25,0)&lt;3,0.75,IF(ROUNDDOWN((P$59-$B73)/Reference!$D$25,0)&lt;4,0.875,0.9375)))))+HLOOKUP($B73,$C$59:$Q$60,2,FALSE)*Reference!$C$26*(1-IF(ROUNDDOWN((P$59-$B73)/Reference!$D$26,0)&lt;1,0,IF(ROUNDDOWN((P$59-$B73)/Reference!$D$26,0)&lt;2,0.5,IF(ROUNDDOWN((P$59-$B73)/Reference!$D$26,0)&lt;3,0.75,IF(ROUNDDOWN((P$59-$B73)/Reference!$D$26,0)&lt;4,0.875,0.9375)))))+HLOOKUP($B73,$C$59:$Q$60,2,FALSE)*Reference!$C$27*(1-IF(ROUNDDOWN((P$59-$B73)/Reference!$D$27,0)&lt;1,0,IF(ROUNDDOWN((P$59-$B73)/Reference!$D$27,0)&lt;2,0.5,IF(ROUNDDOWN((P$59-$B73)/Reference!$D$27,0)&lt;3,0.75,IF(ROUNDDOWN((P$59-$B73)/Reference!$D$27,0)&lt;4,0.875,0.9375)))))+HLOOKUP($B73,$C$59:$Q$60,2,FALSE)*Reference!$C$28*(1-IF(ROUNDDOWN((P$59-$B73)/Reference!$D$28,0)&lt;1,0,IF(ROUNDDOWN((P$59-$B73)/Reference!$D$28,0)&lt;2,0.5,IF(ROUNDDOWN((P$59-$B73)/Reference!$D$28,0)&lt;3,0.75,IF(ROUNDDOWN((P$59-$B73)/Reference!$D$28,0)&lt;4,0.875,0.9375)))))</f>
        <v>0.14769740329502687</v>
      </c>
      <c r="Q73" s="135">
        <f>HLOOKUP($B73,$C$59:$Q$60,2,FALSE)*Reference!$C$23*(1-IF(ROUNDDOWN((Q$59-$B73)/Reference!$D$23,0)&lt;1,0,IF(ROUNDDOWN((Q$59-$B73)/Reference!$D$23,0)&lt;2,0.5,IF(ROUNDDOWN((Q$59-$B73)/Reference!$D$23,0)&lt;3,0.75,IF(ROUNDDOWN((Q$59-$B73)/Reference!$D$23,0)&lt;4,0.875,0.9375)))))+HLOOKUP($B73,$C$59:$Q$60,2,FALSE)*Reference!$C$24*(1-IF(ROUNDDOWN((Q$59-$B73)/Reference!$D$24,0)&lt;1,0,IF(ROUNDDOWN((Q$59-$B73)/Reference!$D$24,0)&lt;2,0.5,IF(ROUNDDOWN((Q$59-$B73)/Reference!$D$24,0)&lt;3,0.75,IF(ROUNDDOWN((Q$59-$B73)/Reference!$D$24,0)&lt;4,0.875,0.9375)))))+HLOOKUP($B73,$C$59:$Q$60,2,FALSE)*Reference!$C$25*(1-IF(ROUNDDOWN((Q$59-$B73)/Reference!$D$25,0)&lt;1,0,IF(ROUNDDOWN((Q$59-$B73)/Reference!$D$25,0)&lt;2,0.5,IF(ROUNDDOWN((Q$59-$B73)/Reference!$D$25,0)&lt;3,0.75,IF(ROUNDDOWN((Q$59-$B73)/Reference!$D$25,0)&lt;4,0.875,0.9375)))))+HLOOKUP($B73,$C$59:$Q$60,2,FALSE)*Reference!$C$26*(1-IF(ROUNDDOWN((Q$59-$B73)/Reference!$D$26,0)&lt;1,0,IF(ROUNDDOWN((Q$59-$B73)/Reference!$D$26,0)&lt;2,0.5,IF(ROUNDDOWN((Q$59-$B73)/Reference!$D$26,0)&lt;3,0.75,IF(ROUNDDOWN((Q$59-$B73)/Reference!$D$26,0)&lt;4,0.875,0.9375)))))+HLOOKUP($B73,$C$59:$Q$60,2,FALSE)*Reference!$C$27*(1-IF(ROUNDDOWN((Q$59-$B73)/Reference!$D$27,0)&lt;1,0,IF(ROUNDDOWN((Q$59-$B73)/Reference!$D$27,0)&lt;2,0.5,IF(ROUNDDOWN((Q$59-$B73)/Reference!$D$27,0)&lt;3,0.75,IF(ROUNDDOWN((Q$59-$B73)/Reference!$D$27,0)&lt;4,0.875,0.9375)))))+HLOOKUP($B73,$C$59:$Q$60,2,FALSE)*Reference!$C$28*(1-IF(ROUNDDOWN((Q$59-$B73)/Reference!$D$28,0)&lt;1,0,IF(ROUNDDOWN((Q$59-$B73)/Reference!$D$28,0)&lt;2,0.5,IF(ROUNDDOWN((Q$59-$B73)/Reference!$D$28,0)&lt;3,0.75,IF(ROUNDDOWN((Q$59-$B73)/Reference!$D$28,0)&lt;4,0.875,0.9375)))))</f>
        <v>0.14769740329502687</v>
      </c>
      <c r="R73" s="50"/>
    </row>
    <row r="74" spans="2:18" x14ac:dyDescent="0.3">
      <c r="B74" s="237">
        <f t="shared" si="10"/>
        <v>2026</v>
      </c>
      <c r="C74" s="135"/>
      <c r="D74" s="135"/>
      <c r="E74" s="135"/>
      <c r="F74" s="135"/>
      <c r="G74" s="135"/>
      <c r="H74" s="135"/>
      <c r="I74" s="135"/>
      <c r="J74" s="135"/>
      <c r="K74" s="135"/>
      <c r="L74" s="135"/>
      <c r="M74" s="135"/>
      <c r="N74" s="135">
        <f>HLOOKUP($B74,$C$59:$Q$60,2,FALSE)*Reference!$C$23*(1-IF(ROUNDDOWN((N$59-$B74)/Reference!$D$23,0)&lt;1,0,IF(ROUNDDOWN((N$59-$B74)/Reference!$D$23,0)&lt;2,0.5,IF(ROUNDDOWN((N$59-$B74)/Reference!$D$23,0)&lt;3,0.75,IF(ROUNDDOWN((N$59-$B74)/Reference!$D$23,0)&lt;4,0.875,0.9375)))))+HLOOKUP($B74,$C$59:$Q$60,2,FALSE)*Reference!$C$24*(1-IF(ROUNDDOWN((N$59-$B74)/Reference!$D$24,0)&lt;1,0,IF(ROUNDDOWN((N$59-$B74)/Reference!$D$24,0)&lt;2,0.5,IF(ROUNDDOWN((N$59-$B74)/Reference!$D$24,0)&lt;3,0.75,IF(ROUNDDOWN((N$59-$B74)/Reference!$D$24,0)&lt;4,0.875,0.9375)))))+HLOOKUP($B74,$C$59:$Q$60,2,FALSE)*Reference!$C$25*(1-IF(ROUNDDOWN((N$59-$B74)/Reference!$D$25,0)&lt;1,0,IF(ROUNDDOWN((N$59-$B74)/Reference!$D$25,0)&lt;2,0.5,IF(ROUNDDOWN((N$59-$B74)/Reference!$D$25,0)&lt;3,0.75,IF(ROUNDDOWN((N$59-$B74)/Reference!$D$25,0)&lt;4,0.875,0.9375)))))+HLOOKUP($B74,$C$59:$Q$60,2,FALSE)*Reference!$C$26*(1-IF(ROUNDDOWN((N$59-$B74)/Reference!$D$26,0)&lt;1,0,IF(ROUNDDOWN((N$59-$B74)/Reference!$D$26,0)&lt;2,0.5,IF(ROUNDDOWN((N$59-$B74)/Reference!$D$26,0)&lt;3,0.75,IF(ROUNDDOWN((N$59-$B74)/Reference!$D$26,0)&lt;4,0.875,0.9375)))))+HLOOKUP($B74,$C$59:$Q$60,2,FALSE)*Reference!$C$27*(1-IF(ROUNDDOWN((N$59-$B74)/Reference!$D$27,0)&lt;1,0,IF(ROUNDDOWN((N$59-$B74)/Reference!$D$27,0)&lt;2,0.5,IF(ROUNDDOWN((N$59-$B74)/Reference!$D$27,0)&lt;3,0.75,IF(ROUNDDOWN((N$59-$B74)/Reference!$D$27,0)&lt;4,0.875,0.9375)))))+HLOOKUP($B74,$C$59:$Q$60,2,FALSE)*Reference!$C$28*(1-IF(ROUNDDOWN((N$59-$B74)/Reference!$D$28,0)&lt;1,0,IF(ROUNDDOWN((N$59-$B74)/Reference!$D$28,0)&lt;2,0.5,IF(ROUNDDOWN((N$59-$B74)/Reference!$D$28,0)&lt;3,0.75,IF(ROUNDDOWN((N$59-$B74)/Reference!$D$28,0)&lt;4,0.875,0.9375)))))</f>
        <v>0.15433375474924435</v>
      </c>
      <c r="O74" s="135">
        <f>HLOOKUP($B74,$C$59:$Q$60,2,FALSE)*Reference!$C$23*(1-IF(ROUNDDOWN((O$59-$B74)/Reference!$D$23,0)&lt;1,0,IF(ROUNDDOWN((O$59-$B74)/Reference!$D$23,0)&lt;2,0.5,IF(ROUNDDOWN((O$59-$B74)/Reference!$D$23,0)&lt;3,0.75,IF(ROUNDDOWN((O$59-$B74)/Reference!$D$23,0)&lt;4,0.875,0.9375)))))+HLOOKUP($B74,$C$59:$Q$60,2,FALSE)*Reference!$C$24*(1-IF(ROUNDDOWN((O$59-$B74)/Reference!$D$24,0)&lt;1,0,IF(ROUNDDOWN((O$59-$B74)/Reference!$D$24,0)&lt;2,0.5,IF(ROUNDDOWN((O$59-$B74)/Reference!$D$24,0)&lt;3,0.75,IF(ROUNDDOWN((O$59-$B74)/Reference!$D$24,0)&lt;4,0.875,0.9375)))))+HLOOKUP($B74,$C$59:$Q$60,2,FALSE)*Reference!$C$25*(1-IF(ROUNDDOWN((O$59-$B74)/Reference!$D$25,0)&lt;1,0,IF(ROUNDDOWN((O$59-$B74)/Reference!$D$25,0)&lt;2,0.5,IF(ROUNDDOWN((O$59-$B74)/Reference!$D$25,0)&lt;3,0.75,IF(ROUNDDOWN((O$59-$B74)/Reference!$D$25,0)&lt;4,0.875,0.9375)))))+HLOOKUP($B74,$C$59:$Q$60,2,FALSE)*Reference!$C$26*(1-IF(ROUNDDOWN((O$59-$B74)/Reference!$D$26,0)&lt;1,0,IF(ROUNDDOWN((O$59-$B74)/Reference!$D$26,0)&lt;2,0.5,IF(ROUNDDOWN((O$59-$B74)/Reference!$D$26,0)&lt;3,0.75,IF(ROUNDDOWN((O$59-$B74)/Reference!$D$26,0)&lt;4,0.875,0.9375)))))+HLOOKUP($B74,$C$59:$Q$60,2,FALSE)*Reference!$C$27*(1-IF(ROUNDDOWN((O$59-$B74)/Reference!$D$27,0)&lt;1,0,IF(ROUNDDOWN((O$59-$B74)/Reference!$D$27,0)&lt;2,0.5,IF(ROUNDDOWN((O$59-$B74)/Reference!$D$27,0)&lt;3,0.75,IF(ROUNDDOWN((O$59-$B74)/Reference!$D$27,0)&lt;4,0.875,0.9375)))))+HLOOKUP($B74,$C$59:$Q$60,2,FALSE)*Reference!$C$28*(1-IF(ROUNDDOWN((O$59-$B74)/Reference!$D$28,0)&lt;1,0,IF(ROUNDDOWN((O$59-$B74)/Reference!$D$28,0)&lt;2,0.5,IF(ROUNDDOWN((O$59-$B74)/Reference!$D$28,0)&lt;3,0.75,IF(ROUNDDOWN((O$59-$B74)/Reference!$D$28,0)&lt;4,0.875,0.9375)))))</f>
        <v>0.15433375474924435</v>
      </c>
      <c r="P74" s="135">
        <f>HLOOKUP($B74,$C$59:$Q$60,2,FALSE)*Reference!$C$23*(1-IF(ROUNDDOWN((P$59-$B74)/Reference!$D$23,0)&lt;1,0,IF(ROUNDDOWN((P$59-$B74)/Reference!$D$23,0)&lt;2,0.5,IF(ROUNDDOWN((P$59-$B74)/Reference!$D$23,0)&lt;3,0.75,IF(ROUNDDOWN((P$59-$B74)/Reference!$D$23,0)&lt;4,0.875,0.9375)))))+HLOOKUP($B74,$C$59:$Q$60,2,FALSE)*Reference!$C$24*(1-IF(ROUNDDOWN((P$59-$B74)/Reference!$D$24,0)&lt;1,0,IF(ROUNDDOWN((P$59-$B74)/Reference!$D$24,0)&lt;2,0.5,IF(ROUNDDOWN((P$59-$B74)/Reference!$D$24,0)&lt;3,0.75,IF(ROUNDDOWN((P$59-$B74)/Reference!$D$24,0)&lt;4,0.875,0.9375)))))+HLOOKUP($B74,$C$59:$Q$60,2,FALSE)*Reference!$C$25*(1-IF(ROUNDDOWN((P$59-$B74)/Reference!$D$25,0)&lt;1,0,IF(ROUNDDOWN((P$59-$B74)/Reference!$D$25,0)&lt;2,0.5,IF(ROUNDDOWN((P$59-$B74)/Reference!$D$25,0)&lt;3,0.75,IF(ROUNDDOWN((P$59-$B74)/Reference!$D$25,0)&lt;4,0.875,0.9375)))))+HLOOKUP($B74,$C$59:$Q$60,2,FALSE)*Reference!$C$26*(1-IF(ROUNDDOWN((P$59-$B74)/Reference!$D$26,0)&lt;1,0,IF(ROUNDDOWN((P$59-$B74)/Reference!$D$26,0)&lt;2,0.5,IF(ROUNDDOWN((P$59-$B74)/Reference!$D$26,0)&lt;3,0.75,IF(ROUNDDOWN((P$59-$B74)/Reference!$D$26,0)&lt;4,0.875,0.9375)))))+HLOOKUP($B74,$C$59:$Q$60,2,FALSE)*Reference!$C$27*(1-IF(ROUNDDOWN((P$59-$B74)/Reference!$D$27,0)&lt;1,0,IF(ROUNDDOWN((P$59-$B74)/Reference!$D$27,0)&lt;2,0.5,IF(ROUNDDOWN((P$59-$B74)/Reference!$D$27,0)&lt;3,0.75,IF(ROUNDDOWN((P$59-$B74)/Reference!$D$27,0)&lt;4,0.875,0.9375)))))+HLOOKUP($B74,$C$59:$Q$60,2,FALSE)*Reference!$C$28*(1-IF(ROUNDDOWN((P$59-$B74)/Reference!$D$28,0)&lt;1,0,IF(ROUNDDOWN((P$59-$B74)/Reference!$D$28,0)&lt;2,0.5,IF(ROUNDDOWN((P$59-$B74)/Reference!$D$28,0)&lt;3,0.75,IF(ROUNDDOWN((P$59-$B74)/Reference!$D$28,0)&lt;4,0.875,0.9375)))))</f>
        <v>0.15433375474924435</v>
      </c>
      <c r="Q74" s="135">
        <f>HLOOKUP($B74,$C$59:$Q$60,2,FALSE)*Reference!$C$23*(1-IF(ROUNDDOWN((Q$59-$B74)/Reference!$D$23,0)&lt;1,0,IF(ROUNDDOWN((Q$59-$B74)/Reference!$D$23,0)&lt;2,0.5,IF(ROUNDDOWN((Q$59-$B74)/Reference!$D$23,0)&lt;3,0.75,IF(ROUNDDOWN((Q$59-$B74)/Reference!$D$23,0)&lt;4,0.875,0.9375)))))+HLOOKUP($B74,$C$59:$Q$60,2,FALSE)*Reference!$C$24*(1-IF(ROUNDDOWN((Q$59-$B74)/Reference!$D$24,0)&lt;1,0,IF(ROUNDDOWN((Q$59-$B74)/Reference!$D$24,0)&lt;2,0.5,IF(ROUNDDOWN((Q$59-$B74)/Reference!$D$24,0)&lt;3,0.75,IF(ROUNDDOWN((Q$59-$B74)/Reference!$D$24,0)&lt;4,0.875,0.9375)))))+HLOOKUP($B74,$C$59:$Q$60,2,FALSE)*Reference!$C$25*(1-IF(ROUNDDOWN((Q$59-$B74)/Reference!$D$25,0)&lt;1,0,IF(ROUNDDOWN((Q$59-$B74)/Reference!$D$25,0)&lt;2,0.5,IF(ROUNDDOWN((Q$59-$B74)/Reference!$D$25,0)&lt;3,0.75,IF(ROUNDDOWN((Q$59-$B74)/Reference!$D$25,0)&lt;4,0.875,0.9375)))))+HLOOKUP($B74,$C$59:$Q$60,2,FALSE)*Reference!$C$26*(1-IF(ROUNDDOWN((Q$59-$B74)/Reference!$D$26,0)&lt;1,0,IF(ROUNDDOWN((Q$59-$B74)/Reference!$D$26,0)&lt;2,0.5,IF(ROUNDDOWN((Q$59-$B74)/Reference!$D$26,0)&lt;3,0.75,IF(ROUNDDOWN((Q$59-$B74)/Reference!$D$26,0)&lt;4,0.875,0.9375)))))+HLOOKUP($B74,$C$59:$Q$60,2,FALSE)*Reference!$C$27*(1-IF(ROUNDDOWN((Q$59-$B74)/Reference!$D$27,0)&lt;1,0,IF(ROUNDDOWN((Q$59-$B74)/Reference!$D$27,0)&lt;2,0.5,IF(ROUNDDOWN((Q$59-$B74)/Reference!$D$27,0)&lt;3,0.75,IF(ROUNDDOWN((Q$59-$B74)/Reference!$D$27,0)&lt;4,0.875,0.9375)))))+HLOOKUP($B74,$C$59:$Q$60,2,FALSE)*Reference!$C$28*(1-IF(ROUNDDOWN((Q$59-$B74)/Reference!$D$28,0)&lt;1,0,IF(ROUNDDOWN((Q$59-$B74)/Reference!$D$28,0)&lt;2,0.5,IF(ROUNDDOWN((Q$59-$B74)/Reference!$D$28,0)&lt;3,0.75,IF(ROUNDDOWN((Q$59-$B74)/Reference!$D$28,0)&lt;4,0.875,0.9375)))))</f>
        <v>0.14769740329502687</v>
      </c>
      <c r="R74" s="50"/>
    </row>
    <row r="75" spans="2:18" x14ac:dyDescent="0.3">
      <c r="B75" s="237">
        <f t="shared" si="10"/>
        <v>2027</v>
      </c>
      <c r="C75" s="135"/>
      <c r="D75" s="135"/>
      <c r="E75" s="135"/>
      <c r="F75" s="135"/>
      <c r="G75" s="135"/>
      <c r="H75" s="135"/>
      <c r="I75" s="135"/>
      <c r="J75" s="135"/>
      <c r="K75" s="135"/>
      <c r="L75" s="135"/>
      <c r="M75" s="135"/>
      <c r="N75" s="135"/>
      <c r="O75" s="135">
        <f>HLOOKUP($B75,$C$59:$Q$60,2,FALSE)*Reference!$C$23*(1-IF(ROUNDDOWN((O$59-$B75)/Reference!$D$23,0)&lt;1,0,IF(ROUNDDOWN((O$59-$B75)/Reference!$D$23,0)&lt;2,0.5,IF(ROUNDDOWN((O$59-$B75)/Reference!$D$23,0)&lt;3,0.75,IF(ROUNDDOWN((O$59-$B75)/Reference!$D$23,0)&lt;4,0.875,0.9375)))))+HLOOKUP($B75,$C$59:$Q$60,2,FALSE)*Reference!$C$24*(1-IF(ROUNDDOWN((O$59-$B75)/Reference!$D$24,0)&lt;1,0,IF(ROUNDDOWN((O$59-$B75)/Reference!$D$24,0)&lt;2,0.5,IF(ROUNDDOWN((O$59-$B75)/Reference!$D$24,0)&lt;3,0.75,IF(ROUNDDOWN((O$59-$B75)/Reference!$D$24,0)&lt;4,0.875,0.9375)))))+HLOOKUP($B75,$C$59:$Q$60,2,FALSE)*Reference!$C$25*(1-IF(ROUNDDOWN((O$59-$B75)/Reference!$D$25,0)&lt;1,0,IF(ROUNDDOWN((O$59-$B75)/Reference!$D$25,0)&lt;2,0.5,IF(ROUNDDOWN((O$59-$B75)/Reference!$D$25,0)&lt;3,0.75,IF(ROUNDDOWN((O$59-$B75)/Reference!$D$25,0)&lt;4,0.875,0.9375)))))+HLOOKUP($B75,$C$59:$Q$60,2,FALSE)*Reference!$C$26*(1-IF(ROUNDDOWN((O$59-$B75)/Reference!$D$26,0)&lt;1,0,IF(ROUNDDOWN((O$59-$B75)/Reference!$D$26,0)&lt;2,0.5,IF(ROUNDDOWN((O$59-$B75)/Reference!$D$26,0)&lt;3,0.75,IF(ROUNDDOWN((O$59-$B75)/Reference!$D$26,0)&lt;4,0.875,0.9375)))))+HLOOKUP($B75,$C$59:$Q$60,2,FALSE)*Reference!$C$27*(1-IF(ROUNDDOWN((O$59-$B75)/Reference!$D$27,0)&lt;1,0,IF(ROUNDDOWN((O$59-$B75)/Reference!$D$27,0)&lt;2,0.5,IF(ROUNDDOWN((O$59-$B75)/Reference!$D$27,0)&lt;3,0.75,IF(ROUNDDOWN((O$59-$B75)/Reference!$D$27,0)&lt;4,0.875,0.9375)))))+HLOOKUP($B75,$C$59:$Q$60,2,FALSE)*Reference!$C$28*(1-IF(ROUNDDOWN((O$59-$B75)/Reference!$D$28,0)&lt;1,0,IF(ROUNDDOWN((O$59-$B75)/Reference!$D$28,0)&lt;2,0.5,IF(ROUNDDOWN((O$59-$B75)/Reference!$D$28,0)&lt;3,0.75,IF(ROUNDDOWN((O$59-$B75)/Reference!$D$28,0)&lt;4,0.875,0.9375)))))</f>
        <v>0.15433375474924435</v>
      </c>
      <c r="P75" s="135">
        <f>HLOOKUP($B75,$C$59:$Q$60,2,FALSE)*Reference!$C$23*(1-IF(ROUNDDOWN((P$59-$B75)/Reference!$D$23,0)&lt;1,0,IF(ROUNDDOWN((P$59-$B75)/Reference!$D$23,0)&lt;2,0.5,IF(ROUNDDOWN((P$59-$B75)/Reference!$D$23,0)&lt;3,0.75,IF(ROUNDDOWN((P$59-$B75)/Reference!$D$23,0)&lt;4,0.875,0.9375)))))+HLOOKUP($B75,$C$59:$Q$60,2,FALSE)*Reference!$C$24*(1-IF(ROUNDDOWN((P$59-$B75)/Reference!$D$24,0)&lt;1,0,IF(ROUNDDOWN((P$59-$B75)/Reference!$D$24,0)&lt;2,0.5,IF(ROUNDDOWN((P$59-$B75)/Reference!$D$24,0)&lt;3,0.75,IF(ROUNDDOWN((P$59-$B75)/Reference!$D$24,0)&lt;4,0.875,0.9375)))))+HLOOKUP($B75,$C$59:$Q$60,2,FALSE)*Reference!$C$25*(1-IF(ROUNDDOWN((P$59-$B75)/Reference!$D$25,0)&lt;1,0,IF(ROUNDDOWN((P$59-$B75)/Reference!$D$25,0)&lt;2,0.5,IF(ROUNDDOWN((P$59-$B75)/Reference!$D$25,0)&lt;3,0.75,IF(ROUNDDOWN((P$59-$B75)/Reference!$D$25,0)&lt;4,0.875,0.9375)))))+HLOOKUP($B75,$C$59:$Q$60,2,FALSE)*Reference!$C$26*(1-IF(ROUNDDOWN((P$59-$B75)/Reference!$D$26,0)&lt;1,0,IF(ROUNDDOWN((P$59-$B75)/Reference!$D$26,0)&lt;2,0.5,IF(ROUNDDOWN((P$59-$B75)/Reference!$D$26,0)&lt;3,0.75,IF(ROUNDDOWN((P$59-$B75)/Reference!$D$26,0)&lt;4,0.875,0.9375)))))+HLOOKUP($B75,$C$59:$Q$60,2,FALSE)*Reference!$C$27*(1-IF(ROUNDDOWN((P$59-$B75)/Reference!$D$27,0)&lt;1,0,IF(ROUNDDOWN((P$59-$B75)/Reference!$D$27,0)&lt;2,0.5,IF(ROUNDDOWN((P$59-$B75)/Reference!$D$27,0)&lt;3,0.75,IF(ROUNDDOWN((P$59-$B75)/Reference!$D$27,0)&lt;4,0.875,0.9375)))))+HLOOKUP($B75,$C$59:$Q$60,2,FALSE)*Reference!$C$28*(1-IF(ROUNDDOWN((P$59-$B75)/Reference!$D$28,0)&lt;1,0,IF(ROUNDDOWN((P$59-$B75)/Reference!$D$28,0)&lt;2,0.5,IF(ROUNDDOWN((P$59-$B75)/Reference!$D$28,0)&lt;3,0.75,IF(ROUNDDOWN((P$59-$B75)/Reference!$D$28,0)&lt;4,0.875,0.9375)))))</f>
        <v>0.15433375474924435</v>
      </c>
      <c r="Q75" s="135">
        <f>HLOOKUP($B75,$C$59:$Q$60,2,FALSE)*Reference!$C$23*(1-IF(ROUNDDOWN((Q$59-$B75)/Reference!$D$23,0)&lt;1,0,IF(ROUNDDOWN((Q$59-$B75)/Reference!$D$23,0)&lt;2,0.5,IF(ROUNDDOWN((Q$59-$B75)/Reference!$D$23,0)&lt;3,0.75,IF(ROUNDDOWN((Q$59-$B75)/Reference!$D$23,0)&lt;4,0.875,0.9375)))))+HLOOKUP($B75,$C$59:$Q$60,2,FALSE)*Reference!$C$24*(1-IF(ROUNDDOWN((Q$59-$B75)/Reference!$D$24,0)&lt;1,0,IF(ROUNDDOWN((Q$59-$B75)/Reference!$D$24,0)&lt;2,0.5,IF(ROUNDDOWN((Q$59-$B75)/Reference!$D$24,0)&lt;3,0.75,IF(ROUNDDOWN((Q$59-$B75)/Reference!$D$24,0)&lt;4,0.875,0.9375)))))+HLOOKUP($B75,$C$59:$Q$60,2,FALSE)*Reference!$C$25*(1-IF(ROUNDDOWN((Q$59-$B75)/Reference!$D$25,0)&lt;1,0,IF(ROUNDDOWN((Q$59-$B75)/Reference!$D$25,0)&lt;2,0.5,IF(ROUNDDOWN((Q$59-$B75)/Reference!$D$25,0)&lt;3,0.75,IF(ROUNDDOWN((Q$59-$B75)/Reference!$D$25,0)&lt;4,0.875,0.9375)))))+HLOOKUP($B75,$C$59:$Q$60,2,FALSE)*Reference!$C$26*(1-IF(ROUNDDOWN((Q$59-$B75)/Reference!$D$26,0)&lt;1,0,IF(ROUNDDOWN((Q$59-$B75)/Reference!$D$26,0)&lt;2,0.5,IF(ROUNDDOWN((Q$59-$B75)/Reference!$D$26,0)&lt;3,0.75,IF(ROUNDDOWN((Q$59-$B75)/Reference!$D$26,0)&lt;4,0.875,0.9375)))))+HLOOKUP($B75,$C$59:$Q$60,2,FALSE)*Reference!$C$27*(1-IF(ROUNDDOWN((Q$59-$B75)/Reference!$D$27,0)&lt;1,0,IF(ROUNDDOWN((Q$59-$B75)/Reference!$D$27,0)&lt;2,0.5,IF(ROUNDDOWN((Q$59-$B75)/Reference!$D$27,0)&lt;3,0.75,IF(ROUNDDOWN((Q$59-$B75)/Reference!$D$27,0)&lt;4,0.875,0.9375)))))+HLOOKUP($B75,$C$59:$Q$60,2,FALSE)*Reference!$C$28*(1-IF(ROUNDDOWN((Q$59-$B75)/Reference!$D$28,0)&lt;1,0,IF(ROUNDDOWN((Q$59-$B75)/Reference!$D$28,0)&lt;2,0.5,IF(ROUNDDOWN((Q$59-$B75)/Reference!$D$28,0)&lt;3,0.75,IF(ROUNDDOWN((Q$59-$B75)/Reference!$D$28,0)&lt;4,0.875,0.9375)))))</f>
        <v>0.15433375474924435</v>
      </c>
      <c r="R75" s="50"/>
    </row>
    <row r="76" spans="2:18" x14ac:dyDescent="0.3">
      <c r="B76" s="237">
        <f t="shared" si="10"/>
        <v>2028</v>
      </c>
      <c r="C76" s="135"/>
      <c r="D76" s="135"/>
      <c r="E76" s="135"/>
      <c r="F76" s="135"/>
      <c r="G76" s="135"/>
      <c r="H76" s="135"/>
      <c r="I76" s="135"/>
      <c r="J76" s="135"/>
      <c r="K76" s="135"/>
      <c r="L76" s="135"/>
      <c r="M76" s="135"/>
      <c r="N76" s="135"/>
      <c r="O76" s="135"/>
      <c r="P76" s="135">
        <f>HLOOKUP($B76,$C$59:$Q$60,2,FALSE)*Reference!$C$23*(1-IF(ROUNDDOWN((P$59-$B76)/Reference!$D$23,0)&lt;1,0,IF(ROUNDDOWN((P$59-$B76)/Reference!$D$23,0)&lt;2,0.5,IF(ROUNDDOWN((P$59-$B76)/Reference!$D$23,0)&lt;3,0.75,IF(ROUNDDOWN((P$59-$B76)/Reference!$D$23,0)&lt;4,0.875,0.9375)))))+HLOOKUP($B76,$C$59:$Q$60,2,FALSE)*Reference!$C$24*(1-IF(ROUNDDOWN((P$59-$B76)/Reference!$D$24,0)&lt;1,0,IF(ROUNDDOWN((P$59-$B76)/Reference!$D$24,0)&lt;2,0.5,IF(ROUNDDOWN((P$59-$B76)/Reference!$D$24,0)&lt;3,0.75,IF(ROUNDDOWN((P$59-$B76)/Reference!$D$24,0)&lt;4,0.875,0.9375)))))+HLOOKUP($B76,$C$59:$Q$60,2,FALSE)*Reference!$C$25*(1-IF(ROUNDDOWN((P$59-$B76)/Reference!$D$25,0)&lt;1,0,IF(ROUNDDOWN((P$59-$B76)/Reference!$D$25,0)&lt;2,0.5,IF(ROUNDDOWN((P$59-$B76)/Reference!$D$25,0)&lt;3,0.75,IF(ROUNDDOWN((P$59-$B76)/Reference!$D$25,0)&lt;4,0.875,0.9375)))))+HLOOKUP($B76,$C$59:$Q$60,2,FALSE)*Reference!$C$26*(1-IF(ROUNDDOWN((P$59-$B76)/Reference!$D$26,0)&lt;1,0,IF(ROUNDDOWN((P$59-$B76)/Reference!$D$26,0)&lt;2,0.5,IF(ROUNDDOWN((P$59-$B76)/Reference!$D$26,0)&lt;3,0.75,IF(ROUNDDOWN((P$59-$B76)/Reference!$D$26,0)&lt;4,0.875,0.9375)))))+HLOOKUP($B76,$C$59:$Q$60,2,FALSE)*Reference!$C$27*(1-IF(ROUNDDOWN((P$59-$B76)/Reference!$D$27,0)&lt;1,0,IF(ROUNDDOWN((P$59-$B76)/Reference!$D$27,0)&lt;2,0.5,IF(ROUNDDOWN((P$59-$B76)/Reference!$D$27,0)&lt;3,0.75,IF(ROUNDDOWN((P$59-$B76)/Reference!$D$27,0)&lt;4,0.875,0.9375)))))+HLOOKUP($B76,$C$59:$Q$60,2,FALSE)*Reference!$C$28*(1-IF(ROUNDDOWN((P$59-$B76)/Reference!$D$28,0)&lt;1,0,IF(ROUNDDOWN((P$59-$B76)/Reference!$D$28,0)&lt;2,0.5,IF(ROUNDDOWN((P$59-$B76)/Reference!$D$28,0)&lt;3,0.75,IF(ROUNDDOWN((P$59-$B76)/Reference!$D$28,0)&lt;4,0.875,0.9375)))))</f>
        <v>0.15433375474924435</v>
      </c>
      <c r="Q76" s="135">
        <f>HLOOKUP($B76,$C$59:$Q$60,2,FALSE)*Reference!$C$23*(1-IF(ROUNDDOWN((Q$59-$B76)/Reference!$D$23,0)&lt;1,0,IF(ROUNDDOWN((Q$59-$B76)/Reference!$D$23,0)&lt;2,0.5,IF(ROUNDDOWN((Q$59-$B76)/Reference!$D$23,0)&lt;3,0.75,IF(ROUNDDOWN((Q$59-$B76)/Reference!$D$23,0)&lt;4,0.875,0.9375)))))+HLOOKUP($B76,$C$59:$Q$60,2,FALSE)*Reference!$C$24*(1-IF(ROUNDDOWN((Q$59-$B76)/Reference!$D$24,0)&lt;1,0,IF(ROUNDDOWN((Q$59-$B76)/Reference!$D$24,0)&lt;2,0.5,IF(ROUNDDOWN((Q$59-$B76)/Reference!$D$24,0)&lt;3,0.75,IF(ROUNDDOWN((Q$59-$B76)/Reference!$D$24,0)&lt;4,0.875,0.9375)))))+HLOOKUP($B76,$C$59:$Q$60,2,FALSE)*Reference!$C$25*(1-IF(ROUNDDOWN((Q$59-$B76)/Reference!$D$25,0)&lt;1,0,IF(ROUNDDOWN((Q$59-$B76)/Reference!$D$25,0)&lt;2,0.5,IF(ROUNDDOWN((Q$59-$B76)/Reference!$D$25,0)&lt;3,0.75,IF(ROUNDDOWN((Q$59-$B76)/Reference!$D$25,0)&lt;4,0.875,0.9375)))))+HLOOKUP($B76,$C$59:$Q$60,2,FALSE)*Reference!$C$26*(1-IF(ROUNDDOWN((Q$59-$B76)/Reference!$D$26,0)&lt;1,0,IF(ROUNDDOWN((Q$59-$B76)/Reference!$D$26,0)&lt;2,0.5,IF(ROUNDDOWN((Q$59-$B76)/Reference!$D$26,0)&lt;3,0.75,IF(ROUNDDOWN((Q$59-$B76)/Reference!$D$26,0)&lt;4,0.875,0.9375)))))+HLOOKUP($B76,$C$59:$Q$60,2,FALSE)*Reference!$C$27*(1-IF(ROUNDDOWN((Q$59-$B76)/Reference!$D$27,0)&lt;1,0,IF(ROUNDDOWN((Q$59-$B76)/Reference!$D$27,0)&lt;2,0.5,IF(ROUNDDOWN((Q$59-$B76)/Reference!$D$27,0)&lt;3,0.75,IF(ROUNDDOWN((Q$59-$B76)/Reference!$D$27,0)&lt;4,0.875,0.9375)))))+HLOOKUP($B76,$C$59:$Q$60,2,FALSE)*Reference!$C$28*(1-IF(ROUNDDOWN((Q$59-$B76)/Reference!$D$28,0)&lt;1,0,IF(ROUNDDOWN((Q$59-$B76)/Reference!$D$28,0)&lt;2,0.5,IF(ROUNDDOWN((Q$59-$B76)/Reference!$D$28,0)&lt;3,0.75,IF(ROUNDDOWN((Q$59-$B76)/Reference!$D$28,0)&lt;4,0.875,0.9375)))))</f>
        <v>0.15433375474924435</v>
      </c>
      <c r="R76" s="50"/>
    </row>
    <row r="77" spans="2:18" x14ac:dyDescent="0.3">
      <c r="B77" s="237">
        <f t="shared" si="10"/>
        <v>2029</v>
      </c>
      <c r="C77" s="135"/>
      <c r="D77" s="135"/>
      <c r="E77" s="135"/>
      <c r="F77" s="135"/>
      <c r="G77" s="135"/>
      <c r="H77" s="135"/>
      <c r="I77" s="135"/>
      <c r="J77" s="135"/>
      <c r="K77" s="135"/>
      <c r="L77" s="135"/>
      <c r="M77" s="135"/>
      <c r="N77" s="135"/>
      <c r="O77" s="135"/>
      <c r="P77" s="135"/>
      <c r="Q77" s="135">
        <f>HLOOKUP($B77,$C$59:$Q$60,2,FALSE)*Reference!$C$23*(1-IF(ROUNDDOWN((Q$59-$B77)/Reference!$D$23,0)&lt;1,0,IF(ROUNDDOWN((Q$59-$B77)/Reference!$D$23,0)&lt;2,0.5,IF(ROUNDDOWN((Q$59-$B77)/Reference!$D$23,0)&lt;3,0.75,IF(ROUNDDOWN((Q$59-$B77)/Reference!$D$23,0)&lt;4,0.875,0.9375)))))+HLOOKUP($B77,$C$59:$Q$60,2,FALSE)*Reference!$C$24*(1-IF(ROUNDDOWN((Q$59-$B77)/Reference!$D$24,0)&lt;1,0,IF(ROUNDDOWN((Q$59-$B77)/Reference!$D$24,0)&lt;2,0.5,IF(ROUNDDOWN((Q$59-$B77)/Reference!$D$24,0)&lt;3,0.75,IF(ROUNDDOWN((Q$59-$B77)/Reference!$D$24,0)&lt;4,0.875,0.9375)))))+HLOOKUP($B77,$C$59:$Q$60,2,FALSE)*Reference!$C$25*(1-IF(ROUNDDOWN((Q$59-$B77)/Reference!$D$25,0)&lt;1,0,IF(ROUNDDOWN((Q$59-$B77)/Reference!$D$25,0)&lt;2,0.5,IF(ROUNDDOWN((Q$59-$B77)/Reference!$D$25,0)&lt;3,0.75,IF(ROUNDDOWN((Q$59-$B77)/Reference!$D$25,0)&lt;4,0.875,0.9375)))))+HLOOKUP($B77,$C$59:$Q$60,2,FALSE)*Reference!$C$26*(1-IF(ROUNDDOWN((Q$59-$B77)/Reference!$D$26,0)&lt;1,0,IF(ROUNDDOWN((Q$59-$B77)/Reference!$D$26,0)&lt;2,0.5,IF(ROUNDDOWN((Q$59-$B77)/Reference!$D$26,0)&lt;3,0.75,IF(ROUNDDOWN((Q$59-$B77)/Reference!$D$26,0)&lt;4,0.875,0.9375)))))+HLOOKUP($B77,$C$59:$Q$60,2,FALSE)*Reference!$C$27*(1-IF(ROUNDDOWN((Q$59-$B77)/Reference!$D$27,0)&lt;1,0,IF(ROUNDDOWN((Q$59-$B77)/Reference!$D$27,0)&lt;2,0.5,IF(ROUNDDOWN((Q$59-$B77)/Reference!$D$27,0)&lt;3,0.75,IF(ROUNDDOWN((Q$59-$B77)/Reference!$D$27,0)&lt;4,0.875,0.9375)))))+HLOOKUP($B77,$C$59:$Q$60,2,FALSE)*Reference!$C$28*(1-IF(ROUNDDOWN((Q$59-$B77)/Reference!$D$28,0)&lt;1,0,IF(ROUNDDOWN((Q$59-$B77)/Reference!$D$28,0)&lt;2,0.5,IF(ROUNDDOWN((Q$59-$B77)/Reference!$D$28,0)&lt;3,0.75,IF(ROUNDDOWN((Q$59-$B77)/Reference!$D$28,0)&lt;4,0.875,0.9375)))))</f>
        <v>0.15433375474924435</v>
      </c>
      <c r="R77" s="50"/>
    </row>
    <row r="78" spans="2:18" x14ac:dyDescent="0.3">
      <c r="B78" s="51"/>
      <c r="C78" s="241"/>
      <c r="D78" s="241"/>
      <c r="E78" s="241"/>
      <c r="F78" s="241"/>
      <c r="G78" s="241"/>
      <c r="H78" s="241"/>
      <c r="I78" s="241"/>
      <c r="J78" s="241"/>
      <c r="K78" s="241"/>
      <c r="L78" s="241"/>
      <c r="M78" s="241"/>
      <c r="N78" s="241"/>
      <c r="O78" s="241"/>
      <c r="P78" s="241"/>
      <c r="Q78" s="241"/>
      <c r="R78" s="50"/>
    </row>
    <row r="79" spans="2:18" x14ac:dyDescent="0.3">
      <c r="B79" s="242" t="s">
        <v>373</v>
      </c>
      <c r="C79" s="247">
        <f t="shared" ref="C79:Q79" si="11">SUM(C63:C77)</f>
        <v>0</v>
      </c>
      <c r="D79" s="247">
        <f t="shared" si="11"/>
        <v>0</v>
      </c>
      <c r="E79" s="247">
        <f t="shared" si="11"/>
        <v>0</v>
      </c>
      <c r="F79" s="247">
        <f t="shared" si="11"/>
        <v>0</v>
      </c>
      <c r="G79" s="247">
        <f t="shared" si="11"/>
        <v>0</v>
      </c>
      <c r="H79" s="247">
        <f t="shared" si="11"/>
        <v>0</v>
      </c>
      <c r="I79" s="247">
        <f t="shared" si="11"/>
        <v>0.15433375474924435</v>
      </c>
      <c r="J79" s="247">
        <f t="shared" si="11"/>
        <v>0.3086675094984887</v>
      </c>
      <c r="K79" s="247">
        <f t="shared" si="11"/>
        <v>0.46300126424773302</v>
      </c>
      <c r="L79" s="247">
        <f t="shared" si="11"/>
        <v>0.61069866754275992</v>
      </c>
      <c r="M79" s="247">
        <f t="shared" si="11"/>
        <v>0.75839607083778682</v>
      </c>
      <c r="N79" s="247">
        <f t="shared" si="11"/>
        <v>0.90609347413281371</v>
      </c>
      <c r="O79" s="247">
        <f t="shared" si="11"/>
        <v>1.0504727017007318</v>
      </c>
      <c r="P79" s="247">
        <f t="shared" si="11"/>
        <v>1.1948519292686499</v>
      </c>
      <c r="Q79" s="247">
        <f t="shared" si="11"/>
        <v>1.3330578066465981</v>
      </c>
      <c r="R79" s="50"/>
    </row>
    <row r="80" spans="2:18" ht="15" thickBot="1" x14ac:dyDescent="0.35">
      <c r="B80" s="54"/>
      <c r="C80" s="55"/>
      <c r="D80" s="55"/>
      <c r="E80" s="55"/>
      <c r="F80" s="55"/>
      <c r="G80" s="55"/>
      <c r="H80" s="55"/>
      <c r="I80" s="55"/>
      <c r="J80" s="55"/>
      <c r="K80" s="55"/>
      <c r="L80" s="55"/>
      <c r="M80" s="55"/>
      <c r="N80" s="55"/>
      <c r="O80" s="55"/>
      <c r="P80" s="55"/>
      <c r="Q80" s="55"/>
      <c r="R80" s="56"/>
    </row>
  </sheetData>
  <mergeCells count="1">
    <mergeCell ref="F23:O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80"/>
  <sheetViews>
    <sheetView zoomScale="55" zoomScaleNormal="55" workbookViewId="0">
      <selection activeCell="V28" sqref="V28"/>
    </sheetView>
  </sheetViews>
  <sheetFormatPr defaultRowHeight="14.4" x14ac:dyDescent="0.3"/>
  <cols>
    <col min="2" max="2" width="17.6640625" customWidth="1"/>
    <col min="3" max="3" width="16.44140625" customWidth="1"/>
    <col min="4" max="4" width="18.44140625" customWidth="1"/>
    <col min="5" max="5" width="19.33203125" customWidth="1"/>
    <col min="6" max="6" width="15" customWidth="1"/>
    <col min="18" max="18" width="8.88671875" customWidth="1"/>
  </cols>
  <sheetData>
    <row r="1" spans="2:21" ht="23.4" x14ac:dyDescent="0.45">
      <c r="B1" s="164" t="s">
        <v>33</v>
      </c>
      <c r="C1" s="164" t="str">
        <f>'Program Analysis'!C3</f>
        <v>Local Government Challenge</v>
      </c>
    </row>
    <row r="2" spans="2:21" ht="23.4" x14ac:dyDescent="0.45">
      <c r="B2" s="164" t="s">
        <v>445</v>
      </c>
      <c r="C2" s="164" t="s">
        <v>401</v>
      </c>
    </row>
    <row r="4" spans="2:21" ht="15" thickBot="1" x14ac:dyDescent="0.35"/>
    <row r="5" spans="2:21" ht="18" x14ac:dyDescent="0.35">
      <c r="B5" s="60" t="s">
        <v>449</v>
      </c>
      <c r="C5" s="45"/>
      <c r="D5" s="45"/>
      <c r="E5" s="46"/>
      <c r="F5" s="46"/>
      <c r="G5" s="47"/>
      <c r="H5" s="47"/>
      <c r="I5" s="47"/>
      <c r="J5" s="47"/>
      <c r="K5" s="47"/>
      <c r="L5" s="47"/>
      <c r="M5" s="47"/>
      <c r="N5" s="47"/>
      <c r="O5" s="47"/>
      <c r="P5" s="47"/>
      <c r="Q5" s="47"/>
      <c r="R5" s="48"/>
      <c r="S5" s="3"/>
      <c r="T5" s="223"/>
      <c r="U5" s="3" t="s">
        <v>367</v>
      </c>
    </row>
    <row r="6" spans="2:21" x14ac:dyDescent="0.3">
      <c r="B6" s="51" t="s">
        <v>450</v>
      </c>
      <c r="C6" s="236"/>
      <c r="D6" s="236"/>
      <c r="E6" s="39"/>
      <c r="F6" s="39"/>
      <c r="G6" s="39"/>
      <c r="H6" s="3"/>
      <c r="I6" s="3"/>
      <c r="J6" s="3"/>
      <c r="K6" s="3"/>
      <c r="L6" s="3"/>
      <c r="M6" s="3"/>
      <c r="N6" s="3"/>
      <c r="O6" s="3"/>
      <c r="P6" s="3"/>
      <c r="Q6" s="3"/>
      <c r="R6" s="50"/>
      <c r="S6" s="3"/>
      <c r="T6" s="225"/>
      <c r="U6" s="3" t="s">
        <v>368</v>
      </c>
    </row>
    <row r="7" spans="2:21" x14ac:dyDescent="0.3">
      <c r="B7" s="51"/>
      <c r="C7" s="39"/>
      <c r="D7" s="49"/>
      <c r="E7" s="39"/>
      <c r="F7" s="39"/>
      <c r="G7" s="39"/>
      <c r="H7" s="3"/>
      <c r="I7" s="3"/>
      <c r="J7" s="3"/>
      <c r="K7" s="3"/>
      <c r="L7" s="3"/>
      <c r="M7" s="3"/>
      <c r="N7" s="3"/>
      <c r="O7" s="3"/>
      <c r="P7" s="3"/>
      <c r="Q7" s="3"/>
      <c r="R7" s="50"/>
      <c r="S7" s="3"/>
      <c r="T7" s="226"/>
      <c r="U7" s="3" t="s">
        <v>369</v>
      </c>
    </row>
    <row r="8" spans="2:21" s="231" customFormat="1" x14ac:dyDescent="0.3">
      <c r="B8" s="227" t="s">
        <v>60</v>
      </c>
      <c r="C8" s="49">
        <v>2015</v>
      </c>
      <c r="D8" s="49">
        <v>2016</v>
      </c>
      <c r="E8" s="49">
        <v>2017</v>
      </c>
      <c r="F8" s="49">
        <v>2018</v>
      </c>
      <c r="G8" s="49">
        <v>2019</v>
      </c>
      <c r="H8" s="49">
        <v>2020</v>
      </c>
      <c r="I8" s="49">
        <v>2021</v>
      </c>
      <c r="J8" s="49">
        <v>2022</v>
      </c>
      <c r="K8" s="49">
        <v>2023</v>
      </c>
      <c r="L8" s="49">
        <v>2024</v>
      </c>
      <c r="M8" s="49">
        <v>2025</v>
      </c>
      <c r="N8" s="49">
        <v>2026</v>
      </c>
      <c r="O8" s="228">
        <v>2027</v>
      </c>
      <c r="P8" s="228">
        <v>2028</v>
      </c>
      <c r="Q8" s="228">
        <v>2029</v>
      </c>
      <c r="R8" s="229"/>
      <c r="S8" s="230"/>
      <c r="T8" s="230"/>
    </row>
    <row r="9" spans="2:21" x14ac:dyDescent="0.3">
      <c r="B9" s="244" t="s">
        <v>0</v>
      </c>
      <c r="C9" s="248">
        <v>0</v>
      </c>
      <c r="D9" s="248">
        <v>0</v>
      </c>
      <c r="E9" s="248">
        <v>0</v>
      </c>
      <c r="F9" s="248">
        <v>0</v>
      </c>
      <c r="G9" s="248">
        <v>0</v>
      </c>
      <c r="H9" s="248">
        <v>0</v>
      </c>
      <c r="I9" s="248">
        <f>'LGC Conservative'!$P$26*0.1</f>
        <v>2.5083995890948256</v>
      </c>
      <c r="J9" s="248">
        <f>'LGC Conservative'!$P$26*0.1</f>
        <v>2.5083995890948256</v>
      </c>
      <c r="K9" s="248">
        <f>'LGC Conservative'!$P$26*0.1</f>
        <v>2.5083995890948256</v>
      </c>
      <c r="L9" s="248">
        <f>'LGC Conservative'!$P$26*0.1</f>
        <v>2.5083995890948256</v>
      </c>
      <c r="M9" s="248">
        <f>'LGC Conservative'!$P$26*0.1</f>
        <v>2.5083995890948256</v>
      </c>
      <c r="N9" s="248">
        <f>'LGC Conservative'!$P$26*0.1</f>
        <v>2.5083995890948256</v>
      </c>
      <c r="O9" s="248">
        <f>'LGC Conservative'!$P$26*0.1</f>
        <v>2.5083995890948256</v>
      </c>
      <c r="P9" s="248">
        <f>'LGC Conservative'!$P$26*0.1</f>
        <v>2.5083995890948256</v>
      </c>
      <c r="Q9" s="248">
        <f>'LGC Conservative'!$P$26*0.1</f>
        <v>2.5083995890948256</v>
      </c>
      <c r="R9" s="50"/>
      <c r="S9" s="233"/>
      <c r="T9" s="3"/>
    </row>
    <row r="10" spans="2:21" ht="15" thickBot="1" x14ac:dyDescent="0.35">
      <c r="B10" s="245" t="s">
        <v>4</v>
      </c>
      <c r="C10" s="246">
        <v>0</v>
      </c>
      <c r="D10" s="246">
        <v>0</v>
      </c>
      <c r="E10" s="246">
        <v>0</v>
      </c>
      <c r="F10" s="246">
        <v>0</v>
      </c>
      <c r="G10" s="246">
        <v>0</v>
      </c>
      <c r="H10" s="246">
        <v>0</v>
      </c>
      <c r="I10" s="246">
        <f>'LGC Conservative'!$Q$26*0.1</f>
        <v>0.11938218718623894</v>
      </c>
      <c r="J10" s="246">
        <f>'LGC Conservative'!$Q$26*0.1</f>
        <v>0.11938218718623894</v>
      </c>
      <c r="K10" s="246">
        <f>'LGC Conservative'!$Q$26*0.1</f>
        <v>0.11938218718623894</v>
      </c>
      <c r="L10" s="246">
        <f>'LGC Conservative'!$Q$26*0.1</f>
        <v>0.11938218718623894</v>
      </c>
      <c r="M10" s="246">
        <f>'LGC Conservative'!$Q$26*0.1</f>
        <v>0.11938218718623894</v>
      </c>
      <c r="N10" s="246">
        <f>'LGC Conservative'!$Q$26*0.1</f>
        <v>0.11938218718623894</v>
      </c>
      <c r="O10" s="246">
        <f>'LGC Conservative'!$Q$26*0.1</f>
        <v>0.11938218718623894</v>
      </c>
      <c r="P10" s="246">
        <f>'LGC Conservative'!$Q$26*0.1</f>
        <v>0.11938218718623894</v>
      </c>
      <c r="Q10" s="246">
        <f>'LGC Conservative'!$Q$26*0.1</f>
        <v>0.11938218718623894</v>
      </c>
      <c r="R10" s="56"/>
      <c r="S10" s="233"/>
      <c r="T10" s="3"/>
    </row>
    <row r="11" spans="2:21" x14ac:dyDescent="0.3">
      <c r="B11" s="7"/>
      <c r="C11" s="7"/>
      <c r="D11" s="7"/>
      <c r="E11" s="7"/>
      <c r="F11" s="58"/>
      <c r="G11" s="59"/>
      <c r="H11" s="59"/>
      <c r="I11" s="59"/>
      <c r="J11" s="59"/>
      <c r="K11" s="59"/>
      <c r="L11" s="59"/>
      <c r="M11" s="59"/>
      <c r="N11" s="59"/>
      <c r="O11" s="59"/>
      <c r="P11" s="59"/>
      <c r="Q11" s="59"/>
      <c r="R11" s="59"/>
      <c r="S11" s="233"/>
      <c r="T11" s="3"/>
    </row>
    <row r="12" spans="2:21" ht="15" thickBot="1" x14ac:dyDescent="0.35">
      <c r="B12" s="39"/>
      <c r="C12" s="49"/>
      <c r="D12" s="49"/>
      <c r="E12" s="39"/>
      <c r="F12" s="39"/>
      <c r="G12" s="39"/>
      <c r="H12" s="39"/>
      <c r="I12" s="39"/>
      <c r="J12" s="39"/>
      <c r="K12" s="39"/>
      <c r="L12" s="39"/>
      <c r="M12" s="39"/>
      <c r="N12" s="39"/>
      <c r="O12" s="39"/>
      <c r="P12" s="39"/>
      <c r="Q12" s="39"/>
      <c r="R12" s="3"/>
      <c r="S12" s="3"/>
      <c r="T12" s="3"/>
    </row>
    <row r="13" spans="2:21" x14ac:dyDescent="0.3">
      <c r="B13" s="249" t="s">
        <v>452</v>
      </c>
      <c r="C13" s="46"/>
      <c r="D13" s="46"/>
      <c r="E13" s="46"/>
      <c r="F13" s="46"/>
      <c r="G13" s="46"/>
      <c r="H13" s="46"/>
      <c r="I13" s="46"/>
      <c r="J13" s="46"/>
      <c r="K13" s="46"/>
      <c r="L13" s="46"/>
      <c r="M13" s="46"/>
      <c r="N13" s="46"/>
      <c r="O13" s="46"/>
      <c r="P13" s="46"/>
      <c r="Q13" s="46"/>
      <c r="R13" s="48"/>
    </row>
    <row r="14" spans="2:21" x14ac:dyDescent="0.3">
      <c r="B14" s="57" t="s">
        <v>450</v>
      </c>
      <c r="C14" s="236">
        <v>0.04</v>
      </c>
      <c r="D14" s="255" t="s">
        <v>470</v>
      </c>
      <c r="E14" s="39"/>
      <c r="F14" s="39"/>
      <c r="G14" s="39"/>
      <c r="H14" s="39"/>
      <c r="I14" s="39"/>
      <c r="J14" s="39"/>
      <c r="K14" s="39"/>
      <c r="L14" s="39"/>
      <c r="M14" s="39"/>
      <c r="N14" s="39"/>
      <c r="O14" s="39"/>
      <c r="P14" s="39"/>
      <c r="Q14" s="39"/>
      <c r="R14" s="50"/>
    </row>
    <row r="15" spans="2:21" x14ac:dyDescent="0.3">
      <c r="B15" s="57"/>
      <c r="C15" s="39"/>
      <c r="D15" s="39"/>
      <c r="E15" s="39"/>
      <c r="F15" s="39"/>
      <c r="G15" s="39"/>
      <c r="H15" s="39"/>
      <c r="I15" s="39"/>
      <c r="J15" s="39"/>
      <c r="K15" s="39"/>
      <c r="L15" s="39"/>
      <c r="M15" s="39"/>
      <c r="N15" s="39"/>
      <c r="O15" s="39"/>
      <c r="P15" s="39"/>
      <c r="Q15" s="39"/>
      <c r="R15" s="50"/>
    </row>
    <row r="16" spans="2:21" s="231" customFormat="1" x14ac:dyDescent="0.3">
      <c r="B16" s="227" t="s">
        <v>60</v>
      </c>
      <c r="C16" s="49">
        <v>2015</v>
      </c>
      <c r="D16" s="49">
        <v>2016</v>
      </c>
      <c r="E16" s="49">
        <v>2017</v>
      </c>
      <c r="F16" s="49">
        <v>2018</v>
      </c>
      <c r="G16" s="49">
        <v>2019</v>
      </c>
      <c r="H16" s="49">
        <v>2020</v>
      </c>
      <c r="I16" s="49">
        <v>2021</v>
      </c>
      <c r="J16" s="49">
        <v>2022</v>
      </c>
      <c r="K16" s="49">
        <v>2023</v>
      </c>
      <c r="L16" s="49">
        <v>2024</v>
      </c>
      <c r="M16" s="49">
        <v>2025</v>
      </c>
      <c r="N16" s="49">
        <v>2026</v>
      </c>
      <c r="O16" s="228">
        <v>2027</v>
      </c>
      <c r="P16" s="228">
        <v>2028</v>
      </c>
      <c r="Q16" s="228">
        <v>2029</v>
      </c>
      <c r="R16" s="229"/>
    </row>
    <row r="17" spans="2:18" x14ac:dyDescent="0.3">
      <c r="B17" s="244" t="str">
        <f>B9</f>
        <v>GWh</v>
      </c>
      <c r="C17" s="41">
        <f>C9*(1-$C$14)</f>
        <v>0</v>
      </c>
      <c r="D17" s="41">
        <f t="shared" ref="D17:Q17" si="0">D9*(1-$C$14)</f>
        <v>0</v>
      </c>
      <c r="E17" s="41">
        <f t="shared" si="0"/>
        <v>0</v>
      </c>
      <c r="F17" s="41">
        <f t="shared" si="0"/>
        <v>0</v>
      </c>
      <c r="G17" s="41">
        <f t="shared" si="0"/>
        <v>0</v>
      </c>
      <c r="H17" s="41">
        <f t="shared" si="0"/>
        <v>0</v>
      </c>
      <c r="I17" s="41">
        <f t="shared" si="0"/>
        <v>2.4080636055310327</v>
      </c>
      <c r="J17" s="41">
        <f t="shared" si="0"/>
        <v>2.4080636055310327</v>
      </c>
      <c r="K17" s="41">
        <f t="shared" si="0"/>
        <v>2.4080636055310327</v>
      </c>
      <c r="L17" s="41">
        <f t="shared" si="0"/>
        <v>2.4080636055310327</v>
      </c>
      <c r="M17" s="41">
        <f t="shared" si="0"/>
        <v>2.4080636055310327</v>
      </c>
      <c r="N17" s="41">
        <f t="shared" si="0"/>
        <v>2.4080636055310327</v>
      </c>
      <c r="O17" s="41">
        <f t="shared" si="0"/>
        <v>2.4080636055310327</v>
      </c>
      <c r="P17" s="41">
        <f t="shared" si="0"/>
        <v>2.4080636055310327</v>
      </c>
      <c r="Q17" s="41">
        <f t="shared" si="0"/>
        <v>2.4080636055310327</v>
      </c>
      <c r="R17" s="50"/>
    </row>
    <row r="18" spans="2:18" ht="15" thickBot="1" x14ac:dyDescent="0.35">
      <c r="B18" s="245" t="str">
        <f>B10</f>
        <v>MM Therms</v>
      </c>
      <c r="C18" s="235">
        <f>C10*(1-$C$14)</f>
        <v>0</v>
      </c>
      <c r="D18" s="235">
        <f t="shared" ref="D18:Q18" si="1">D10*(1-$C$14)</f>
        <v>0</v>
      </c>
      <c r="E18" s="235">
        <f t="shared" si="1"/>
        <v>0</v>
      </c>
      <c r="F18" s="235">
        <f t="shared" si="1"/>
        <v>0</v>
      </c>
      <c r="G18" s="235">
        <f t="shared" si="1"/>
        <v>0</v>
      </c>
      <c r="H18" s="235">
        <f t="shared" si="1"/>
        <v>0</v>
      </c>
      <c r="I18" s="235">
        <f t="shared" si="1"/>
        <v>0.11460689969878939</v>
      </c>
      <c r="J18" s="235">
        <f t="shared" si="1"/>
        <v>0.11460689969878939</v>
      </c>
      <c r="K18" s="235">
        <f t="shared" si="1"/>
        <v>0.11460689969878939</v>
      </c>
      <c r="L18" s="235">
        <f t="shared" si="1"/>
        <v>0.11460689969878939</v>
      </c>
      <c r="M18" s="235">
        <f t="shared" si="1"/>
        <v>0.11460689969878939</v>
      </c>
      <c r="N18" s="235">
        <f t="shared" si="1"/>
        <v>0.11460689969878939</v>
      </c>
      <c r="O18" s="235">
        <f t="shared" si="1"/>
        <v>0.11460689969878939</v>
      </c>
      <c r="P18" s="235">
        <f t="shared" si="1"/>
        <v>0.11460689969878939</v>
      </c>
      <c r="Q18" s="235">
        <f t="shared" si="1"/>
        <v>0.11460689969878939</v>
      </c>
      <c r="R18" s="56"/>
    </row>
    <row r="20" spans="2:18" ht="15" thickBot="1" x14ac:dyDescent="0.35"/>
    <row r="21" spans="2:18" ht="18" x14ac:dyDescent="0.35">
      <c r="B21" s="60" t="s">
        <v>453</v>
      </c>
      <c r="C21" s="47"/>
      <c r="D21" s="47"/>
      <c r="E21" s="47"/>
      <c r="F21" s="47"/>
      <c r="G21" s="47"/>
      <c r="H21" s="47"/>
      <c r="I21" s="47"/>
      <c r="J21" s="47"/>
      <c r="K21" s="47"/>
      <c r="L21" s="47"/>
      <c r="M21" s="47"/>
      <c r="N21" s="47"/>
      <c r="O21" s="47"/>
      <c r="P21" s="47"/>
      <c r="Q21" s="47"/>
      <c r="R21" s="48"/>
    </row>
    <row r="22" spans="2:18" x14ac:dyDescent="0.3">
      <c r="B22" s="237" t="s">
        <v>35</v>
      </c>
      <c r="C22" s="131" t="s">
        <v>357</v>
      </c>
      <c r="D22" s="131" t="s">
        <v>358</v>
      </c>
      <c r="E22" s="3"/>
      <c r="F22" s="3"/>
      <c r="G22" s="3"/>
      <c r="H22" s="3"/>
      <c r="I22" s="3"/>
      <c r="J22" s="3"/>
      <c r="K22" s="3"/>
      <c r="L22" s="3"/>
      <c r="M22" s="3"/>
      <c r="N22" s="3"/>
      <c r="O22" s="3"/>
      <c r="P22" s="3"/>
      <c r="Q22" s="3"/>
      <c r="R22" s="50"/>
    </row>
    <row r="23" spans="2:18" x14ac:dyDescent="0.3">
      <c r="B23" s="237" t="s">
        <v>359</v>
      </c>
      <c r="C23" s="132">
        <v>0.215</v>
      </c>
      <c r="D23" s="133">
        <v>15</v>
      </c>
      <c r="E23" s="3"/>
      <c r="F23" s="289" t="s">
        <v>454</v>
      </c>
      <c r="G23" s="289"/>
      <c r="H23" s="289"/>
      <c r="I23" s="289"/>
      <c r="J23" s="289"/>
      <c r="K23" s="289"/>
      <c r="L23" s="289"/>
      <c r="M23" s="289"/>
      <c r="N23" s="289"/>
      <c r="O23" s="289"/>
      <c r="P23" s="3"/>
      <c r="Q23" s="3"/>
      <c r="R23" s="50"/>
    </row>
    <row r="24" spans="2:18" x14ac:dyDescent="0.3">
      <c r="B24" s="237" t="s">
        <v>360</v>
      </c>
      <c r="C24" s="132">
        <v>3.2000000000000001E-2</v>
      </c>
      <c r="D24" s="133">
        <v>8</v>
      </c>
      <c r="E24" s="3"/>
      <c r="F24" s="289"/>
      <c r="G24" s="289"/>
      <c r="H24" s="289"/>
      <c r="I24" s="289"/>
      <c r="J24" s="289"/>
      <c r="K24" s="289"/>
      <c r="L24" s="289"/>
      <c r="M24" s="289"/>
      <c r="N24" s="289"/>
      <c r="O24" s="289"/>
      <c r="P24" s="3"/>
      <c r="Q24" s="3"/>
      <c r="R24" s="50"/>
    </row>
    <row r="25" spans="2:18" x14ac:dyDescent="0.3">
      <c r="B25" s="237" t="s">
        <v>361</v>
      </c>
      <c r="C25" s="132">
        <v>8.5999999999999993E-2</v>
      </c>
      <c r="D25" s="133">
        <v>3</v>
      </c>
      <c r="E25" s="3"/>
      <c r="F25" s="289"/>
      <c r="G25" s="289"/>
      <c r="H25" s="289"/>
      <c r="I25" s="289"/>
      <c r="J25" s="289"/>
      <c r="K25" s="289"/>
      <c r="L25" s="289"/>
      <c r="M25" s="289"/>
      <c r="N25" s="289"/>
      <c r="O25" s="289"/>
      <c r="P25" s="3"/>
      <c r="Q25" s="3"/>
      <c r="R25" s="50"/>
    </row>
    <row r="26" spans="2:18" x14ac:dyDescent="0.3">
      <c r="B26" s="237" t="s">
        <v>362</v>
      </c>
      <c r="C26" s="132">
        <v>0.53900000000000003</v>
      </c>
      <c r="D26" s="133">
        <v>15</v>
      </c>
      <c r="E26" s="3"/>
      <c r="F26" s="289"/>
      <c r="G26" s="289"/>
      <c r="H26" s="289"/>
      <c r="I26" s="289"/>
      <c r="J26" s="289"/>
      <c r="K26" s="289"/>
      <c r="L26" s="289"/>
      <c r="M26" s="289"/>
      <c r="N26" s="289"/>
      <c r="O26" s="289"/>
      <c r="P26" s="3"/>
      <c r="Q26" s="3"/>
      <c r="R26" s="50"/>
    </row>
    <row r="27" spans="2:18" x14ac:dyDescent="0.3">
      <c r="B27" s="237" t="s">
        <v>363</v>
      </c>
      <c r="C27" s="132">
        <v>4.8000000000000001E-2</v>
      </c>
      <c r="D27" s="133">
        <v>8</v>
      </c>
      <c r="E27" s="3"/>
      <c r="F27" s="289"/>
      <c r="G27" s="289"/>
      <c r="H27" s="289"/>
      <c r="I27" s="289"/>
      <c r="J27" s="289"/>
      <c r="K27" s="289"/>
      <c r="L27" s="289"/>
      <c r="M27" s="289"/>
      <c r="N27" s="289"/>
      <c r="O27" s="289"/>
      <c r="P27" s="3"/>
      <c r="Q27" s="3"/>
      <c r="R27" s="50"/>
    </row>
    <row r="28" spans="2:18" x14ac:dyDescent="0.3">
      <c r="B28" s="237" t="s">
        <v>364</v>
      </c>
      <c r="C28" s="132">
        <v>0.08</v>
      </c>
      <c r="D28" s="133">
        <v>10</v>
      </c>
      <c r="E28" s="3"/>
      <c r="F28" s="289"/>
      <c r="G28" s="289"/>
      <c r="H28" s="289"/>
      <c r="I28" s="289"/>
      <c r="J28" s="289"/>
      <c r="K28" s="289"/>
      <c r="L28" s="289"/>
      <c r="M28" s="289"/>
      <c r="N28" s="289"/>
      <c r="O28" s="289"/>
      <c r="P28" s="3"/>
      <c r="Q28" s="3"/>
      <c r="R28" s="50"/>
    </row>
    <row r="29" spans="2:18" ht="15" thickBot="1" x14ac:dyDescent="0.35">
      <c r="B29" s="238" t="s">
        <v>331</v>
      </c>
      <c r="C29" s="239"/>
      <c r="D29" s="239"/>
      <c r="E29" s="55"/>
      <c r="F29" s="290"/>
      <c r="G29" s="290"/>
      <c r="H29" s="290"/>
      <c r="I29" s="290"/>
      <c r="J29" s="290"/>
      <c r="K29" s="290"/>
      <c r="L29" s="290"/>
      <c r="M29" s="290"/>
      <c r="N29" s="290"/>
      <c r="O29" s="290"/>
      <c r="P29" s="55"/>
      <c r="Q29" s="55"/>
      <c r="R29" s="56"/>
    </row>
    <row r="31" spans="2:18" ht="15" thickBot="1" x14ac:dyDescent="0.35"/>
    <row r="32" spans="2:18" ht="18" x14ac:dyDescent="0.35">
      <c r="B32" s="60" t="s">
        <v>455</v>
      </c>
      <c r="C32" s="47"/>
      <c r="D32" s="47"/>
      <c r="E32" s="47"/>
      <c r="F32" s="47"/>
      <c r="G32" s="47"/>
      <c r="H32" s="47"/>
      <c r="I32" s="47"/>
      <c r="J32" s="47"/>
      <c r="K32" s="47"/>
      <c r="L32" s="47"/>
      <c r="M32" s="47"/>
      <c r="N32" s="47"/>
      <c r="O32" s="47"/>
      <c r="P32" s="47"/>
      <c r="Q32" s="47"/>
      <c r="R32" s="48"/>
    </row>
    <row r="33" spans="2:18" x14ac:dyDescent="0.3">
      <c r="B33" s="240"/>
      <c r="C33" s="3"/>
      <c r="D33" s="3"/>
      <c r="E33" s="3"/>
      <c r="F33" s="3"/>
      <c r="G33" s="3"/>
      <c r="H33" s="3"/>
      <c r="I33" s="3"/>
      <c r="J33" s="3"/>
      <c r="K33" s="3"/>
      <c r="L33" s="3"/>
      <c r="M33" s="3"/>
      <c r="N33" s="3"/>
      <c r="O33" s="3"/>
      <c r="P33" s="3"/>
      <c r="Q33" s="3"/>
      <c r="R33" s="50"/>
    </row>
    <row r="34" spans="2:18" x14ac:dyDescent="0.3">
      <c r="B34" s="51"/>
      <c r="C34" s="3" t="s">
        <v>366</v>
      </c>
      <c r="D34" s="3"/>
      <c r="E34" s="3"/>
      <c r="F34" s="3"/>
      <c r="G34" s="3"/>
      <c r="H34" s="3"/>
      <c r="I34" s="3"/>
      <c r="J34" s="3"/>
      <c r="K34" s="3"/>
      <c r="L34" s="3"/>
      <c r="M34" s="3"/>
      <c r="N34" s="3"/>
      <c r="O34" s="3"/>
      <c r="P34" s="3"/>
      <c r="Q34" s="3"/>
      <c r="R34" s="50"/>
    </row>
    <row r="35" spans="2:18" x14ac:dyDescent="0.3">
      <c r="B35" s="51"/>
      <c r="C35" s="131">
        <f t="shared" ref="C35:Q35" si="2">C38</f>
        <v>2015</v>
      </c>
      <c r="D35" s="131">
        <f t="shared" si="2"/>
        <v>2016</v>
      </c>
      <c r="E35" s="131">
        <f t="shared" si="2"/>
        <v>2017</v>
      </c>
      <c r="F35" s="131">
        <f t="shared" si="2"/>
        <v>2018</v>
      </c>
      <c r="G35" s="131">
        <f t="shared" si="2"/>
        <v>2019</v>
      </c>
      <c r="H35" s="131">
        <f t="shared" si="2"/>
        <v>2020</v>
      </c>
      <c r="I35" s="131">
        <f t="shared" si="2"/>
        <v>2021</v>
      </c>
      <c r="J35" s="131">
        <f t="shared" si="2"/>
        <v>2022</v>
      </c>
      <c r="K35" s="131">
        <f t="shared" si="2"/>
        <v>2023</v>
      </c>
      <c r="L35" s="131">
        <f t="shared" si="2"/>
        <v>2024</v>
      </c>
      <c r="M35" s="131">
        <f t="shared" si="2"/>
        <v>2025</v>
      </c>
      <c r="N35" s="131">
        <f t="shared" si="2"/>
        <v>2026</v>
      </c>
      <c r="O35" s="131">
        <f t="shared" si="2"/>
        <v>2027</v>
      </c>
      <c r="P35" s="131">
        <f t="shared" si="2"/>
        <v>2028</v>
      </c>
      <c r="Q35" s="131">
        <f t="shared" si="2"/>
        <v>2029</v>
      </c>
      <c r="R35" s="50"/>
    </row>
    <row r="36" spans="2:18" x14ac:dyDescent="0.3">
      <c r="B36" s="51"/>
      <c r="C36" s="134">
        <f t="shared" ref="C36:Q36" si="3">C17</f>
        <v>0</v>
      </c>
      <c r="D36" s="134">
        <f>D17</f>
        <v>0</v>
      </c>
      <c r="E36" s="134">
        <f t="shared" si="3"/>
        <v>0</v>
      </c>
      <c r="F36" s="134">
        <f t="shared" si="3"/>
        <v>0</v>
      </c>
      <c r="G36" s="134">
        <f t="shared" si="3"/>
        <v>0</v>
      </c>
      <c r="H36" s="134">
        <f t="shared" si="3"/>
        <v>0</v>
      </c>
      <c r="I36" s="134">
        <f t="shared" si="3"/>
        <v>2.4080636055310327</v>
      </c>
      <c r="J36" s="134">
        <f t="shared" si="3"/>
        <v>2.4080636055310327</v>
      </c>
      <c r="K36" s="134">
        <f t="shared" si="3"/>
        <v>2.4080636055310327</v>
      </c>
      <c r="L36" s="134">
        <f t="shared" si="3"/>
        <v>2.4080636055310327</v>
      </c>
      <c r="M36" s="134">
        <f t="shared" si="3"/>
        <v>2.4080636055310327</v>
      </c>
      <c r="N36" s="134">
        <f t="shared" si="3"/>
        <v>2.4080636055310327</v>
      </c>
      <c r="O36" s="134">
        <f t="shared" si="3"/>
        <v>2.4080636055310327</v>
      </c>
      <c r="P36" s="134">
        <f t="shared" si="3"/>
        <v>2.4080636055310327</v>
      </c>
      <c r="Q36" s="134">
        <f t="shared" si="3"/>
        <v>2.4080636055310327</v>
      </c>
      <c r="R36" s="50"/>
    </row>
    <row r="37" spans="2:18" x14ac:dyDescent="0.3">
      <c r="B37" s="51"/>
      <c r="C37" s="3"/>
      <c r="D37" s="3"/>
      <c r="E37" s="3"/>
      <c r="F37" s="3"/>
      <c r="G37" s="3"/>
      <c r="H37" s="3"/>
      <c r="I37" s="3"/>
      <c r="J37" s="3"/>
      <c r="K37" s="3"/>
      <c r="L37" s="3"/>
      <c r="M37" s="3"/>
      <c r="N37" s="3"/>
      <c r="O37" s="3"/>
      <c r="P37" s="3"/>
      <c r="Q37" s="3"/>
      <c r="R37" s="50"/>
    </row>
    <row r="38" spans="2:18" x14ac:dyDescent="0.3">
      <c r="B38" s="237" t="s">
        <v>370</v>
      </c>
      <c r="C38" s="131">
        <v>2015</v>
      </c>
      <c r="D38" s="131">
        <f t="shared" ref="D38:Q38" si="4">C38+1</f>
        <v>2016</v>
      </c>
      <c r="E38" s="131">
        <f t="shared" si="4"/>
        <v>2017</v>
      </c>
      <c r="F38" s="131">
        <f t="shared" si="4"/>
        <v>2018</v>
      </c>
      <c r="G38" s="131">
        <f t="shared" si="4"/>
        <v>2019</v>
      </c>
      <c r="H38" s="131">
        <f t="shared" si="4"/>
        <v>2020</v>
      </c>
      <c r="I38" s="131">
        <f t="shared" si="4"/>
        <v>2021</v>
      </c>
      <c r="J38" s="131">
        <f t="shared" si="4"/>
        <v>2022</v>
      </c>
      <c r="K38" s="131">
        <f t="shared" si="4"/>
        <v>2023</v>
      </c>
      <c r="L38" s="131">
        <f t="shared" si="4"/>
        <v>2024</v>
      </c>
      <c r="M38" s="131">
        <f t="shared" si="4"/>
        <v>2025</v>
      </c>
      <c r="N38" s="131">
        <f t="shared" si="4"/>
        <v>2026</v>
      </c>
      <c r="O38" s="131">
        <f t="shared" si="4"/>
        <v>2027</v>
      </c>
      <c r="P38" s="131">
        <f t="shared" si="4"/>
        <v>2028</v>
      </c>
      <c r="Q38" s="131">
        <f t="shared" si="4"/>
        <v>2029</v>
      </c>
      <c r="R38" s="50"/>
    </row>
    <row r="39" spans="2:18" x14ac:dyDescent="0.3">
      <c r="B39" s="237">
        <v>2015</v>
      </c>
      <c r="C39" s="135">
        <f t="shared" ref="C39:Q48" si="5">HLOOKUP($B39,$C$35:$Q$36,2,FALSE)*$C$23*(1-IF(ROUNDDOWN((C$35-$B39)/$D$23,0)&lt;1,0,IF(ROUNDDOWN((C$35-$B39)/$D$23,0)&lt;2,0.5,IF(ROUNDDOWN((C$35-$B39)/$D$23,0)&lt;3,0.75,IF(ROUNDDOWN((C$35-$B39)/$D$23,0)&lt;4,0.875,0.9375)))))+HLOOKUP($B39,$C$35:$Q$36,2,FALSE)*$C$24*(1-IF(ROUNDDOWN((C$35-$B39)/$D$24,0)&lt;1,0,IF(ROUNDDOWN((C$35-$B39)/$D$24,0)&lt;2,0.5,IF(ROUNDDOWN((C$35-$B39)/$D$24,0)&lt;3,0.75,IF(ROUNDDOWN((C$35-$B39)/$D$24,0)&lt;4,0.875,0.9375)))))+HLOOKUP($B39,$C$35:$Q$36,2,FALSE)*$C$25*(1-IF(ROUNDDOWN((C$35-$B39)/$D$25,0)&lt;1,0,IF(ROUNDDOWN((C$35-$B39)/$D$25,0)&lt;2,0.5,IF(ROUNDDOWN((C$35-$B39)/$D$25,0)&lt;3,0.75,IF(ROUNDDOWN((C$35-$B39)/$D$25,0)&lt;4,0.875,0.9375)))))+HLOOKUP($B39,$C$35:$Q$36,2,FALSE)*$C$26*(1-IF(ROUNDDOWN((C$35-$B39)/$D$26,0)&lt;1,0,IF(ROUNDDOWN((C$35-$B39)/$D$26,0)&lt;2,0.5,IF(ROUNDDOWN((C$35-$B39)/$D$26,0)&lt;3,0.75,IF(ROUNDDOWN((C$35-$B39)/$D$26,0)&lt;4,0.875,0.9375)))))+HLOOKUP($B39,$C$35:$Q$36,2,FALSE)*$C$27*(1-IF(ROUNDDOWN((C$35-$B39)/$D$27,0)&lt;1,0,IF(ROUNDDOWN((C$35-$B39)/$D$27,0)&lt;2,0.5,IF(ROUNDDOWN((C$35-$B39)/$D$27,0)&lt;3,0.75,IF(ROUNDDOWN((C$35-$B39)/$D$27,0)&lt;4,0.875,0.9375)))))+HLOOKUP($B39,$C$35:$Q$36,2,FALSE)*$C$28*(1-IF(ROUNDDOWN((C$35-$B39)/$D$28,0)&lt;1,0,IF(ROUNDDOWN((C$35-$B39)/$D$28,0)&lt;2,0.5,IF(ROUNDDOWN((C$35-$B39)/$D$28,0)&lt;3,0.75,IF(ROUNDDOWN((C$35-$B39)/$D$28,0)&lt;4,0.875,0.9375)))))</f>
        <v>0</v>
      </c>
      <c r="D39" s="135">
        <f t="shared" si="5"/>
        <v>0</v>
      </c>
      <c r="E39" s="135">
        <f t="shared" si="5"/>
        <v>0</v>
      </c>
      <c r="F39" s="135">
        <f t="shared" si="5"/>
        <v>0</v>
      </c>
      <c r="G39" s="135">
        <f t="shared" si="5"/>
        <v>0</v>
      </c>
      <c r="H39" s="135">
        <f t="shared" si="5"/>
        <v>0</v>
      </c>
      <c r="I39" s="135">
        <f t="shared" si="5"/>
        <v>0</v>
      </c>
      <c r="J39" s="135">
        <f t="shared" si="5"/>
        <v>0</v>
      </c>
      <c r="K39" s="135">
        <f t="shared" si="5"/>
        <v>0</v>
      </c>
      <c r="L39" s="135">
        <f t="shared" si="5"/>
        <v>0</v>
      </c>
      <c r="M39" s="135">
        <f t="shared" si="5"/>
        <v>0</v>
      </c>
      <c r="N39" s="135">
        <f t="shared" si="5"/>
        <v>0</v>
      </c>
      <c r="O39" s="135">
        <f t="shared" si="5"/>
        <v>0</v>
      </c>
      <c r="P39" s="135">
        <f t="shared" si="5"/>
        <v>0</v>
      </c>
      <c r="Q39" s="135">
        <f t="shared" si="5"/>
        <v>0</v>
      </c>
      <c r="R39" s="50"/>
    </row>
    <row r="40" spans="2:18" x14ac:dyDescent="0.3">
      <c r="B40" s="237">
        <f t="shared" ref="B40:B53" si="6">B39+1</f>
        <v>2016</v>
      </c>
      <c r="C40" s="135"/>
      <c r="D40" s="135">
        <f t="shared" si="5"/>
        <v>0</v>
      </c>
      <c r="E40" s="135">
        <f t="shared" si="5"/>
        <v>0</v>
      </c>
      <c r="F40" s="135">
        <f t="shared" si="5"/>
        <v>0</v>
      </c>
      <c r="G40" s="135">
        <f t="shared" si="5"/>
        <v>0</v>
      </c>
      <c r="H40" s="135">
        <f t="shared" si="5"/>
        <v>0</v>
      </c>
      <c r="I40" s="135">
        <f t="shared" si="5"/>
        <v>0</v>
      </c>
      <c r="J40" s="135">
        <f t="shared" si="5"/>
        <v>0</v>
      </c>
      <c r="K40" s="135">
        <f t="shared" si="5"/>
        <v>0</v>
      </c>
      <c r="L40" s="135">
        <f t="shared" si="5"/>
        <v>0</v>
      </c>
      <c r="M40" s="135">
        <f t="shared" si="5"/>
        <v>0</v>
      </c>
      <c r="N40" s="135">
        <f t="shared" si="5"/>
        <v>0</v>
      </c>
      <c r="O40" s="135">
        <f t="shared" si="5"/>
        <v>0</v>
      </c>
      <c r="P40" s="135">
        <f t="shared" si="5"/>
        <v>0</v>
      </c>
      <c r="Q40" s="135">
        <f t="shared" si="5"/>
        <v>0</v>
      </c>
      <c r="R40" s="50"/>
    </row>
    <row r="41" spans="2:18" x14ac:dyDescent="0.3">
      <c r="B41" s="237">
        <f t="shared" si="6"/>
        <v>2017</v>
      </c>
      <c r="C41" s="135"/>
      <c r="D41" s="135"/>
      <c r="E41" s="135">
        <f t="shared" si="5"/>
        <v>0</v>
      </c>
      <c r="F41" s="135">
        <f t="shared" si="5"/>
        <v>0</v>
      </c>
      <c r="G41" s="135">
        <f t="shared" si="5"/>
        <v>0</v>
      </c>
      <c r="H41" s="135">
        <f t="shared" si="5"/>
        <v>0</v>
      </c>
      <c r="I41" s="135">
        <f t="shared" si="5"/>
        <v>0</v>
      </c>
      <c r="J41" s="135">
        <f t="shared" si="5"/>
        <v>0</v>
      </c>
      <c r="K41" s="135">
        <f t="shared" si="5"/>
        <v>0</v>
      </c>
      <c r="L41" s="135">
        <f t="shared" si="5"/>
        <v>0</v>
      </c>
      <c r="M41" s="135">
        <f t="shared" si="5"/>
        <v>0</v>
      </c>
      <c r="N41" s="135">
        <f t="shared" si="5"/>
        <v>0</v>
      </c>
      <c r="O41" s="135">
        <f t="shared" si="5"/>
        <v>0</v>
      </c>
      <c r="P41" s="135">
        <f t="shared" si="5"/>
        <v>0</v>
      </c>
      <c r="Q41" s="135">
        <f t="shared" si="5"/>
        <v>0</v>
      </c>
      <c r="R41" s="50"/>
    </row>
    <row r="42" spans="2:18" x14ac:dyDescent="0.3">
      <c r="B42" s="237">
        <f t="shared" si="6"/>
        <v>2018</v>
      </c>
      <c r="C42" s="135"/>
      <c r="D42" s="135"/>
      <c r="E42" s="135"/>
      <c r="F42" s="135">
        <f t="shared" si="5"/>
        <v>0</v>
      </c>
      <c r="G42" s="135">
        <f t="shared" si="5"/>
        <v>0</v>
      </c>
      <c r="H42" s="135">
        <f t="shared" si="5"/>
        <v>0</v>
      </c>
      <c r="I42" s="135">
        <f t="shared" si="5"/>
        <v>0</v>
      </c>
      <c r="J42" s="135">
        <f t="shared" si="5"/>
        <v>0</v>
      </c>
      <c r="K42" s="135">
        <f t="shared" si="5"/>
        <v>0</v>
      </c>
      <c r="L42" s="135">
        <f t="shared" si="5"/>
        <v>0</v>
      </c>
      <c r="M42" s="135">
        <f t="shared" si="5"/>
        <v>0</v>
      </c>
      <c r="N42" s="135">
        <f t="shared" si="5"/>
        <v>0</v>
      </c>
      <c r="O42" s="135">
        <f t="shared" si="5"/>
        <v>0</v>
      </c>
      <c r="P42" s="135">
        <f t="shared" si="5"/>
        <v>0</v>
      </c>
      <c r="Q42" s="135">
        <f t="shared" si="5"/>
        <v>0</v>
      </c>
      <c r="R42" s="50"/>
    </row>
    <row r="43" spans="2:18" x14ac:dyDescent="0.3">
      <c r="B43" s="237">
        <f t="shared" si="6"/>
        <v>2019</v>
      </c>
      <c r="C43" s="135"/>
      <c r="D43" s="135"/>
      <c r="E43" s="135"/>
      <c r="F43" s="135"/>
      <c r="G43" s="135">
        <f t="shared" si="5"/>
        <v>0</v>
      </c>
      <c r="H43" s="135">
        <f t="shared" si="5"/>
        <v>0</v>
      </c>
      <c r="I43" s="135">
        <f t="shared" si="5"/>
        <v>0</v>
      </c>
      <c r="J43" s="135">
        <f t="shared" si="5"/>
        <v>0</v>
      </c>
      <c r="K43" s="135">
        <f t="shared" si="5"/>
        <v>0</v>
      </c>
      <c r="L43" s="135">
        <f t="shared" si="5"/>
        <v>0</v>
      </c>
      <c r="M43" s="135">
        <f t="shared" si="5"/>
        <v>0</v>
      </c>
      <c r="N43" s="135">
        <f t="shared" si="5"/>
        <v>0</v>
      </c>
      <c r="O43" s="135">
        <f t="shared" si="5"/>
        <v>0</v>
      </c>
      <c r="P43" s="135">
        <f t="shared" si="5"/>
        <v>0</v>
      </c>
      <c r="Q43" s="135">
        <f t="shared" si="5"/>
        <v>0</v>
      </c>
      <c r="R43" s="50"/>
    </row>
    <row r="44" spans="2:18" x14ac:dyDescent="0.3">
      <c r="B44" s="237">
        <f t="shared" si="6"/>
        <v>2020</v>
      </c>
      <c r="C44" s="135"/>
      <c r="D44" s="135"/>
      <c r="E44" s="135"/>
      <c r="F44" s="135"/>
      <c r="G44" s="135"/>
      <c r="H44" s="135">
        <f t="shared" si="5"/>
        <v>0</v>
      </c>
      <c r="I44" s="135">
        <f t="shared" si="5"/>
        <v>0</v>
      </c>
      <c r="J44" s="135">
        <f t="shared" si="5"/>
        <v>0</v>
      </c>
      <c r="K44" s="135">
        <f t="shared" si="5"/>
        <v>0</v>
      </c>
      <c r="L44" s="135">
        <f t="shared" si="5"/>
        <v>0</v>
      </c>
      <c r="M44" s="135">
        <f t="shared" si="5"/>
        <v>0</v>
      </c>
      <c r="N44" s="135">
        <f t="shared" si="5"/>
        <v>0</v>
      </c>
      <c r="O44" s="135">
        <f t="shared" si="5"/>
        <v>0</v>
      </c>
      <c r="P44" s="135">
        <f t="shared" si="5"/>
        <v>0</v>
      </c>
      <c r="Q44" s="135">
        <f t="shared" si="5"/>
        <v>0</v>
      </c>
      <c r="R44" s="50"/>
    </row>
    <row r="45" spans="2:18" x14ac:dyDescent="0.3">
      <c r="B45" s="237">
        <f t="shared" si="6"/>
        <v>2021</v>
      </c>
      <c r="C45" s="135"/>
      <c r="D45" s="135"/>
      <c r="E45" s="135"/>
      <c r="F45" s="135"/>
      <c r="G45" s="135"/>
      <c r="H45" s="135"/>
      <c r="I45" s="135">
        <f t="shared" si="5"/>
        <v>2.4080636055310327</v>
      </c>
      <c r="J45" s="135">
        <f t="shared" si="5"/>
        <v>2.4080636055310327</v>
      </c>
      <c r="K45" s="135">
        <f t="shared" si="5"/>
        <v>2.4080636055310327</v>
      </c>
      <c r="L45" s="135">
        <f t="shared" si="5"/>
        <v>2.304516870493198</v>
      </c>
      <c r="M45" s="135">
        <f t="shared" si="5"/>
        <v>2.304516870493198</v>
      </c>
      <c r="N45" s="135">
        <f t="shared" si="5"/>
        <v>2.304516870493198</v>
      </c>
      <c r="O45" s="135">
        <f t="shared" si="5"/>
        <v>2.2527435029742815</v>
      </c>
      <c r="P45" s="135">
        <f t="shared" si="5"/>
        <v>2.2527435029742815</v>
      </c>
      <c r="Q45" s="135">
        <f t="shared" si="5"/>
        <v>2.1564209587530399</v>
      </c>
      <c r="R45" s="50"/>
    </row>
    <row r="46" spans="2:18" x14ac:dyDescent="0.3">
      <c r="B46" s="237">
        <f t="shared" si="6"/>
        <v>2022</v>
      </c>
      <c r="C46" s="135"/>
      <c r="D46" s="135"/>
      <c r="E46" s="135"/>
      <c r="F46" s="135"/>
      <c r="G46" s="135"/>
      <c r="H46" s="135"/>
      <c r="I46" s="135"/>
      <c r="J46" s="135">
        <f t="shared" si="5"/>
        <v>2.4080636055310327</v>
      </c>
      <c r="K46" s="135">
        <f t="shared" si="5"/>
        <v>2.4080636055310327</v>
      </c>
      <c r="L46" s="135">
        <f t="shared" si="5"/>
        <v>2.4080636055310327</v>
      </c>
      <c r="M46" s="135">
        <f t="shared" si="5"/>
        <v>2.304516870493198</v>
      </c>
      <c r="N46" s="135">
        <f t="shared" si="5"/>
        <v>2.304516870493198</v>
      </c>
      <c r="O46" s="135">
        <f t="shared" si="5"/>
        <v>2.304516870493198</v>
      </c>
      <c r="P46" s="135">
        <f t="shared" si="5"/>
        <v>2.2527435029742815</v>
      </c>
      <c r="Q46" s="135">
        <f t="shared" si="5"/>
        <v>2.2527435029742815</v>
      </c>
      <c r="R46" s="50"/>
    </row>
    <row r="47" spans="2:18" x14ac:dyDescent="0.3">
      <c r="B47" s="237">
        <f t="shared" si="6"/>
        <v>2023</v>
      </c>
      <c r="C47" s="135"/>
      <c r="D47" s="135"/>
      <c r="E47" s="135"/>
      <c r="F47" s="135"/>
      <c r="G47" s="135"/>
      <c r="H47" s="135"/>
      <c r="I47" s="135"/>
      <c r="J47" s="135"/>
      <c r="K47" s="135">
        <f t="shared" si="5"/>
        <v>2.4080636055310327</v>
      </c>
      <c r="L47" s="135">
        <f t="shared" si="5"/>
        <v>2.4080636055310327</v>
      </c>
      <c r="M47" s="135">
        <f t="shared" si="5"/>
        <v>2.4080636055310327</v>
      </c>
      <c r="N47" s="135">
        <f t="shared" si="5"/>
        <v>2.304516870493198</v>
      </c>
      <c r="O47" s="135">
        <f t="shared" si="5"/>
        <v>2.304516870493198</v>
      </c>
      <c r="P47" s="135">
        <f t="shared" si="5"/>
        <v>2.304516870493198</v>
      </c>
      <c r="Q47" s="135">
        <f t="shared" si="5"/>
        <v>2.2527435029742815</v>
      </c>
      <c r="R47" s="50"/>
    </row>
    <row r="48" spans="2:18" x14ac:dyDescent="0.3">
      <c r="B48" s="237">
        <f t="shared" si="6"/>
        <v>2024</v>
      </c>
      <c r="C48" s="135"/>
      <c r="D48" s="135"/>
      <c r="E48" s="135"/>
      <c r="F48" s="135"/>
      <c r="G48" s="135"/>
      <c r="H48" s="135"/>
      <c r="I48" s="135"/>
      <c r="J48" s="135"/>
      <c r="K48" s="135"/>
      <c r="L48" s="135">
        <f t="shared" si="5"/>
        <v>2.4080636055310327</v>
      </c>
      <c r="M48" s="135">
        <f t="shared" si="5"/>
        <v>2.4080636055310327</v>
      </c>
      <c r="N48" s="135">
        <f t="shared" si="5"/>
        <v>2.4080636055310327</v>
      </c>
      <c r="O48" s="135">
        <f t="shared" si="5"/>
        <v>2.304516870493198</v>
      </c>
      <c r="P48" s="135">
        <f t="shared" si="5"/>
        <v>2.304516870493198</v>
      </c>
      <c r="Q48" s="135">
        <f t="shared" si="5"/>
        <v>2.304516870493198</v>
      </c>
      <c r="R48" s="50"/>
    </row>
    <row r="49" spans="2:18" x14ac:dyDescent="0.3">
      <c r="B49" s="237">
        <f t="shared" si="6"/>
        <v>2025</v>
      </c>
      <c r="C49" s="135"/>
      <c r="D49" s="135"/>
      <c r="E49" s="135"/>
      <c r="F49" s="135"/>
      <c r="G49" s="135"/>
      <c r="H49" s="135"/>
      <c r="I49" s="135"/>
      <c r="J49" s="135"/>
      <c r="K49" s="135"/>
      <c r="L49" s="135"/>
      <c r="M49" s="135">
        <f>HLOOKUP($B49,$C$35:$Q$36,2,FALSE)*$C$23*(1-IF(ROUNDDOWN((M$35-$B49)/$D$23,0)&lt;1,0,IF(ROUNDDOWN((M$35-$B49)/$D$23,0)&lt;2,0.5,IF(ROUNDDOWN((M$35-$B49)/$D$23,0)&lt;3,0.75,IF(ROUNDDOWN((M$35-$B49)/$D$23,0)&lt;4,0.875,0.9375)))))+HLOOKUP($B49,$C$35:$Q$36,2,FALSE)*$C$24*(1-IF(ROUNDDOWN((M$35-$B49)/$D$24,0)&lt;1,0,IF(ROUNDDOWN((M$35-$B49)/$D$24,0)&lt;2,0.5,IF(ROUNDDOWN((M$35-$B49)/$D$24,0)&lt;3,0.75,IF(ROUNDDOWN((M$35-$B49)/$D$24,0)&lt;4,0.875,0.9375)))))+HLOOKUP($B49,$C$35:$Q$36,2,FALSE)*$C$25*(1-IF(ROUNDDOWN((M$35-$B49)/$D$25,0)&lt;1,0,IF(ROUNDDOWN((M$35-$B49)/$D$25,0)&lt;2,0.5,IF(ROUNDDOWN((M$35-$B49)/$D$25,0)&lt;3,0.75,IF(ROUNDDOWN((M$35-$B49)/$D$25,0)&lt;4,0.875,0.9375)))))+HLOOKUP($B49,$C$35:$Q$36,2,FALSE)*$C$26*(1-IF(ROUNDDOWN((M$35-$B49)/$D$26,0)&lt;1,0,IF(ROUNDDOWN((M$35-$B49)/$D$26,0)&lt;2,0.5,IF(ROUNDDOWN((M$35-$B49)/$D$26,0)&lt;3,0.75,IF(ROUNDDOWN((M$35-$B49)/$D$26,0)&lt;4,0.875,0.9375)))))+HLOOKUP($B49,$C$35:$Q$36,2,FALSE)*$C$27*(1-IF(ROUNDDOWN((M$35-$B49)/$D$27,0)&lt;1,0,IF(ROUNDDOWN((M$35-$B49)/$D$27,0)&lt;2,0.5,IF(ROUNDDOWN((M$35-$B49)/$D$27,0)&lt;3,0.75,IF(ROUNDDOWN((M$35-$B49)/$D$27,0)&lt;4,0.875,0.9375)))))+HLOOKUP($B49,$C$35:$Q$36,2,FALSE)*$C$28*(1-IF(ROUNDDOWN((M$35-$B49)/$D$28,0)&lt;1,0,IF(ROUNDDOWN((M$35-$B49)/$D$28,0)&lt;2,0.5,IF(ROUNDDOWN((M$35-$B49)/$D$28,0)&lt;3,0.75,IF(ROUNDDOWN((M$35-$B49)/$D$28,0)&lt;4,0.875,0.9375)))))</f>
        <v>2.4080636055310327</v>
      </c>
      <c r="N49" s="135">
        <f>HLOOKUP($B49,$C$35:$Q$36,2,FALSE)*$C$23*(1-IF(ROUNDDOWN((N$35-$B49)/$D$23,0)&lt;1,0,IF(ROUNDDOWN((N$35-$B49)/$D$23,0)&lt;2,0.5,IF(ROUNDDOWN((N$35-$B49)/$D$23,0)&lt;3,0.75,IF(ROUNDDOWN((N$35-$B49)/$D$23,0)&lt;4,0.875,0.9375)))))+HLOOKUP($B49,$C$35:$Q$36,2,FALSE)*$C$24*(1-IF(ROUNDDOWN((N$35-$B49)/$D$24,0)&lt;1,0,IF(ROUNDDOWN((N$35-$B49)/$D$24,0)&lt;2,0.5,IF(ROUNDDOWN((N$35-$B49)/$D$24,0)&lt;3,0.75,IF(ROUNDDOWN((N$35-$B49)/$D$24,0)&lt;4,0.875,0.9375)))))+HLOOKUP($B49,$C$35:$Q$36,2,FALSE)*$C$25*(1-IF(ROUNDDOWN((N$35-$B49)/$D$25,0)&lt;1,0,IF(ROUNDDOWN((N$35-$B49)/$D$25,0)&lt;2,0.5,IF(ROUNDDOWN((N$35-$B49)/$D$25,0)&lt;3,0.75,IF(ROUNDDOWN((N$35-$B49)/$D$25,0)&lt;4,0.875,0.9375)))))+HLOOKUP($B49,$C$35:$Q$36,2,FALSE)*$C$26*(1-IF(ROUNDDOWN((N$35-$B49)/$D$26,0)&lt;1,0,IF(ROUNDDOWN((N$35-$B49)/$D$26,0)&lt;2,0.5,IF(ROUNDDOWN((N$35-$B49)/$D$26,0)&lt;3,0.75,IF(ROUNDDOWN((N$35-$B49)/$D$26,0)&lt;4,0.875,0.9375)))))+HLOOKUP($B49,$C$35:$Q$36,2,FALSE)*$C$27*(1-IF(ROUNDDOWN((N$35-$B49)/$D$27,0)&lt;1,0,IF(ROUNDDOWN((N$35-$B49)/$D$27,0)&lt;2,0.5,IF(ROUNDDOWN((N$35-$B49)/$D$27,0)&lt;3,0.75,IF(ROUNDDOWN((N$35-$B49)/$D$27,0)&lt;4,0.875,0.9375)))))+HLOOKUP($B49,$C$35:$Q$36,2,FALSE)*$C$28*(1-IF(ROUNDDOWN((N$35-$B49)/$D$28,0)&lt;1,0,IF(ROUNDDOWN((N$35-$B49)/$D$28,0)&lt;2,0.5,IF(ROUNDDOWN((N$35-$B49)/$D$28,0)&lt;3,0.75,IF(ROUNDDOWN((N$35-$B49)/$D$28,0)&lt;4,0.875,0.9375)))))</f>
        <v>2.4080636055310327</v>
      </c>
      <c r="O49" s="135">
        <f>HLOOKUP($B49,$C$35:$Q$36,2,FALSE)*$C$23*(1-IF(ROUNDDOWN((O$35-$B49)/$D$23,0)&lt;1,0,IF(ROUNDDOWN((O$35-$B49)/$D$23,0)&lt;2,0.5,IF(ROUNDDOWN((O$35-$B49)/$D$23,0)&lt;3,0.75,IF(ROUNDDOWN((O$35-$B49)/$D$23,0)&lt;4,0.875,0.9375)))))+HLOOKUP($B49,$C$35:$Q$36,2,FALSE)*$C$24*(1-IF(ROUNDDOWN((O$35-$B49)/$D$24,0)&lt;1,0,IF(ROUNDDOWN((O$35-$B49)/$D$24,0)&lt;2,0.5,IF(ROUNDDOWN((O$35-$B49)/$D$24,0)&lt;3,0.75,IF(ROUNDDOWN((O$35-$B49)/$D$24,0)&lt;4,0.875,0.9375)))))+HLOOKUP($B49,$C$35:$Q$36,2,FALSE)*$C$25*(1-IF(ROUNDDOWN((O$35-$B49)/$D$25,0)&lt;1,0,IF(ROUNDDOWN((O$35-$B49)/$D$25,0)&lt;2,0.5,IF(ROUNDDOWN((O$35-$B49)/$D$25,0)&lt;3,0.75,IF(ROUNDDOWN((O$35-$B49)/$D$25,0)&lt;4,0.875,0.9375)))))+HLOOKUP($B49,$C$35:$Q$36,2,FALSE)*$C$26*(1-IF(ROUNDDOWN((O$35-$B49)/$D$26,0)&lt;1,0,IF(ROUNDDOWN((O$35-$B49)/$D$26,0)&lt;2,0.5,IF(ROUNDDOWN((O$35-$B49)/$D$26,0)&lt;3,0.75,IF(ROUNDDOWN((O$35-$B49)/$D$26,0)&lt;4,0.875,0.9375)))))+HLOOKUP($B49,$C$35:$Q$36,2,FALSE)*$C$27*(1-IF(ROUNDDOWN((O$35-$B49)/$D$27,0)&lt;1,0,IF(ROUNDDOWN((O$35-$B49)/$D$27,0)&lt;2,0.5,IF(ROUNDDOWN((O$35-$B49)/$D$27,0)&lt;3,0.75,IF(ROUNDDOWN((O$35-$B49)/$D$27,0)&lt;4,0.875,0.9375)))))+HLOOKUP($B49,$C$35:$Q$36,2,FALSE)*$C$28*(1-IF(ROUNDDOWN((O$35-$B49)/$D$28,0)&lt;1,0,IF(ROUNDDOWN((O$35-$B49)/$D$28,0)&lt;2,0.5,IF(ROUNDDOWN((O$35-$B49)/$D$28,0)&lt;3,0.75,IF(ROUNDDOWN((O$35-$B49)/$D$28,0)&lt;4,0.875,0.9375)))))</f>
        <v>2.4080636055310327</v>
      </c>
      <c r="P49" s="135">
        <f>HLOOKUP($B49,$C$35:$Q$36,2,FALSE)*$C$23*(1-IF(ROUNDDOWN((P$35-$B49)/$D$23,0)&lt;1,0,IF(ROUNDDOWN((P$35-$B49)/$D$23,0)&lt;2,0.5,IF(ROUNDDOWN((P$35-$B49)/$D$23,0)&lt;3,0.75,IF(ROUNDDOWN((P$35-$B49)/$D$23,0)&lt;4,0.875,0.9375)))))+HLOOKUP($B49,$C$35:$Q$36,2,FALSE)*$C$24*(1-IF(ROUNDDOWN((P$35-$B49)/$D$24,0)&lt;1,0,IF(ROUNDDOWN((P$35-$B49)/$D$24,0)&lt;2,0.5,IF(ROUNDDOWN((P$35-$B49)/$D$24,0)&lt;3,0.75,IF(ROUNDDOWN((P$35-$B49)/$D$24,0)&lt;4,0.875,0.9375)))))+HLOOKUP($B49,$C$35:$Q$36,2,FALSE)*$C$25*(1-IF(ROUNDDOWN((P$35-$B49)/$D$25,0)&lt;1,0,IF(ROUNDDOWN((P$35-$B49)/$D$25,0)&lt;2,0.5,IF(ROUNDDOWN((P$35-$B49)/$D$25,0)&lt;3,0.75,IF(ROUNDDOWN((P$35-$B49)/$D$25,0)&lt;4,0.875,0.9375)))))+HLOOKUP($B49,$C$35:$Q$36,2,FALSE)*$C$26*(1-IF(ROUNDDOWN((P$35-$B49)/$D$26,0)&lt;1,0,IF(ROUNDDOWN((P$35-$B49)/$D$26,0)&lt;2,0.5,IF(ROUNDDOWN((P$35-$B49)/$D$26,0)&lt;3,0.75,IF(ROUNDDOWN((P$35-$B49)/$D$26,0)&lt;4,0.875,0.9375)))))+HLOOKUP($B49,$C$35:$Q$36,2,FALSE)*$C$27*(1-IF(ROUNDDOWN((P$35-$B49)/$D$27,0)&lt;1,0,IF(ROUNDDOWN((P$35-$B49)/$D$27,0)&lt;2,0.5,IF(ROUNDDOWN((P$35-$B49)/$D$27,0)&lt;3,0.75,IF(ROUNDDOWN((P$35-$B49)/$D$27,0)&lt;4,0.875,0.9375)))))+HLOOKUP($B49,$C$35:$Q$36,2,FALSE)*$C$28*(1-IF(ROUNDDOWN((P$35-$B49)/$D$28,0)&lt;1,0,IF(ROUNDDOWN((P$35-$B49)/$D$28,0)&lt;2,0.5,IF(ROUNDDOWN((P$35-$B49)/$D$28,0)&lt;3,0.75,IF(ROUNDDOWN((P$35-$B49)/$D$28,0)&lt;4,0.875,0.9375)))))</f>
        <v>2.304516870493198</v>
      </c>
      <c r="Q49" s="135">
        <f>HLOOKUP($B49,$C$35:$Q$36,2,FALSE)*$C$23*(1-IF(ROUNDDOWN((Q$35-$B49)/$D$23,0)&lt;1,0,IF(ROUNDDOWN((Q$35-$B49)/$D$23,0)&lt;2,0.5,IF(ROUNDDOWN((Q$35-$B49)/$D$23,0)&lt;3,0.75,IF(ROUNDDOWN((Q$35-$B49)/$D$23,0)&lt;4,0.875,0.9375)))))+HLOOKUP($B49,$C$35:$Q$36,2,FALSE)*$C$24*(1-IF(ROUNDDOWN((Q$35-$B49)/$D$24,0)&lt;1,0,IF(ROUNDDOWN((Q$35-$B49)/$D$24,0)&lt;2,0.5,IF(ROUNDDOWN((Q$35-$B49)/$D$24,0)&lt;3,0.75,IF(ROUNDDOWN((Q$35-$B49)/$D$24,0)&lt;4,0.875,0.9375)))))+HLOOKUP($B49,$C$35:$Q$36,2,FALSE)*$C$25*(1-IF(ROUNDDOWN((Q$35-$B49)/$D$25,0)&lt;1,0,IF(ROUNDDOWN((Q$35-$B49)/$D$25,0)&lt;2,0.5,IF(ROUNDDOWN((Q$35-$B49)/$D$25,0)&lt;3,0.75,IF(ROUNDDOWN((Q$35-$B49)/$D$25,0)&lt;4,0.875,0.9375)))))+HLOOKUP($B49,$C$35:$Q$36,2,FALSE)*$C$26*(1-IF(ROUNDDOWN((Q$35-$B49)/$D$26,0)&lt;1,0,IF(ROUNDDOWN((Q$35-$B49)/$D$26,0)&lt;2,0.5,IF(ROUNDDOWN((Q$35-$B49)/$D$26,0)&lt;3,0.75,IF(ROUNDDOWN((Q$35-$B49)/$D$26,0)&lt;4,0.875,0.9375)))))+HLOOKUP($B49,$C$35:$Q$36,2,FALSE)*$C$27*(1-IF(ROUNDDOWN((Q$35-$B49)/$D$27,0)&lt;1,0,IF(ROUNDDOWN((Q$35-$B49)/$D$27,0)&lt;2,0.5,IF(ROUNDDOWN((Q$35-$B49)/$D$27,0)&lt;3,0.75,IF(ROUNDDOWN((Q$35-$B49)/$D$27,0)&lt;4,0.875,0.9375)))))+HLOOKUP($B49,$C$35:$Q$36,2,FALSE)*$C$28*(1-IF(ROUNDDOWN((Q$35-$B49)/$D$28,0)&lt;1,0,IF(ROUNDDOWN((Q$35-$B49)/$D$28,0)&lt;2,0.5,IF(ROUNDDOWN((Q$35-$B49)/$D$28,0)&lt;3,0.75,IF(ROUNDDOWN((Q$35-$B49)/$D$28,0)&lt;4,0.875,0.9375)))))</f>
        <v>2.304516870493198</v>
      </c>
      <c r="R49" s="50"/>
    </row>
    <row r="50" spans="2:18" x14ac:dyDescent="0.3">
      <c r="B50" s="237">
        <f t="shared" si="6"/>
        <v>2026</v>
      </c>
      <c r="C50" s="135"/>
      <c r="D50" s="135"/>
      <c r="E50" s="135"/>
      <c r="F50" s="135"/>
      <c r="G50" s="135"/>
      <c r="H50" s="135"/>
      <c r="I50" s="135"/>
      <c r="J50" s="135"/>
      <c r="K50" s="135"/>
      <c r="L50" s="135"/>
      <c r="M50" s="135"/>
      <c r="N50" s="135">
        <f>HLOOKUP($B50,$C$35:$Q$36,2,FALSE)*$C$23*(1-IF(ROUNDDOWN((N$35-$B50)/$D$23,0)&lt;1,0,IF(ROUNDDOWN((N$35-$B50)/$D$23,0)&lt;2,0.5,IF(ROUNDDOWN((N$35-$B50)/$D$23,0)&lt;3,0.75,IF(ROUNDDOWN((N$35-$B50)/$D$23,0)&lt;4,0.875,0.9375)))))+HLOOKUP($B50,$C$35:$Q$36,2,FALSE)*$C$24*(1-IF(ROUNDDOWN((N$35-$B50)/$D$24,0)&lt;1,0,IF(ROUNDDOWN((N$35-$B50)/$D$24,0)&lt;2,0.5,IF(ROUNDDOWN((N$35-$B50)/$D$24,0)&lt;3,0.75,IF(ROUNDDOWN((N$35-$B50)/$D$24,0)&lt;4,0.875,0.9375)))))+HLOOKUP($B50,$C$35:$Q$36,2,FALSE)*$C$25*(1-IF(ROUNDDOWN((N$35-$B50)/$D$25,0)&lt;1,0,IF(ROUNDDOWN((N$35-$B50)/$D$25,0)&lt;2,0.5,IF(ROUNDDOWN((N$35-$B50)/$D$25,0)&lt;3,0.75,IF(ROUNDDOWN((N$35-$B50)/$D$25,0)&lt;4,0.875,0.9375)))))+HLOOKUP($B50,$C$35:$Q$36,2,FALSE)*$C$26*(1-IF(ROUNDDOWN((N$35-$B50)/$D$26,0)&lt;1,0,IF(ROUNDDOWN((N$35-$B50)/$D$26,0)&lt;2,0.5,IF(ROUNDDOWN((N$35-$B50)/$D$26,0)&lt;3,0.75,IF(ROUNDDOWN((N$35-$B50)/$D$26,0)&lt;4,0.875,0.9375)))))+HLOOKUP($B50,$C$35:$Q$36,2,FALSE)*$C$27*(1-IF(ROUNDDOWN((N$35-$B50)/$D$27,0)&lt;1,0,IF(ROUNDDOWN((N$35-$B50)/$D$27,0)&lt;2,0.5,IF(ROUNDDOWN((N$35-$B50)/$D$27,0)&lt;3,0.75,IF(ROUNDDOWN((N$35-$B50)/$D$27,0)&lt;4,0.875,0.9375)))))+HLOOKUP($B50,$C$35:$Q$36,2,FALSE)*$C$28*(1-IF(ROUNDDOWN((N$35-$B50)/$D$28,0)&lt;1,0,IF(ROUNDDOWN((N$35-$B50)/$D$28,0)&lt;2,0.5,IF(ROUNDDOWN((N$35-$B50)/$D$28,0)&lt;3,0.75,IF(ROUNDDOWN((N$35-$B50)/$D$28,0)&lt;4,0.875,0.9375)))))</f>
        <v>2.4080636055310327</v>
      </c>
      <c r="O50" s="135">
        <f>HLOOKUP($B50,$C$35:$Q$36,2,FALSE)*$C$23*(1-IF(ROUNDDOWN((O$35-$B50)/$D$23,0)&lt;1,0,IF(ROUNDDOWN((O$35-$B50)/$D$23,0)&lt;2,0.5,IF(ROUNDDOWN((O$35-$B50)/$D$23,0)&lt;3,0.75,IF(ROUNDDOWN((O$35-$B50)/$D$23,0)&lt;4,0.875,0.9375)))))+HLOOKUP($B50,$C$35:$Q$36,2,FALSE)*$C$24*(1-IF(ROUNDDOWN((O$35-$B50)/$D$24,0)&lt;1,0,IF(ROUNDDOWN((O$35-$B50)/$D$24,0)&lt;2,0.5,IF(ROUNDDOWN((O$35-$B50)/$D$24,0)&lt;3,0.75,IF(ROUNDDOWN((O$35-$B50)/$D$24,0)&lt;4,0.875,0.9375)))))+HLOOKUP($B50,$C$35:$Q$36,2,FALSE)*$C$25*(1-IF(ROUNDDOWN((O$35-$B50)/$D$25,0)&lt;1,0,IF(ROUNDDOWN((O$35-$B50)/$D$25,0)&lt;2,0.5,IF(ROUNDDOWN((O$35-$B50)/$D$25,0)&lt;3,0.75,IF(ROUNDDOWN((O$35-$B50)/$D$25,0)&lt;4,0.875,0.9375)))))+HLOOKUP($B50,$C$35:$Q$36,2,FALSE)*$C$26*(1-IF(ROUNDDOWN((O$35-$B50)/$D$26,0)&lt;1,0,IF(ROUNDDOWN((O$35-$B50)/$D$26,0)&lt;2,0.5,IF(ROUNDDOWN((O$35-$B50)/$D$26,0)&lt;3,0.75,IF(ROUNDDOWN((O$35-$B50)/$D$26,0)&lt;4,0.875,0.9375)))))+HLOOKUP($B50,$C$35:$Q$36,2,FALSE)*$C$27*(1-IF(ROUNDDOWN((O$35-$B50)/$D$27,0)&lt;1,0,IF(ROUNDDOWN((O$35-$B50)/$D$27,0)&lt;2,0.5,IF(ROUNDDOWN((O$35-$B50)/$D$27,0)&lt;3,0.75,IF(ROUNDDOWN((O$35-$B50)/$D$27,0)&lt;4,0.875,0.9375)))))+HLOOKUP($B50,$C$35:$Q$36,2,FALSE)*$C$28*(1-IF(ROUNDDOWN((O$35-$B50)/$D$28,0)&lt;1,0,IF(ROUNDDOWN((O$35-$B50)/$D$28,0)&lt;2,0.5,IF(ROUNDDOWN((O$35-$B50)/$D$28,0)&lt;3,0.75,IF(ROUNDDOWN((O$35-$B50)/$D$28,0)&lt;4,0.875,0.9375)))))</f>
        <v>2.4080636055310327</v>
      </c>
      <c r="P50" s="135">
        <f>HLOOKUP($B50,$C$35:$Q$36,2,FALSE)*$C$23*(1-IF(ROUNDDOWN((P$35-$B50)/$D$23,0)&lt;1,0,IF(ROUNDDOWN((P$35-$B50)/$D$23,0)&lt;2,0.5,IF(ROUNDDOWN((P$35-$B50)/$D$23,0)&lt;3,0.75,IF(ROUNDDOWN((P$35-$B50)/$D$23,0)&lt;4,0.875,0.9375)))))+HLOOKUP($B50,$C$35:$Q$36,2,FALSE)*$C$24*(1-IF(ROUNDDOWN((P$35-$B50)/$D$24,0)&lt;1,0,IF(ROUNDDOWN((P$35-$B50)/$D$24,0)&lt;2,0.5,IF(ROUNDDOWN((P$35-$B50)/$D$24,0)&lt;3,0.75,IF(ROUNDDOWN((P$35-$B50)/$D$24,0)&lt;4,0.875,0.9375)))))+HLOOKUP($B50,$C$35:$Q$36,2,FALSE)*$C$25*(1-IF(ROUNDDOWN((P$35-$B50)/$D$25,0)&lt;1,0,IF(ROUNDDOWN((P$35-$B50)/$D$25,0)&lt;2,0.5,IF(ROUNDDOWN((P$35-$B50)/$D$25,0)&lt;3,0.75,IF(ROUNDDOWN((P$35-$B50)/$D$25,0)&lt;4,0.875,0.9375)))))+HLOOKUP($B50,$C$35:$Q$36,2,FALSE)*$C$26*(1-IF(ROUNDDOWN((P$35-$B50)/$D$26,0)&lt;1,0,IF(ROUNDDOWN((P$35-$B50)/$D$26,0)&lt;2,0.5,IF(ROUNDDOWN((P$35-$B50)/$D$26,0)&lt;3,0.75,IF(ROUNDDOWN((P$35-$B50)/$D$26,0)&lt;4,0.875,0.9375)))))+HLOOKUP($B50,$C$35:$Q$36,2,FALSE)*$C$27*(1-IF(ROUNDDOWN((P$35-$B50)/$D$27,0)&lt;1,0,IF(ROUNDDOWN((P$35-$B50)/$D$27,0)&lt;2,0.5,IF(ROUNDDOWN((P$35-$B50)/$D$27,0)&lt;3,0.75,IF(ROUNDDOWN((P$35-$B50)/$D$27,0)&lt;4,0.875,0.9375)))))+HLOOKUP($B50,$C$35:$Q$36,2,FALSE)*$C$28*(1-IF(ROUNDDOWN((P$35-$B50)/$D$28,0)&lt;1,0,IF(ROUNDDOWN((P$35-$B50)/$D$28,0)&lt;2,0.5,IF(ROUNDDOWN((P$35-$B50)/$D$28,0)&lt;3,0.75,IF(ROUNDDOWN((P$35-$B50)/$D$28,0)&lt;4,0.875,0.9375)))))</f>
        <v>2.4080636055310327</v>
      </c>
      <c r="Q50" s="135">
        <f>HLOOKUP($B50,$C$35:$Q$36,2,FALSE)*$C$23*(1-IF(ROUNDDOWN((Q$35-$B50)/$D$23,0)&lt;1,0,IF(ROUNDDOWN((Q$35-$B50)/$D$23,0)&lt;2,0.5,IF(ROUNDDOWN((Q$35-$B50)/$D$23,0)&lt;3,0.75,IF(ROUNDDOWN((Q$35-$B50)/$D$23,0)&lt;4,0.875,0.9375)))))+HLOOKUP($B50,$C$35:$Q$36,2,FALSE)*$C$24*(1-IF(ROUNDDOWN((Q$35-$B50)/$D$24,0)&lt;1,0,IF(ROUNDDOWN((Q$35-$B50)/$D$24,0)&lt;2,0.5,IF(ROUNDDOWN((Q$35-$B50)/$D$24,0)&lt;3,0.75,IF(ROUNDDOWN((Q$35-$B50)/$D$24,0)&lt;4,0.875,0.9375)))))+HLOOKUP($B50,$C$35:$Q$36,2,FALSE)*$C$25*(1-IF(ROUNDDOWN((Q$35-$B50)/$D$25,0)&lt;1,0,IF(ROUNDDOWN((Q$35-$B50)/$D$25,0)&lt;2,0.5,IF(ROUNDDOWN((Q$35-$B50)/$D$25,0)&lt;3,0.75,IF(ROUNDDOWN((Q$35-$B50)/$D$25,0)&lt;4,0.875,0.9375)))))+HLOOKUP($B50,$C$35:$Q$36,2,FALSE)*$C$26*(1-IF(ROUNDDOWN((Q$35-$B50)/$D$26,0)&lt;1,0,IF(ROUNDDOWN((Q$35-$B50)/$D$26,0)&lt;2,0.5,IF(ROUNDDOWN((Q$35-$B50)/$D$26,0)&lt;3,0.75,IF(ROUNDDOWN((Q$35-$B50)/$D$26,0)&lt;4,0.875,0.9375)))))+HLOOKUP($B50,$C$35:$Q$36,2,FALSE)*$C$27*(1-IF(ROUNDDOWN((Q$35-$B50)/$D$27,0)&lt;1,0,IF(ROUNDDOWN((Q$35-$B50)/$D$27,0)&lt;2,0.5,IF(ROUNDDOWN((Q$35-$B50)/$D$27,0)&lt;3,0.75,IF(ROUNDDOWN((Q$35-$B50)/$D$27,0)&lt;4,0.875,0.9375)))))+HLOOKUP($B50,$C$35:$Q$36,2,FALSE)*$C$28*(1-IF(ROUNDDOWN((Q$35-$B50)/$D$28,0)&lt;1,0,IF(ROUNDDOWN((Q$35-$B50)/$D$28,0)&lt;2,0.5,IF(ROUNDDOWN((Q$35-$B50)/$D$28,0)&lt;3,0.75,IF(ROUNDDOWN((Q$35-$B50)/$D$28,0)&lt;4,0.875,0.9375)))))</f>
        <v>2.304516870493198</v>
      </c>
      <c r="R50" s="50"/>
    </row>
    <row r="51" spans="2:18" x14ac:dyDescent="0.3">
      <c r="B51" s="237">
        <f t="shared" si="6"/>
        <v>2027</v>
      </c>
      <c r="C51" s="135"/>
      <c r="D51" s="135"/>
      <c r="E51" s="135"/>
      <c r="F51" s="135"/>
      <c r="G51" s="135"/>
      <c r="H51" s="135"/>
      <c r="I51" s="135"/>
      <c r="J51" s="135"/>
      <c r="K51" s="135"/>
      <c r="L51" s="135"/>
      <c r="M51" s="135"/>
      <c r="N51" s="135"/>
      <c r="O51" s="135">
        <f>HLOOKUP($B51,$C$35:$Q$36,2,FALSE)*$C$23*(1-IF(ROUNDDOWN((O$35-$B51)/$D$23,0)&lt;1,0,IF(ROUNDDOWN((O$35-$B51)/$D$23,0)&lt;2,0.5,IF(ROUNDDOWN((O$35-$B51)/$D$23,0)&lt;3,0.75,IF(ROUNDDOWN((O$35-$B51)/$D$23,0)&lt;4,0.875,0.9375)))))+HLOOKUP($B51,$C$35:$Q$36,2,FALSE)*$C$24*(1-IF(ROUNDDOWN((O$35-$B51)/$D$24,0)&lt;1,0,IF(ROUNDDOWN((O$35-$B51)/$D$24,0)&lt;2,0.5,IF(ROUNDDOWN((O$35-$B51)/$D$24,0)&lt;3,0.75,IF(ROUNDDOWN((O$35-$B51)/$D$24,0)&lt;4,0.875,0.9375)))))+HLOOKUP($B51,$C$35:$Q$36,2,FALSE)*$C$25*(1-IF(ROUNDDOWN((O$35-$B51)/$D$25,0)&lt;1,0,IF(ROUNDDOWN((O$35-$B51)/$D$25,0)&lt;2,0.5,IF(ROUNDDOWN((O$35-$B51)/$D$25,0)&lt;3,0.75,IF(ROUNDDOWN((O$35-$B51)/$D$25,0)&lt;4,0.875,0.9375)))))+HLOOKUP($B51,$C$35:$Q$36,2,FALSE)*$C$26*(1-IF(ROUNDDOWN((O$35-$B51)/$D$26,0)&lt;1,0,IF(ROUNDDOWN((O$35-$B51)/$D$26,0)&lt;2,0.5,IF(ROUNDDOWN((O$35-$B51)/$D$26,0)&lt;3,0.75,IF(ROUNDDOWN((O$35-$B51)/$D$26,0)&lt;4,0.875,0.9375)))))+HLOOKUP($B51,$C$35:$Q$36,2,FALSE)*$C$27*(1-IF(ROUNDDOWN((O$35-$B51)/$D$27,0)&lt;1,0,IF(ROUNDDOWN((O$35-$B51)/$D$27,0)&lt;2,0.5,IF(ROUNDDOWN((O$35-$B51)/$D$27,0)&lt;3,0.75,IF(ROUNDDOWN((O$35-$B51)/$D$27,0)&lt;4,0.875,0.9375)))))+HLOOKUP($B51,$C$35:$Q$36,2,FALSE)*$C$28*(1-IF(ROUNDDOWN((O$35-$B51)/$D$28,0)&lt;1,0,IF(ROUNDDOWN((O$35-$B51)/$D$28,0)&lt;2,0.5,IF(ROUNDDOWN((O$35-$B51)/$D$28,0)&lt;3,0.75,IF(ROUNDDOWN((O$35-$B51)/$D$28,0)&lt;4,0.875,0.9375)))))</f>
        <v>2.4080636055310327</v>
      </c>
      <c r="P51" s="135">
        <f>HLOOKUP($B51,$C$35:$Q$36,2,FALSE)*$C$23*(1-IF(ROUNDDOWN((P$35-$B51)/$D$23,0)&lt;1,0,IF(ROUNDDOWN((P$35-$B51)/$D$23,0)&lt;2,0.5,IF(ROUNDDOWN((P$35-$B51)/$D$23,0)&lt;3,0.75,IF(ROUNDDOWN((P$35-$B51)/$D$23,0)&lt;4,0.875,0.9375)))))+HLOOKUP($B51,$C$35:$Q$36,2,FALSE)*$C$24*(1-IF(ROUNDDOWN((P$35-$B51)/$D$24,0)&lt;1,0,IF(ROUNDDOWN((P$35-$B51)/$D$24,0)&lt;2,0.5,IF(ROUNDDOWN((P$35-$B51)/$D$24,0)&lt;3,0.75,IF(ROUNDDOWN((P$35-$B51)/$D$24,0)&lt;4,0.875,0.9375)))))+HLOOKUP($B51,$C$35:$Q$36,2,FALSE)*$C$25*(1-IF(ROUNDDOWN((P$35-$B51)/$D$25,0)&lt;1,0,IF(ROUNDDOWN((P$35-$B51)/$D$25,0)&lt;2,0.5,IF(ROUNDDOWN((P$35-$B51)/$D$25,0)&lt;3,0.75,IF(ROUNDDOWN((P$35-$B51)/$D$25,0)&lt;4,0.875,0.9375)))))+HLOOKUP($B51,$C$35:$Q$36,2,FALSE)*$C$26*(1-IF(ROUNDDOWN((P$35-$B51)/$D$26,0)&lt;1,0,IF(ROUNDDOWN((P$35-$B51)/$D$26,0)&lt;2,0.5,IF(ROUNDDOWN((P$35-$B51)/$D$26,0)&lt;3,0.75,IF(ROUNDDOWN((P$35-$B51)/$D$26,0)&lt;4,0.875,0.9375)))))+HLOOKUP($B51,$C$35:$Q$36,2,FALSE)*$C$27*(1-IF(ROUNDDOWN((P$35-$B51)/$D$27,0)&lt;1,0,IF(ROUNDDOWN((P$35-$B51)/$D$27,0)&lt;2,0.5,IF(ROUNDDOWN((P$35-$B51)/$D$27,0)&lt;3,0.75,IF(ROUNDDOWN((P$35-$B51)/$D$27,0)&lt;4,0.875,0.9375)))))+HLOOKUP($B51,$C$35:$Q$36,2,FALSE)*$C$28*(1-IF(ROUNDDOWN((P$35-$B51)/$D$28,0)&lt;1,0,IF(ROUNDDOWN((P$35-$B51)/$D$28,0)&lt;2,0.5,IF(ROUNDDOWN((P$35-$B51)/$D$28,0)&lt;3,0.75,IF(ROUNDDOWN((P$35-$B51)/$D$28,0)&lt;4,0.875,0.9375)))))</f>
        <v>2.4080636055310327</v>
      </c>
      <c r="Q51" s="135">
        <f>HLOOKUP($B51,$C$35:$Q$36,2,FALSE)*$C$23*(1-IF(ROUNDDOWN((Q$35-$B51)/$D$23,0)&lt;1,0,IF(ROUNDDOWN((Q$35-$B51)/$D$23,0)&lt;2,0.5,IF(ROUNDDOWN((Q$35-$B51)/$D$23,0)&lt;3,0.75,IF(ROUNDDOWN((Q$35-$B51)/$D$23,0)&lt;4,0.875,0.9375)))))+HLOOKUP($B51,$C$35:$Q$36,2,FALSE)*$C$24*(1-IF(ROUNDDOWN((Q$35-$B51)/$D$24,0)&lt;1,0,IF(ROUNDDOWN((Q$35-$B51)/$D$24,0)&lt;2,0.5,IF(ROUNDDOWN((Q$35-$B51)/$D$24,0)&lt;3,0.75,IF(ROUNDDOWN((Q$35-$B51)/$D$24,0)&lt;4,0.875,0.9375)))))+HLOOKUP($B51,$C$35:$Q$36,2,FALSE)*$C$25*(1-IF(ROUNDDOWN((Q$35-$B51)/$D$25,0)&lt;1,0,IF(ROUNDDOWN((Q$35-$B51)/$D$25,0)&lt;2,0.5,IF(ROUNDDOWN((Q$35-$B51)/$D$25,0)&lt;3,0.75,IF(ROUNDDOWN((Q$35-$B51)/$D$25,0)&lt;4,0.875,0.9375)))))+HLOOKUP($B51,$C$35:$Q$36,2,FALSE)*$C$26*(1-IF(ROUNDDOWN((Q$35-$B51)/$D$26,0)&lt;1,0,IF(ROUNDDOWN((Q$35-$B51)/$D$26,0)&lt;2,0.5,IF(ROUNDDOWN((Q$35-$B51)/$D$26,0)&lt;3,0.75,IF(ROUNDDOWN((Q$35-$B51)/$D$26,0)&lt;4,0.875,0.9375)))))+HLOOKUP($B51,$C$35:$Q$36,2,FALSE)*$C$27*(1-IF(ROUNDDOWN((Q$35-$B51)/$D$27,0)&lt;1,0,IF(ROUNDDOWN((Q$35-$B51)/$D$27,0)&lt;2,0.5,IF(ROUNDDOWN((Q$35-$B51)/$D$27,0)&lt;3,0.75,IF(ROUNDDOWN((Q$35-$B51)/$D$27,0)&lt;4,0.875,0.9375)))))+HLOOKUP($B51,$C$35:$Q$36,2,FALSE)*$C$28*(1-IF(ROUNDDOWN((Q$35-$B51)/$D$28,0)&lt;1,0,IF(ROUNDDOWN((Q$35-$B51)/$D$28,0)&lt;2,0.5,IF(ROUNDDOWN((Q$35-$B51)/$D$28,0)&lt;3,0.75,IF(ROUNDDOWN((Q$35-$B51)/$D$28,0)&lt;4,0.875,0.9375)))))</f>
        <v>2.4080636055310327</v>
      </c>
      <c r="R51" s="50"/>
    </row>
    <row r="52" spans="2:18" x14ac:dyDescent="0.3">
      <c r="B52" s="237">
        <f t="shared" si="6"/>
        <v>2028</v>
      </c>
      <c r="C52" s="135"/>
      <c r="D52" s="135"/>
      <c r="E52" s="135"/>
      <c r="F52" s="135"/>
      <c r="G52" s="135"/>
      <c r="H52" s="135"/>
      <c r="I52" s="135"/>
      <c r="J52" s="135"/>
      <c r="K52" s="135"/>
      <c r="L52" s="135"/>
      <c r="M52" s="135"/>
      <c r="N52" s="135"/>
      <c r="O52" s="135"/>
      <c r="P52" s="135">
        <f>HLOOKUP($B52,$C$35:$Q$36,2,FALSE)*$C$23*(1-IF(ROUNDDOWN((P$35-$B52)/$D$23,0)&lt;1,0,IF(ROUNDDOWN((P$35-$B52)/$D$23,0)&lt;2,0.5,IF(ROUNDDOWN((P$35-$B52)/$D$23,0)&lt;3,0.75,IF(ROUNDDOWN((P$35-$B52)/$D$23,0)&lt;4,0.875,0.9375)))))+HLOOKUP($B52,$C$35:$Q$36,2,FALSE)*$C$24*(1-IF(ROUNDDOWN((P$35-$B52)/$D$24,0)&lt;1,0,IF(ROUNDDOWN((P$35-$B52)/$D$24,0)&lt;2,0.5,IF(ROUNDDOWN((P$35-$B52)/$D$24,0)&lt;3,0.75,IF(ROUNDDOWN((P$35-$B52)/$D$24,0)&lt;4,0.875,0.9375)))))+HLOOKUP($B52,$C$35:$Q$36,2,FALSE)*$C$25*(1-IF(ROUNDDOWN((P$35-$B52)/$D$25,0)&lt;1,0,IF(ROUNDDOWN((P$35-$B52)/$D$25,0)&lt;2,0.5,IF(ROUNDDOWN((P$35-$B52)/$D$25,0)&lt;3,0.75,IF(ROUNDDOWN((P$35-$B52)/$D$25,0)&lt;4,0.875,0.9375)))))+HLOOKUP($B52,$C$35:$Q$36,2,FALSE)*$C$26*(1-IF(ROUNDDOWN((P$35-$B52)/$D$26,0)&lt;1,0,IF(ROUNDDOWN((P$35-$B52)/$D$26,0)&lt;2,0.5,IF(ROUNDDOWN((P$35-$B52)/$D$26,0)&lt;3,0.75,IF(ROUNDDOWN((P$35-$B52)/$D$26,0)&lt;4,0.875,0.9375)))))+HLOOKUP($B52,$C$35:$Q$36,2,FALSE)*$C$27*(1-IF(ROUNDDOWN((P$35-$B52)/$D$27,0)&lt;1,0,IF(ROUNDDOWN((P$35-$B52)/$D$27,0)&lt;2,0.5,IF(ROUNDDOWN((P$35-$B52)/$D$27,0)&lt;3,0.75,IF(ROUNDDOWN((P$35-$B52)/$D$27,0)&lt;4,0.875,0.9375)))))+HLOOKUP($B52,$C$35:$Q$36,2,FALSE)*$C$28*(1-IF(ROUNDDOWN((P$35-$B52)/$D$28,0)&lt;1,0,IF(ROUNDDOWN((P$35-$B52)/$D$28,0)&lt;2,0.5,IF(ROUNDDOWN((P$35-$B52)/$D$28,0)&lt;3,0.75,IF(ROUNDDOWN((P$35-$B52)/$D$28,0)&lt;4,0.875,0.9375)))))</f>
        <v>2.4080636055310327</v>
      </c>
      <c r="Q52" s="135">
        <f>HLOOKUP($B52,$C$35:$Q$36,2,FALSE)*$C$23*(1-IF(ROUNDDOWN((Q$35-$B52)/$D$23,0)&lt;1,0,IF(ROUNDDOWN((Q$35-$B52)/$D$23,0)&lt;2,0.5,IF(ROUNDDOWN((Q$35-$B52)/$D$23,0)&lt;3,0.75,IF(ROUNDDOWN((Q$35-$B52)/$D$23,0)&lt;4,0.875,0.9375)))))+HLOOKUP($B52,$C$35:$Q$36,2,FALSE)*$C$24*(1-IF(ROUNDDOWN((Q$35-$B52)/$D$24,0)&lt;1,0,IF(ROUNDDOWN((Q$35-$B52)/$D$24,0)&lt;2,0.5,IF(ROUNDDOWN((Q$35-$B52)/$D$24,0)&lt;3,0.75,IF(ROUNDDOWN((Q$35-$B52)/$D$24,0)&lt;4,0.875,0.9375)))))+HLOOKUP($B52,$C$35:$Q$36,2,FALSE)*$C$25*(1-IF(ROUNDDOWN((Q$35-$B52)/$D$25,0)&lt;1,0,IF(ROUNDDOWN((Q$35-$B52)/$D$25,0)&lt;2,0.5,IF(ROUNDDOWN((Q$35-$B52)/$D$25,0)&lt;3,0.75,IF(ROUNDDOWN((Q$35-$B52)/$D$25,0)&lt;4,0.875,0.9375)))))+HLOOKUP($B52,$C$35:$Q$36,2,FALSE)*$C$26*(1-IF(ROUNDDOWN((Q$35-$B52)/$D$26,0)&lt;1,0,IF(ROUNDDOWN((Q$35-$B52)/$D$26,0)&lt;2,0.5,IF(ROUNDDOWN((Q$35-$B52)/$D$26,0)&lt;3,0.75,IF(ROUNDDOWN((Q$35-$B52)/$D$26,0)&lt;4,0.875,0.9375)))))+HLOOKUP($B52,$C$35:$Q$36,2,FALSE)*$C$27*(1-IF(ROUNDDOWN((Q$35-$B52)/$D$27,0)&lt;1,0,IF(ROUNDDOWN((Q$35-$B52)/$D$27,0)&lt;2,0.5,IF(ROUNDDOWN((Q$35-$B52)/$D$27,0)&lt;3,0.75,IF(ROUNDDOWN((Q$35-$B52)/$D$27,0)&lt;4,0.875,0.9375)))))+HLOOKUP($B52,$C$35:$Q$36,2,FALSE)*$C$28*(1-IF(ROUNDDOWN((Q$35-$B52)/$D$28,0)&lt;1,0,IF(ROUNDDOWN((Q$35-$B52)/$D$28,0)&lt;2,0.5,IF(ROUNDDOWN((Q$35-$B52)/$D$28,0)&lt;3,0.75,IF(ROUNDDOWN((Q$35-$B52)/$D$28,0)&lt;4,0.875,0.9375)))))</f>
        <v>2.4080636055310327</v>
      </c>
      <c r="R52" s="50"/>
    </row>
    <row r="53" spans="2:18" x14ac:dyDescent="0.3">
      <c r="B53" s="237">
        <f t="shared" si="6"/>
        <v>2029</v>
      </c>
      <c r="C53" s="135"/>
      <c r="D53" s="135"/>
      <c r="E53" s="135"/>
      <c r="F53" s="135"/>
      <c r="G53" s="135"/>
      <c r="H53" s="135"/>
      <c r="I53" s="135"/>
      <c r="J53" s="135"/>
      <c r="K53" s="135"/>
      <c r="L53" s="135"/>
      <c r="M53" s="135"/>
      <c r="N53" s="135"/>
      <c r="O53" s="135"/>
      <c r="P53" s="135"/>
      <c r="Q53" s="135">
        <f>HLOOKUP($B53,$C$35:$Q$36,2,FALSE)*$C$23*(1-IF(ROUNDDOWN((Q$35-$B53)/$D$23,0)&lt;1,0,IF(ROUNDDOWN((Q$35-$B53)/$D$23,0)&lt;2,0.5,IF(ROUNDDOWN((Q$35-$B53)/$D$23,0)&lt;3,0.75,IF(ROUNDDOWN((Q$35-$B53)/$D$23,0)&lt;4,0.875,0.9375)))))+HLOOKUP($B53,$C$35:$Q$36,2,FALSE)*$C$24*(1-IF(ROUNDDOWN((Q$35-$B53)/$D$24,0)&lt;1,0,IF(ROUNDDOWN((Q$35-$B53)/$D$24,0)&lt;2,0.5,IF(ROUNDDOWN((Q$35-$B53)/$D$24,0)&lt;3,0.75,IF(ROUNDDOWN((Q$35-$B53)/$D$24,0)&lt;4,0.875,0.9375)))))+HLOOKUP($B53,$C$35:$Q$36,2,FALSE)*$C$25*(1-IF(ROUNDDOWN((Q$35-$B53)/$D$25,0)&lt;1,0,IF(ROUNDDOWN((Q$35-$B53)/$D$25,0)&lt;2,0.5,IF(ROUNDDOWN((Q$35-$B53)/$D$25,0)&lt;3,0.75,IF(ROUNDDOWN((Q$35-$B53)/$D$25,0)&lt;4,0.875,0.9375)))))+HLOOKUP($B53,$C$35:$Q$36,2,FALSE)*$C$26*(1-IF(ROUNDDOWN((Q$35-$B53)/$D$26,0)&lt;1,0,IF(ROUNDDOWN((Q$35-$B53)/$D$26,0)&lt;2,0.5,IF(ROUNDDOWN((Q$35-$B53)/$D$26,0)&lt;3,0.75,IF(ROUNDDOWN((Q$35-$B53)/$D$26,0)&lt;4,0.875,0.9375)))))+HLOOKUP($B53,$C$35:$Q$36,2,FALSE)*$C$27*(1-IF(ROUNDDOWN((Q$35-$B53)/$D$27,0)&lt;1,0,IF(ROUNDDOWN((Q$35-$B53)/$D$27,0)&lt;2,0.5,IF(ROUNDDOWN((Q$35-$B53)/$D$27,0)&lt;3,0.75,IF(ROUNDDOWN((Q$35-$B53)/$D$27,0)&lt;4,0.875,0.9375)))))+HLOOKUP($B53,$C$35:$Q$36,2,FALSE)*$C$28*(1-IF(ROUNDDOWN((Q$35-$B53)/$D$28,0)&lt;1,0,IF(ROUNDDOWN((Q$35-$B53)/$D$28,0)&lt;2,0.5,IF(ROUNDDOWN((Q$35-$B53)/$D$28,0)&lt;3,0.75,IF(ROUNDDOWN((Q$35-$B53)/$D$28,0)&lt;4,0.875,0.9375)))))</f>
        <v>2.4080636055310327</v>
      </c>
      <c r="R53" s="50"/>
    </row>
    <row r="54" spans="2:18" x14ac:dyDescent="0.3">
      <c r="B54" s="51"/>
      <c r="C54" s="241"/>
      <c r="D54" s="241"/>
      <c r="E54" s="241"/>
      <c r="F54" s="241"/>
      <c r="G54" s="241"/>
      <c r="H54" s="241"/>
      <c r="I54" s="241"/>
      <c r="J54" s="241"/>
      <c r="K54" s="241"/>
      <c r="L54" s="241"/>
      <c r="M54" s="241"/>
      <c r="N54" s="241"/>
      <c r="O54" s="241"/>
      <c r="P54" s="241"/>
      <c r="Q54" s="241"/>
      <c r="R54" s="50"/>
    </row>
    <row r="55" spans="2:18" x14ac:dyDescent="0.3">
      <c r="B55" s="242" t="s">
        <v>371</v>
      </c>
      <c r="C55" s="243">
        <f t="shared" ref="C55:Q55" si="7">SUM(C39:C53)</f>
        <v>0</v>
      </c>
      <c r="D55" s="243">
        <f t="shared" si="7"/>
        <v>0</v>
      </c>
      <c r="E55" s="243">
        <f t="shared" si="7"/>
        <v>0</v>
      </c>
      <c r="F55" s="243">
        <f t="shared" si="7"/>
        <v>0</v>
      </c>
      <c r="G55" s="243">
        <f t="shared" si="7"/>
        <v>0</v>
      </c>
      <c r="H55" s="243">
        <f t="shared" si="7"/>
        <v>0</v>
      </c>
      <c r="I55" s="243">
        <f t="shared" si="7"/>
        <v>2.4080636055310327</v>
      </c>
      <c r="J55" s="243">
        <f t="shared" si="7"/>
        <v>4.8161272110620654</v>
      </c>
      <c r="K55" s="243">
        <f t="shared" si="7"/>
        <v>7.2241908165930981</v>
      </c>
      <c r="L55" s="243">
        <f t="shared" si="7"/>
        <v>9.5287076870862961</v>
      </c>
      <c r="M55" s="243">
        <f t="shared" si="7"/>
        <v>11.833224557579495</v>
      </c>
      <c r="N55" s="243">
        <f t="shared" si="7"/>
        <v>14.137741428072694</v>
      </c>
      <c r="O55" s="243">
        <f t="shared" si="7"/>
        <v>16.390484931046977</v>
      </c>
      <c r="P55" s="243">
        <f t="shared" si="7"/>
        <v>18.643228434021257</v>
      </c>
      <c r="Q55" s="243">
        <f t="shared" si="7"/>
        <v>20.799649392774299</v>
      </c>
      <c r="R55" s="50"/>
    </row>
    <row r="56" spans="2:18" x14ac:dyDescent="0.3">
      <c r="B56" s="51"/>
      <c r="C56" s="3"/>
      <c r="D56" s="3"/>
      <c r="E56" s="3"/>
      <c r="F56" s="3"/>
      <c r="G56" s="3"/>
      <c r="H56" s="3"/>
      <c r="I56" s="3"/>
      <c r="J56" s="3"/>
      <c r="K56" s="3"/>
      <c r="L56" s="3"/>
      <c r="M56" s="3"/>
      <c r="N56" s="3"/>
      <c r="O56" s="3"/>
      <c r="P56" s="3"/>
      <c r="Q56" s="3"/>
      <c r="R56" s="50"/>
    </row>
    <row r="57" spans="2:18" x14ac:dyDescent="0.3">
      <c r="B57" s="51"/>
      <c r="C57" s="3"/>
      <c r="D57" s="3"/>
      <c r="E57" s="3"/>
      <c r="F57" s="3"/>
      <c r="G57" s="3"/>
      <c r="H57" s="3"/>
      <c r="I57" s="3"/>
      <c r="J57" s="3"/>
      <c r="K57" s="3"/>
      <c r="L57" s="3"/>
      <c r="M57" s="3"/>
      <c r="N57" s="3"/>
      <c r="O57" s="3"/>
      <c r="P57" s="3"/>
      <c r="Q57" s="3"/>
      <c r="R57" s="50"/>
    </row>
    <row r="58" spans="2:18" x14ac:dyDescent="0.3">
      <c r="B58" s="51" t="s">
        <v>365</v>
      </c>
      <c r="C58" s="3" t="s">
        <v>372</v>
      </c>
      <c r="D58" s="3"/>
      <c r="E58" s="3"/>
      <c r="F58" s="3"/>
      <c r="G58" s="3"/>
      <c r="H58" s="3"/>
      <c r="I58" s="3"/>
      <c r="J58" s="3"/>
      <c r="K58" s="3"/>
      <c r="L58" s="3"/>
      <c r="M58" s="3"/>
      <c r="N58" s="3"/>
      <c r="O58" s="3"/>
      <c r="P58" s="3"/>
      <c r="Q58" s="3"/>
      <c r="R58" s="50"/>
    </row>
    <row r="59" spans="2:18" x14ac:dyDescent="0.3">
      <c r="B59" s="51"/>
      <c r="C59" s="131">
        <f t="shared" ref="C59:Q59" si="8">C62</f>
        <v>2015</v>
      </c>
      <c r="D59" s="131">
        <f t="shared" si="8"/>
        <v>2016</v>
      </c>
      <c r="E59" s="131">
        <f t="shared" si="8"/>
        <v>2017</v>
      </c>
      <c r="F59" s="131">
        <f t="shared" si="8"/>
        <v>2018</v>
      </c>
      <c r="G59" s="131">
        <f t="shared" si="8"/>
        <v>2019</v>
      </c>
      <c r="H59" s="131">
        <f t="shared" si="8"/>
        <v>2020</v>
      </c>
      <c r="I59" s="131">
        <f t="shared" si="8"/>
        <v>2021</v>
      </c>
      <c r="J59" s="131">
        <f t="shared" si="8"/>
        <v>2022</v>
      </c>
      <c r="K59" s="131">
        <f t="shared" si="8"/>
        <v>2023</v>
      </c>
      <c r="L59" s="131">
        <f t="shared" si="8"/>
        <v>2024</v>
      </c>
      <c r="M59" s="131">
        <f t="shared" si="8"/>
        <v>2025</v>
      </c>
      <c r="N59" s="131">
        <f t="shared" si="8"/>
        <v>2026</v>
      </c>
      <c r="O59" s="131">
        <f t="shared" si="8"/>
        <v>2027</v>
      </c>
      <c r="P59" s="131">
        <f t="shared" si="8"/>
        <v>2028</v>
      </c>
      <c r="Q59" s="131">
        <f t="shared" si="8"/>
        <v>2029</v>
      </c>
      <c r="R59" s="50"/>
    </row>
    <row r="60" spans="2:18" x14ac:dyDescent="0.3">
      <c r="B60" s="51"/>
      <c r="C60" s="134">
        <f t="shared" ref="C60:Q60" si="9">C18</f>
        <v>0</v>
      </c>
      <c r="D60" s="134">
        <f t="shared" si="9"/>
        <v>0</v>
      </c>
      <c r="E60" s="134">
        <f t="shared" si="9"/>
        <v>0</v>
      </c>
      <c r="F60" s="134">
        <f t="shared" si="9"/>
        <v>0</v>
      </c>
      <c r="G60" s="134">
        <f t="shared" si="9"/>
        <v>0</v>
      </c>
      <c r="H60" s="134">
        <f t="shared" si="9"/>
        <v>0</v>
      </c>
      <c r="I60" s="134">
        <f t="shared" si="9"/>
        <v>0.11460689969878939</v>
      </c>
      <c r="J60" s="134">
        <f t="shared" si="9"/>
        <v>0.11460689969878939</v>
      </c>
      <c r="K60" s="134">
        <f t="shared" si="9"/>
        <v>0.11460689969878939</v>
      </c>
      <c r="L60" s="134">
        <f t="shared" si="9"/>
        <v>0.11460689969878939</v>
      </c>
      <c r="M60" s="134">
        <f t="shared" si="9"/>
        <v>0.11460689969878939</v>
      </c>
      <c r="N60" s="134">
        <f t="shared" si="9"/>
        <v>0.11460689969878939</v>
      </c>
      <c r="O60" s="134">
        <f t="shared" si="9"/>
        <v>0.11460689969878939</v>
      </c>
      <c r="P60" s="134">
        <f t="shared" si="9"/>
        <v>0.11460689969878939</v>
      </c>
      <c r="Q60" s="134">
        <f t="shared" si="9"/>
        <v>0.11460689969878939</v>
      </c>
      <c r="R60" s="50"/>
    </row>
    <row r="61" spans="2:18" x14ac:dyDescent="0.3">
      <c r="B61" s="51"/>
      <c r="C61" s="3"/>
      <c r="D61" s="3"/>
      <c r="E61" s="3"/>
      <c r="F61" s="3"/>
      <c r="G61" s="3"/>
      <c r="H61" s="3"/>
      <c r="I61" s="3"/>
      <c r="J61" s="3"/>
      <c r="K61" s="3"/>
      <c r="L61" s="3"/>
      <c r="M61" s="3"/>
      <c r="N61" s="3"/>
      <c r="O61" s="3"/>
      <c r="P61" s="3"/>
      <c r="Q61" s="3"/>
      <c r="R61" s="50"/>
    </row>
    <row r="62" spans="2:18" x14ac:dyDescent="0.3">
      <c r="B62" s="237" t="s">
        <v>370</v>
      </c>
      <c r="C62" s="131">
        <v>2015</v>
      </c>
      <c r="D62" s="131">
        <f t="shared" ref="D62:Q62" si="10">C62+1</f>
        <v>2016</v>
      </c>
      <c r="E62" s="131">
        <f t="shared" si="10"/>
        <v>2017</v>
      </c>
      <c r="F62" s="131">
        <f t="shared" si="10"/>
        <v>2018</v>
      </c>
      <c r="G62" s="131">
        <f t="shared" si="10"/>
        <v>2019</v>
      </c>
      <c r="H62" s="131">
        <f t="shared" si="10"/>
        <v>2020</v>
      </c>
      <c r="I62" s="131">
        <f t="shared" si="10"/>
        <v>2021</v>
      </c>
      <c r="J62" s="131">
        <f t="shared" si="10"/>
        <v>2022</v>
      </c>
      <c r="K62" s="131">
        <f t="shared" si="10"/>
        <v>2023</v>
      </c>
      <c r="L62" s="131">
        <f t="shared" si="10"/>
        <v>2024</v>
      </c>
      <c r="M62" s="131">
        <f t="shared" si="10"/>
        <v>2025</v>
      </c>
      <c r="N62" s="131">
        <f t="shared" si="10"/>
        <v>2026</v>
      </c>
      <c r="O62" s="131">
        <f t="shared" si="10"/>
        <v>2027</v>
      </c>
      <c r="P62" s="131">
        <f t="shared" si="10"/>
        <v>2028</v>
      </c>
      <c r="Q62" s="131">
        <f t="shared" si="10"/>
        <v>2029</v>
      </c>
      <c r="R62" s="50"/>
    </row>
    <row r="63" spans="2:18" x14ac:dyDescent="0.3">
      <c r="B63" s="237">
        <v>2015</v>
      </c>
      <c r="C63" s="135">
        <f t="shared" ref="C63:Q72" si="11">HLOOKUP($B63,$C$59:$Q$60,2,FALSE)*$C$23*(1-IF(ROUNDDOWN((C$35-$B63)/$D$23,0)&lt;1,0,IF(ROUNDDOWN((C$35-$B63)/$D$23,0)&lt;2,0.5,IF(ROUNDDOWN((C$35-$B63)/$D$23,0)&lt;3,0.75,IF(ROUNDDOWN((C$35-$B63)/$D$23,0)&lt;4,0.875,0.9375)))))+HLOOKUP($B63,$C$59:$Q$60,2,FALSE)*$C$24*(1-IF(ROUNDDOWN((C$35-$B63)/$D$24,0)&lt;1,0,IF(ROUNDDOWN((C$35-$B63)/$D$24,0)&lt;2,0.5,IF(ROUNDDOWN((C$35-$B63)/$D$24,0)&lt;3,0.75,IF(ROUNDDOWN((C$35-$B63)/$D$24,0)&lt;4,0.875,0.9375)))))+HLOOKUP($B63,$C$59:$Q$60,2,FALSE)*$C$25*(1-IF(ROUNDDOWN((C$35-$B63)/$D$25,0)&lt;1,0,IF(ROUNDDOWN((C$35-$B63)/$D$25,0)&lt;2,0.5,IF(ROUNDDOWN((C$35-$B63)/$D$25,0)&lt;3,0.75,IF(ROUNDDOWN((C$35-$B63)/$D$25,0)&lt;4,0.875,0.9375)))))+HLOOKUP($B63,$C$59:$Q$60,2,FALSE)*$C$26*(1-IF(ROUNDDOWN((C$35-$B63)/$D$26,0)&lt;1,0,IF(ROUNDDOWN((C$35-$B63)/$D$26,0)&lt;2,0.5,IF(ROUNDDOWN((C$35-$B63)/$D$26,0)&lt;3,0.75,IF(ROUNDDOWN((C$35-$B63)/$D$26,0)&lt;4,0.875,0.9375)))))+HLOOKUP($B63,$C$59:$Q$60,2,FALSE)*$C$27*(1-IF(ROUNDDOWN((C$35-$B63)/$D$27,0)&lt;1,0,IF(ROUNDDOWN((C$35-$B63)/$D$27,0)&lt;2,0.5,IF(ROUNDDOWN((C$35-$B63)/$D$27,0)&lt;3,0.75,IF(ROUNDDOWN((C$35-$B63)/$D$27,0)&lt;4,0.875,0.9375)))))+HLOOKUP($B63,$C$59:$Q$60,2,FALSE)*$C$28*(1-IF(ROUNDDOWN((C$35-$B63)/$D$28,0)&lt;1,0,IF(ROUNDDOWN((C$35-$B63)/$D$28,0)&lt;2,0.5,IF(ROUNDDOWN((C$35-$B63)/$D$28,0)&lt;3,0.75,IF(ROUNDDOWN((C$35-$B63)/$D$28,0)&lt;4,0.875,0.9375)))))</f>
        <v>0</v>
      </c>
      <c r="D63" s="135">
        <f t="shared" si="11"/>
        <v>0</v>
      </c>
      <c r="E63" s="135">
        <f t="shared" si="11"/>
        <v>0</v>
      </c>
      <c r="F63" s="135">
        <f t="shared" si="11"/>
        <v>0</v>
      </c>
      <c r="G63" s="135">
        <f t="shared" si="11"/>
        <v>0</v>
      </c>
      <c r="H63" s="135">
        <f t="shared" si="11"/>
        <v>0</v>
      </c>
      <c r="I63" s="135">
        <f t="shared" si="11"/>
        <v>0</v>
      </c>
      <c r="J63" s="135">
        <f t="shared" si="11"/>
        <v>0</v>
      </c>
      <c r="K63" s="135">
        <f t="shared" si="11"/>
        <v>0</v>
      </c>
      <c r="L63" s="135">
        <f t="shared" si="11"/>
        <v>0</v>
      </c>
      <c r="M63" s="135">
        <f t="shared" si="11"/>
        <v>0</v>
      </c>
      <c r="N63" s="135">
        <f t="shared" si="11"/>
        <v>0</v>
      </c>
      <c r="O63" s="135">
        <f t="shared" si="11"/>
        <v>0</v>
      </c>
      <c r="P63" s="135">
        <f t="shared" si="11"/>
        <v>0</v>
      </c>
      <c r="Q63" s="135">
        <f t="shared" si="11"/>
        <v>0</v>
      </c>
      <c r="R63" s="50"/>
    </row>
    <row r="64" spans="2:18" x14ac:dyDescent="0.3">
      <c r="B64" s="237">
        <f t="shared" ref="B64:B77" si="12">B63+1</f>
        <v>2016</v>
      </c>
      <c r="C64" s="135"/>
      <c r="D64" s="135">
        <f t="shared" si="11"/>
        <v>0</v>
      </c>
      <c r="E64" s="135">
        <f t="shared" si="11"/>
        <v>0</v>
      </c>
      <c r="F64" s="135">
        <f t="shared" si="11"/>
        <v>0</v>
      </c>
      <c r="G64" s="135">
        <f t="shared" si="11"/>
        <v>0</v>
      </c>
      <c r="H64" s="135">
        <f t="shared" si="11"/>
        <v>0</v>
      </c>
      <c r="I64" s="135">
        <f t="shared" si="11"/>
        <v>0</v>
      </c>
      <c r="J64" s="135">
        <f t="shared" si="11"/>
        <v>0</v>
      </c>
      <c r="K64" s="135">
        <f t="shared" si="11"/>
        <v>0</v>
      </c>
      <c r="L64" s="135">
        <f t="shared" si="11"/>
        <v>0</v>
      </c>
      <c r="M64" s="135">
        <f t="shared" si="11"/>
        <v>0</v>
      </c>
      <c r="N64" s="135">
        <f t="shared" si="11"/>
        <v>0</v>
      </c>
      <c r="O64" s="135">
        <f t="shared" si="11"/>
        <v>0</v>
      </c>
      <c r="P64" s="135">
        <f t="shared" si="11"/>
        <v>0</v>
      </c>
      <c r="Q64" s="135">
        <f t="shared" si="11"/>
        <v>0</v>
      </c>
      <c r="R64" s="50"/>
    </row>
    <row r="65" spans="2:18" x14ac:dyDescent="0.3">
      <c r="B65" s="237">
        <f t="shared" si="12"/>
        <v>2017</v>
      </c>
      <c r="C65" s="135"/>
      <c r="D65" s="135"/>
      <c r="E65" s="135">
        <f t="shared" si="11"/>
        <v>0</v>
      </c>
      <c r="F65" s="135">
        <f t="shared" si="11"/>
        <v>0</v>
      </c>
      <c r="G65" s="135">
        <f t="shared" si="11"/>
        <v>0</v>
      </c>
      <c r="H65" s="135">
        <f t="shared" si="11"/>
        <v>0</v>
      </c>
      <c r="I65" s="135">
        <f t="shared" si="11"/>
        <v>0</v>
      </c>
      <c r="J65" s="135">
        <f t="shared" si="11"/>
        <v>0</v>
      </c>
      <c r="K65" s="135">
        <f t="shared" si="11"/>
        <v>0</v>
      </c>
      <c r="L65" s="135">
        <f t="shared" si="11"/>
        <v>0</v>
      </c>
      <c r="M65" s="135">
        <f t="shared" si="11"/>
        <v>0</v>
      </c>
      <c r="N65" s="135">
        <f t="shared" si="11"/>
        <v>0</v>
      </c>
      <c r="O65" s="135">
        <f t="shared" si="11"/>
        <v>0</v>
      </c>
      <c r="P65" s="135">
        <f t="shared" si="11"/>
        <v>0</v>
      </c>
      <c r="Q65" s="135">
        <f t="shared" si="11"/>
        <v>0</v>
      </c>
      <c r="R65" s="50"/>
    </row>
    <row r="66" spans="2:18" x14ac:dyDescent="0.3">
      <c r="B66" s="237">
        <f t="shared" si="12"/>
        <v>2018</v>
      </c>
      <c r="C66" s="135"/>
      <c r="D66" s="135"/>
      <c r="E66" s="135"/>
      <c r="F66" s="135">
        <f t="shared" si="11"/>
        <v>0</v>
      </c>
      <c r="G66" s="135">
        <f t="shared" si="11"/>
        <v>0</v>
      </c>
      <c r="H66" s="135">
        <f t="shared" si="11"/>
        <v>0</v>
      </c>
      <c r="I66" s="135">
        <f t="shared" si="11"/>
        <v>0</v>
      </c>
      <c r="J66" s="135">
        <f t="shared" si="11"/>
        <v>0</v>
      </c>
      <c r="K66" s="135">
        <f t="shared" si="11"/>
        <v>0</v>
      </c>
      <c r="L66" s="135">
        <f t="shared" si="11"/>
        <v>0</v>
      </c>
      <c r="M66" s="135">
        <f t="shared" si="11"/>
        <v>0</v>
      </c>
      <c r="N66" s="135">
        <f t="shared" si="11"/>
        <v>0</v>
      </c>
      <c r="O66" s="135">
        <f t="shared" si="11"/>
        <v>0</v>
      </c>
      <c r="P66" s="135">
        <f t="shared" si="11"/>
        <v>0</v>
      </c>
      <c r="Q66" s="135">
        <f t="shared" si="11"/>
        <v>0</v>
      </c>
      <c r="R66" s="50"/>
    </row>
    <row r="67" spans="2:18" x14ac:dyDescent="0.3">
      <c r="B67" s="237">
        <f t="shared" si="12"/>
        <v>2019</v>
      </c>
      <c r="C67" s="135"/>
      <c r="D67" s="135"/>
      <c r="E67" s="135"/>
      <c r="F67" s="135"/>
      <c r="G67" s="135">
        <f t="shared" si="11"/>
        <v>0</v>
      </c>
      <c r="H67" s="135">
        <f t="shared" si="11"/>
        <v>0</v>
      </c>
      <c r="I67" s="135">
        <f t="shared" si="11"/>
        <v>0</v>
      </c>
      <c r="J67" s="135">
        <f t="shared" si="11"/>
        <v>0</v>
      </c>
      <c r="K67" s="135">
        <f t="shared" si="11"/>
        <v>0</v>
      </c>
      <c r="L67" s="135">
        <f t="shared" si="11"/>
        <v>0</v>
      </c>
      <c r="M67" s="135">
        <f t="shared" si="11"/>
        <v>0</v>
      </c>
      <c r="N67" s="135">
        <f t="shared" si="11"/>
        <v>0</v>
      </c>
      <c r="O67" s="135">
        <f t="shared" si="11"/>
        <v>0</v>
      </c>
      <c r="P67" s="135">
        <f t="shared" si="11"/>
        <v>0</v>
      </c>
      <c r="Q67" s="135">
        <f t="shared" si="11"/>
        <v>0</v>
      </c>
      <c r="R67" s="50"/>
    </row>
    <row r="68" spans="2:18" x14ac:dyDescent="0.3">
      <c r="B68" s="237">
        <f t="shared" si="12"/>
        <v>2020</v>
      </c>
      <c r="C68" s="135"/>
      <c r="D68" s="135"/>
      <c r="E68" s="135"/>
      <c r="F68" s="135"/>
      <c r="G68" s="135"/>
      <c r="H68" s="135">
        <f t="shared" si="11"/>
        <v>0</v>
      </c>
      <c r="I68" s="135">
        <f t="shared" si="11"/>
        <v>0</v>
      </c>
      <c r="J68" s="135">
        <f t="shared" si="11"/>
        <v>0</v>
      </c>
      <c r="K68" s="135">
        <f t="shared" si="11"/>
        <v>0</v>
      </c>
      <c r="L68" s="135">
        <f t="shared" si="11"/>
        <v>0</v>
      </c>
      <c r="M68" s="135">
        <f t="shared" si="11"/>
        <v>0</v>
      </c>
      <c r="N68" s="135">
        <f t="shared" si="11"/>
        <v>0</v>
      </c>
      <c r="O68" s="135">
        <f t="shared" si="11"/>
        <v>0</v>
      </c>
      <c r="P68" s="135">
        <f t="shared" si="11"/>
        <v>0</v>
      </c>
      <c r="Q68" s="135">
        <f t="shared" si="11"/>
        <v>0</v>
      </c>
      <c r="R68" s="50"/>
    </row>
    <row r="69" spans="2:18" x14ac:dyDescent="0.3">
      <c r="B69" s="237">
        <f t="shared" si="12"/>
        <v>2021</v>
      </c>
      <c r="C69" s="135"/>
      <c r="D69" s="135"/>
      <c r="E69" s="135"/>
      <c r="F69" s="135"/>
      <c r="G69" s="135"/>
      <c r="H69" s="135"/>
      <c r="I69" s="135">
        <f t="shared" si="11"/>
        <v>0.11460689969878939</v>
      </c>
      <c r="J69" s="135">
        <f t="shared" si="11"/>
        <v>0.11460689969878939</v>
      </c>
      <c r="K69" s="135">
        <f t="shared" si="11"/>
        <v>0.11460689969878939</v>
      </c>
      <c r="L69" s="135">
        <f t="shared" si="11"/>
        <v>0.10967880301174145</v>
      </c>
      <c r="M69" s="135">
        <f t="shared" si="11"/>
        <v>0.10967880301174145</v>
      </c>
      <c r="N69" s="135">
        <f t="shared" si="11"/>
        <v>0.10967880301174145</v>
      </c>
      <c r="O69" s="135">
        <f t="shared" si="11"/>
        <v>0.10721475466821748</v>
      </c>
      <c r="P69" s="135">
        <f t="shared" si="11"/>
        <v>0.10721475466821748</v>
      </c>
      <c r="Q69" s="135">
        <f t="shared" si="11"/>
        <v>0.1026304786802659</v>
      </c>
      <c r="R69" s="50"/>
    </row>
    <row r="70" spans="2:18" x14ac:dyDescent="0.3">
      <c r="B70" s="237">
        <f t="shared" si="12"/>
        <v>2022</v>
      </c>
      <c r="C70" s="135"/>
      <c r="D70" s="135"/>
      <c r="E70" s="135"/>
      <c r="F70" s="135"/>
      <c r="G70" s="135"/>
      <c r="H70" s="135"/>
      <c r="I70" s="135"/>
      <c r="J70" s="135">
        <f t="shared" si="11"/>
        <v>0.11460689969878939</v>
      </c>
      <c r="K70" s="135">
        <f t="shared" si="11"/>
        <v>0.11460689969878939</v>
      </c>
      <c r="L70" s="135">
        <f t="shared" si="11"/>
        <v>0.11460689969878939</v>
      </c>
      <c r="M70" s="135">
        <f t="shared" si="11"/>
        <v>0.10967880301174145</v>
      </c>
      <c r="N70" s="135">
        <f t="shared" si="11"/>
        <v>0.10967880301174145</v>
      </c>
      <c r="O70" s="135">
        <f t="shared" si="11"/>
        <v>0.10967880301174145</v>
      </c>
      <c r="P70" s="135">
        <f t="shared" si="11"/>
        <v>0.10721475466821748</v>
      </c>
      <c r="Q70" s="135">
        <f t="shared" si="11"/>
        <v>0.10721475466821748</v>
      </c>
      <c r="R70" s="50"/>
    </row>
    <row r="71" spans="2:18" x14ac:dyDescent="0.3">
      <c r="B71" s="237">
        <f t="shared" si="12"/>
        <v>2023</v>
      </c>
      <c r="C71" s="135"/>
      <c r="D71" s="135"/>
      <c r="E71" s="135"/>
      <c r="F71" s="135"/>
      <c r="G71" s="135"/>
      <c r="H71" s="135"/>
      <c r="I71" s="135"/>
      <c r="J71" s="135"/>
      <c r="K71" s="135">
        <f t="shared" si="11"/>
        <v>0.11460689969878939</v>
      </c>
      <c r="L71" s="135">
        <f t="shared" si="11"/>
        <v>0.11460689969878939</v>
      </c>
      <c r="M71" s="135">
        <f t="shared" si="11"/>
        <v>0.11460689969878939</v>
      </c>
      <c r="N71" s="135">
        <f t="shared" si="11"/>
        <v>0.10967880301174145</v>
      </c>
      <c r="O71" s="135">
        <f t="shared" si="11"/>
        <v>0.10967880301174145</v>
      </c>
      <c r="P71" s="135">
        <f t="shared" si="11"/>
        <v>0.10967880301174145</v>
      </c>
      <c r="Q71" s="135">
        <f t="shared" si="11"/>
        <v>0.10721475466821748</v>
      </c>
      <c r="R71" s="50"/>
    </row>
    <row r="72" spans="2:18" x14ac:dyDescent="0.3">
      <c r="B72" s="237">
        <f t="shared" si="12"/>
        <v>2024</v>
      </c>
      <c r="C72" s="135"/>
      <c r="D72" s="135"/>
      <c r="E72" s="135"/>
      <c r="F72" s="135"/>
      <c r="G72" s="135"/>
      <c r="H72" s="135"/>
      <c r="I72" s="135"/>
      <c r="J72" s="135"/>
      <c r="K72" s="135"/>
      <c r="L72" s="135">
        <f t="shared" si="11"/>
        <v>0.11460689969878939</v>
      </c>
      <c r="M72" s="135">
        <f t="shared" si="11"/>
        <v>0.11460689969878939</v>
      </c>
      <c r="N72" s="135">
        <f t="shared" si="11"/>
        <v>0.11460689969878939</v>
      </c>
      <c r="O72" s="135">
        <f t="shared" si="11"/>
        <v>0.10967880301174145</v>
      </c>
      <c r="P72" s="135">
        <f t="shared" si="11"/>
        <v>0.10967880301174145</v>
      </c>
      <c r="Q72" s="135">
        <f t="shared" si="11"/>
        <v>0.10967880301174145</v>
      </c>
      <c r="R72" s="50"/>
    </row>
    <row r="73" spans="2:18" x14ac:dyDescent="0.3">
      <c r="B73" s="237">
        <f t="shared" si="12"/>
        <v>2025</v>
      </c>
      <c r="C73" s="135"/>
      <c r="D73" s="135"/>
      <c r="E73" s="135"/>
      <c r="F73" s="135"/>
      <c r="G73" s="135"/>
      <c r="H73" s="135"/>
      <c r="I73" s="135"/>
      <c r="J73" s="135"/>
      <c r="K73" s="135"/>
      <c r="L73" s="135"/>
      <c r="M73" s="135">
        <f>HLOOKUP($B73,$C$59:$Q$60,2,FALSE)*$C$23*(1-IF(ROUNDDOWN((M$35-$B73)/$D$23,0)&lt;1,0,IF(ROUNDDOWN((M$35-$B73)/$D$23,0)&lt;2,0.5,IF(ROUNDDOWN((M$35-$B73)/$D$23,0)&lt;3,0.75,IF(ROUNDDOWN((M$35-$B73)/$D$23,0)&lt;4,0.875,0.9375)))))+HLOOKUP($B73,$C$59:$Q$60,2,FALSE)*$C$24*(1-IF(ROUNDDOWN((M$35-$B73)/$D$24,0)&lt;1,0,IF(ROUNDDOWN((M$35-$B73)/$D$24,0)&lt;2,0.5,IF(ROUNDDOWN((M$35-$B73)/$D$24,0)&lt;3,0.75,IF(ROUNDDOWN((M$35-$B73)/$D$24,0)&lt;4,0.875,0.9375)))))+HLOOKUP($B73,$C$59:$Q$60,2,FALSE)*$C$25*(1-IF(ROUNDDOWN((M$35-$B73)/$D$25,0)&lt;1,0,IF(ROUNDDOWN((M$35-$B73)/$D$25,0)&lt;2,0.5,IF(ROUNDDOWN((M$35-$B73)/$D$25,0)&lt;3,0.75,IF(ROUNDDOWN((M$35-$B73)/$D$25,0)&lt;4,0.875,0.9375)))))+HLOOKUP($B73,$C$59:$Q$60,2,FALSE)*$C$26*(1-IF(ROUNDDOWN((M$35-$B73)/$D$26,0)&lt;1,0,IF(ROUNDDOWN((M$35-$B73)/$D$26,0)&lt;2,0.5,IF(ROUNDDOWN((M$35-$B73)/$D$26,0)&lt;3,0.75,IF(ROUNDDOWN((M$35-$B73)/$D$26,0)&lt;4,0.875,0.9375)))))+HLOOKUP($B73,$C$59:$Q$60,2,FALSE)*$C$27*(1-IF(ROUNDDOWN((M$35-$B73)/$D$27,0)&lt;1,0,IF(ROUNDDOWN((M$35-$B73)/$D$27,0)&lt;2,0.5,IF(ROUNDDOWN((M$35-$B73)/$D$27,0)&lt;3,0.75,IF(ROUNDDOWN((M$35-$B73)/$D$27,0)&lt;4,0.875,0.9375)))))+HLOOKUP($B73,$C$59:$Q$60,2,FALSE)*$C$28*(1-IF(ROUNDDOWN((M$35-$B73)/$D$28,0)&lt;1,0,IF(ROUNDDOWN((M$35-$B73)/$D$28,0)&lt;2,0.5,IF(ROUNDDOWN((M$35-$B73)/$D$28,0)&lt;3,0.75,IF(ROUNDDOWN((M$35-$B73)/$D$28,0)&lt;4,0.875,0.9375)))))</f>
        <v>0.11460689969878939</v>
      </c>
      <c r="N73" s="135">
        <f>HLOOKUP($B73,$C$59:$Q$60,2,FALSE)*$C$23*(1-IF(ROUNDDOWN((N$35-$B73)/$D$23,0)&lt;1,0,IF(ROUNDDOWN((N$35-$B73)/$D$23,0)&lt;2,0.5,IF(ROUNDDOWN((N$35-$B73)/$D$23,0)&lt;3,0.75,IF(ROUNDDOWN((N$35-$B73)/$D$23,0)&lt;4,0.875,0.9375)))))+HLOOKUP($B73,$C$59:$Q$60,2,FALSE)*$C$24*(1-IF(ROUNDDOWN((N$35-$B73)/$D$24,0)&lt;1,0,IF(ROUNDDOWN((N$35-$B73)/$D$24,0)&lt;2,0.5,IF(ROUNDDOWN((N$35-$B73)/$D$24,0)&lt;3,0.75,IF(ROUNDDOWN((N$35-$B73)/$D$24,0)&lt;4,0.875,0.9375)))))+HLOOKUP($B73,$C$59:$Q$60,2,FALSE)*$C$25*(1-IF(ROUNDDOWN((N$35-$B73)/$D$25,0)&lt;1,0,IF(ROUNDDOWN((N$35-$B73)/$D$25,0)&lt;2,0.5,IF(ROUNDDOWN((N$35-$B73)/$D$25,0)&lt;3,0.75,IF(ROUNDDOWN((N$35-$B73)/$D$25,0)&lt;4,0.875,0.9375)))))+HLOOKUP($B73,$C$59:$Q$60,2,FALSE)*$C$26*(1-IF(ROUNDDOWN((N$35-$B73)/$D$26,0)&lt;1,0,IF(ROUNDDOWN((N$35-$B73)/$D$26,0)&lt;2,0.5,IF(ROUNDDOWN((N$35-$B73)/$D$26,0)&lt;3,0.75,IF(ROUNDDOWN((N$35-$B73)/$D$26,0)&lt;4,0.875,0.9375)))))+HLOOKUP($B73,$C$59:$Q$60,2,FALSE)*$C$27*(1-IF(ROUNDDOWN((N$35-$B73)/$D$27,0)&lt;1,0,IF(ROUNDDOWN((N$35-$B73)/$D$27,0)&lt;2,0.5,IF(ROUNDDOWN((N$35-$B73)/$D$27,0)&lt;3,0.75,IF(ROUNDDOWN((N$35-$B73)/$D$27,0)&lt;4,0.875,0.9375)))))+HLOOKUP($B73,$C$59:$Q$60,2,FALSE)*$C$28*(1-IF(ROUNDDOWN((N$35-$B73)/$D$28,0)&lt;1,0,IF(ROUNDDOWN((N$35-$B73)/$D$28,0)&lt;2,0.5,IF(ROUNDDOWN((N$35-$B73)/$D$28,0)&lt;3,0.75,IF(ROUNDDOWN((N$35-$B73)/$D$28,0)&lt;4,0.875,0.9375)))))</f>
        <v>0.11460689969878939</v>
      </c>
      <c r="O73" s="135">
        <f>HLOOKUP($B73,$C$59:$Q$60,2,FALSE)*$C$23*(1-IF(ROUNDDOWN((O$35-$B73)/$D$23,0)&lt;1,0,IF(ROUNDDOWN((O$35-$B73)/$D$23,0)&lt;2,0.5,IF(ROUNDDOWN((O$35-$B73)/$D$23,0)&lt;3,0.75,IF(ROUNDDOWN((O$35-$B73)/$D$23,0)&lt;4,0.875,0.9375)))))+HLOOKUP($B73,$C$59:$Q$60,2,FALSE)*$C$24*(1-IF(ROUNDDOWN((O$35-$B73)/$D$24,0)&lt;1,0,IF(ROUNDDOWN((O$35-$B73)/$D$24,0)&lt;2,0.5,IF(ROUNDDOWN((O$35-$B73)/$D$24,0)&lt;3,0.75,IF(ROUNDDOWN((O$35-$B73)/$D$24,0)&lt;4,0.875,0.9375)))))+HLOOKUP($B73,$C$59:$Q$60,2,FALSE)*$C$25*(1-IF(ROUNDDOWN((O$35-$B73)/$D$25,0)&lt;1,0,IF(ROUNDDOWN((O$35-$B73)/$D$25,0)&lt;2,0.5,IF(ROUNDDOWN((O$35-$B73)/$D$25,0)&lt;3,0.75,IF(ROUNDDOWN((O$35-$B73)/$D$25,0)&lt;4,0.875,0.9375)))))+HLOOKUP($B73,$C$59:$Q$60,2,FALSE)*$C$26*(1-IF(ROUNDDOWN((O$35-$B73)/$D$26,0)&lt;1,0,IF(ROUNDDOWN((O$35-$B73)/$D$26,0)&lt;2,0.5,IF(ROUNDDOWN((O$35-$B73)/$D$26,0)&lt;3,0.75,IF(ROUNDDOWN((O$35-$B73)/$D$26,0)&lt;4,0.875,0.9375)))))+HLOOKUP($B73,$C$59:$Q$60,2,FALSE)*$C$27*(1-IF(ROUNDDOWN((O$35-$B73)/$D$27,0)&lt;1,0,IF(ROUNDDOWN((O$35-$B73)/$D$27,0)&lt;2,0.5,IF(ROUNDDOWN((O$35-$B73)/$D$27,0)&lt;3,0.75,IF(ROUNDDOWN((O$35-$B73)/$D$27,0)&lt;4,0.875,0.9375)))))+HLOOKUP($B73,$C$59:$Q$60,2,FALSE)*$C$28*(1-IF(ROUNDDOWN((O$35-$B73)/$D$28,0)&lt;1,0,IF(ROUNDDOWN((O$35-$B73)/$D$28,0)&lt;2,0.5,IF(ROUNDDOWN((O$35-$B73)/$D$28,0)&lt;3,0.75,IF(ROUNDDOWN((O$35-$B73)/$D$28,0)&lt;4,0.875,0.9375)))))</f>
        <v>0.11460689969878939</v>
      </c>
      <c r="P73" s="135">
        <f>HLOOKUP($B73,$C$59:$Q$60,2,FALSE)*$C$23*(1-IF(ROUNDDOWN((P$35-$B73)/$D$23,0)&lt;1,0,IF(ROUNDDOWN((P$35-$B73)/$D$23,0)&lt;2,0.5,IF(ROUNDDOWN((P$35-$B73)/$D$23,0)&lt;3,0.75,IF(ROUNDDOWN((P$35-$B73)/$D$23,0)&lt;4,0.875,0.9375)))))+HLOOKUP($B73,$C$59:$Q$60,2,FALSE)*$C$24*(1-IF(ROUNDDOWN((P$35-$B73)/$D$24,0)&lt;1,0,IF(ROUNDDOWN((P$35-$B73)/$D$24,0)&lt;2,0.5,IF(ROUNDDOWN((P$35-$B73)/$D$24,0)&lt;3,0.75,IF(ROUNDDOWN((P$35-$B73)/$D$24,0)&lt;4,0.875,0.9375)))))+HLOOKUP($B73,$C$59:$Q$60,2,FALSE)*$C$25*(1-IF(ROUNDDOWN((P$35-$B73)/$D$25,0)&lt;1,0,IF(ROUNDDOWN((P$35-$B73)/$D$25,0)&lt;2,0.5,IF(ROUNDDOWN((P$35-$B73)/$D$25,0)&lt;3,0.75,IF(ROUNDDOWN((P$35-$B73)/$D$25,0)&lt;4,0.875,0.9375)))))+HLOOKUP($B73,$C$59:$Q$60,2,FALSE)*$C$26*(1-IF(ROUNDDOWN((P$35-$B73)/$D$26,0)&lt;1,0,IF(ROUNDDOWN((P$35-$B73)/$D$26,0)&lt;2,0.5,IF(ROUNDDOWN((P$35-$B73)/$D$26,0)&lt;3,0.75,IF(ROUNDDOWN((P$35-$B73)/$D$26,0)&lt;4,0.875,0.9375)))))+HLOOKUP($B73,$C$59:$Q$60,2,FALSE)*$C$27*(1-IF(ROUNDDOWN((P$35-$B73)/$D$27,0)&lt;1,0,IF(ROUNDDOWN((P$35-$B73)/$D$27,0)&lt;2,0.5,IF(ROUNDDOWN((P$35-$B73)/$D$27,0)&lt;3,0.75,IF(ROUNDDOWN((P$35-$B73)/$D$27,0)&lt;4,0.875,0.9375)))))+HLOOKUP($B73,$C$59:$Q$60,2,FALSE)*$C$28*(1-IF(ROUNDDOWN((P$35-$B73)/$D$28,0)&lt;1,0,IF(ROUNDDOWN((P$35-$B73)/$D$28,0)&lt;2,0.5,IF(ROUNDDOWN((P$35-$B73)/$D$28,0)&lt;3,0.75,IF(ROUNDDOWN((P$35-$B73)/$D$28,0)&lt;4,0.875,0.9375)))))</f>
        <v>0.10967880301174145</v>
      </c>
      <c r="Q73" s="135">
        <f>HLOOKUP($B73,$C$59:$Q$60,2,FALSE)*$C$23*(1-IF(ROUNDDOWN((Q$35-$B73)/$D$23,0)&lt;1,0,IF(ROUNDDOWN((Q$35-$B73)/$D$23,0)&lt;2,0.5,IF(ROUNDDOWN((Q$35-$B73)/$D$23,0)&lt;3,0.75,IF(ROUNDDOWN((Q$35-$B73)/$D$23,0)&lt;4,0.875,0.9375)))))+HLOOKUP($B73,$C$59:$Q$60,2,FALSE)*$C$24*(1-IF(ROUNDDOWN((Q$35-$B73)/$D$24,0)&lt;1,0,IF(ROUNDDOWN((Q$35-$B73)/$D$24,0)&lt;2,0.5,IF(ROUNDDOWN((Q$35-$B73)/$D$24,0)&lt;3,0.75,IF(ROUNDDOWN((Q$35-$B73)/$D$24,0)&lt;4,0.875,0.9375)))))+HLOOKUP($B73,$C$59:$Q$60,2,FALSE)*$C$25*(1-IF(ROUNDDOWN((Q$35-$B73)/$D$25,0)&lt;1,0,IF(ROUNDDOWN((Q$35-$B73)/$D$25,0)&lt;2,0.5,IF(ROUNDDOWN((Q$35-$B73)/$D$25,0)&lt;3,0.75,IF(ROUNDDOWN((Q$35-$B73)/$D$25,0)&lt;4,0.875,0.9375)))))+HLOOKUP($B73,$C$59:$Q$60,2,FALSE)*$C$26*(1-IF(ROUNDDOWN((Q$35-$B73)/$D$26,0)&lt;1,0,IF(ROUNDDOWN((Q$35-$B73)/$D$26,0)&lt;2,0.5,IF(ROUNDDOWN((Q$35-$B73)/$D$26,0)&lt;3,0.75,IF(ROUNDDOWN((Q$35-$B73)/$D$26,0)&lt;4,0.875,0.9375)))))+HLOOKUP($B73,$C$59:$Q$60,2,FALSE)*$C$27*(1-IF(ROUNDDOWN((Q$35-$B73)/$D$27,0)&lt;1,0,IF(ROUNDDOWN((Q$35-$B73)/$D$27,0)&lt;2,0.5,IF(ROUNDDOWN((Q$35-$B73)/$D$27,0)&lt;3,0.75,IF(ROUNDDOWN((Q$35-$B73)/$D$27,0)&lt;4,0.875,0.9375)))))+HLOOKUP($B73,$C$59:$Q$60,2,FALSE)*$C$28*(1-IF(ROUNDDOWN((Q$35-$B73)/$D$28,0)&lt;1,0,IF(ROUNDDOWN((Q$35-$B73)/$D$28,0)&lt;2,0.5,IF(ROUNDDOWN((Q$35-$B73)/$D$28,0)&lt;3,0.75,IF(ROUNDDOWN((Q$35-$B73)/$D$28,0)&lt;4,0.875,0.9375)))))</f>
        <v>0.10967880301174145</v>
      </c>
      <c r="R73" s="50"/>
    </row>
    <row r="74" spans="2:18" x14ac:dyDescent="0.3">
      <c r="B74" s="237">
        <f t="shared" si="12"/>
        <v>2026</v>
      </c>
      <c r="C74" s="135"/>
      <c r="D74" s="135"/>
      <c r="E74" s="135"/>
      <c r="F74" s="135"/>
      <c r="G74" s="135"/>
      <c r="H74" s="135"/>
      <c r="I74" s="135"/>
      <c r="J74" s="135"/>
      <c r="K74" s="135"/>
      <c r="L74" s="135"/>
      <c r="M74" s="135"/>
      <c r="N74" s="135">
        <f>HLOOKUP($B74,$C$59:$Q$60,2,FALSE)*$C$23*(1-IF(ROUNDDOWN((N$35-$B74)/$D$23,0)&lt;1,0,IF(ROUNDDOWN((N$35-$B74)/$D$23,0)&lt;2,0.5,IF(ROUNDDOWN((N$35-$B74)/$D$23,0)&lt;3,0.75,IF(ROUNDDOWN((N$35-$B74)/$D$23,0)&lt;4,0.875,0.9375)))))+HLOOKUP($B74,$C$59:$Q$60,2,FALSE)*$C$24*(1-IF(ROUNDDOWN((N$35-$B74)/$D$24,0)&lt;1,0,IF(ROUNDDOWN((N$35-$B74)/$D$24,0)&lt;2,0.5,IF(ROUNDDOWN((N$35-$B74)/$D$24,0)&lt;3,0.75,IF(ROUNDDOWN((N$35-$B74)/$D$24,0)&lt;4,0.875,0.9375)))))+HLOOKUP($B74,$C$59:$Q$60,2,FALSE)*$C$25*(1-IF(ROUNDDOWN((N$35-$B74)/$D$25,0)&lt;1,0,IF(ROUNDDOWN((N$35-$B74)/$D$25,0)&lt;2,0.5,IF(ROUNDDOWN((N$35-$B74)/$D$25,0)&lt;3,0.75,IF(ROUNDDOWN((N$35-$B74)/$D$25,0)&lt;4,0.875,0.9375)))))+HLOOKUP($B74,$C$59:$Q$60,2,FALSE)*$C$26*(1-IF(ROUNDDOWN((N$35-$B74)/$D$26,0)&lt;1,0,IF(ROUNDDOWN((N$35-$B74)/$D$26,0)&lt;2,0.5,IF(ROUNDDOWN((N$35-$B74)/$D$26,0)&lt;3,0.75,IF(ROUNDDOWN((N$35-$B74)/$D$26,0)&lt;4,0.875,0.9375)))))+HLOOKUP($B74,$C$59:$Q$60,2,FALSE)*$C$27*(1-IF(ROUNDDOWN((N$35-$B74)/$D$27,0)&lt;1,0,IF(ROUNDDOWN((N$35-$B74)/$D$27,0)&lt;2,0.5,IF(ROUNDDOWN((N$35-$B74)/$D$27,0)&lt;3,0.75,IF(ROUNDDOWN((N$35-$B74)/$D$27,0)&lt;4,0.875,0.9375)))))+HLOOKUP($B74,$C$59:$Q$60,2,FALSE)*$C$28*(1-IF(ROUNDDOWN((N$35-$B74)/$D$28,0)&lt;1,0,IF(ROUNDDOWN((N$35-$B74)/$D$28,0)&lt;2,0.5,IF(ROUNDDOWN((N$35-$B74)/$D$28,0)&lt;3,0.75,IF(ROUNDDOWN((N$35-$B74)/$D$28,0)&lt;4,0.875,0.9375)))))</f>
        <v>0.11460689969878939</v>
      </c>
      <c r="O74" s="135">
        <f>HLOOKUP($B74,$C$59:$Q$60,2,FALSE)*$C$23*(1-IF(ROUNDDOWN((O$35-$B74)/$D$23,0)&lt;1,0,IF(ROUNDDOWN((O$35-$B74)/$D$23,0)&lt;2,0.5,IF(ROUNDDOWN((O$35-$B74)/$D$23,0)&lt;3,0.75,IF(ROUNDDOWN((O$35-$B74)/$D$23,0)&lt;4,0.875,0.9375)))))+HLOOKUP($B74,$C$59:$Q$60,2,FALSE)*$C$24*(1-IF(ROUNDDOWN((O$35-$B74)/$D$24,0)&lt;1,0,IF(ROUNDDOWN((O$35-$B74)/$D$24,0)&lt;2,0.5,IF(ROUNDDOWN((O$35-$B74)/$D$24,0)&lt;3,0.75,IF(ROUNDDOWN((O$35-$B74)/$D$24,0)&lt;4,0.875,0.9375)))))+HLOOKUP($B74,$C$59:$Q$60,2,FALSE)*$C$25*(1-IF(ROUNDDOWN((O$35-$B74)/$D$25,0)&lt;1,0,IF(ROUNDDOWN((O$35-$B74)/$D$25,0)&lt;2,0.5,IF(ROUNDDOWN((O$35-$B74)/$D$25,0)&lt;3,0.75,IF(ROUNDDOWN((O$35-$B74)/$D$25,0)&lt;4,0.875,0.9375)))))+HLOOKUP($B74,$C$59:$Q$60,2,FALSE)*$C$26*(1-IF(ROUNDDOWN((O$35-$B74)/$D$26,0)&lt;1,0,IF(ROUNDDOWN((O$35-$B74)/$D$26,0)&lt;2,0.5,IF(ROUNDDOWN((O$35-$B74)/$D$26,0)&lt;3,0.75,IF(ROUNDDOWN((O$35-$B74)/$D$26,0)&lt;4,0.875,0.9375)))))+HLOOKUP($B74,$C$59:$Q$60,2,FALSE)*$C$27*(1-IF(ROUNDDOWN((O$35-$B74)/$D$27,0)&lt;1,0,IF(ROUNDDOWN((O$35-$B74)/$D$27,0)&lt;2,0.5,IF(ROUNDDOWN((O$35-$B74)/$D$27,0)&lt;3,0.75,IF(ROUNDDOWN((O$35-$B74)/$D$27,0)&lt;4,0.875,0.9375)))))+HLOOKUP($B74,$C$59:$Q$60,2,FALSE)*$C$28*(1-IF(ROUNDDOWN((O$35-$B74)/$D$28,0)&lt;1,0,IF(ROUNDDOWN((O$35-$B74)/$D$28,0)&lt;2,0.5,IF(ROUNDDOWN((O$35-$B74)/$D$28,0)&lt;3,0.75,IF(ROUNDDOWN((O$35-$B74)/$D$28,0)&lt;4,0.875,0.9375)))))</f>
        <v>0.11460689969878939</v>
      </c>
      <c r="P74" s="135">
        <f>HLOOKUP($B74,$C$59:$Q$60,2,FALSE)*$C$23*(1-IF(ROUNDDOWN((P$35-$B74)/$D$23,0)&lt;1,0,IF(ROUNDDOWN((P$35-$B74)/$D$23,0)&lt;2,0.5,IF(ROUNDDOWN((P$35-$B74)/$D$23,0)&lt;3,0.75,IF(ROUNDDOWN((P$35-$B74)/$D$23,0)&lt;4,0.875,0.9375)))))+HLOOKUP($B74,$C$59:$Q$60,2,FALSE)*$C$24*(1-IF(ROUNDDOWN((P$35-$B74)/$D$24,0)&lt;1,0,IF(ROUNDDOWN((P$35-$B74)/$D$24,0)&lt;2,0.5,IF(ROUNDDOWN((P$35-$B74)/$D$24,0)&lt;3,0.75,IF(ROUNDDOWN((P$35-$B74)/$D$24,0)&lt;4,0.875,0.9375)))))+HLOOKUP($B74,$C$59:$Q$60,2,FALSE)*$C$25*(1-IF(ROUNDDOWN((P$35-$B74)/$D$25,0)&lt;1,0,IF(ROUNDDOWN((P$35-$B74)/$D$25,0)&lt;2,0.5,IF(ROUNDDOWN((P$35-$B74)/$D$25,0)&lt;3,0.75,IF(ROUNDDOWN((P$35-$B74)/$D$25,0)&lt;4,0.875,0.9375)))))+HLOOKUP($B74,$C$59:$Q$60,2,FALSE)*$C$26*(1-IF(ROUNDDOWN((P$35-$B74)/$D$26,0)&lt;1,0,IF(ROUNDDOWN((P$35-$B74)/$D$26,0)&lt;2,0.5,IF(ROUNDDOWN((P$35-$B74)/$D$26,0)&lt;3,0.75,IF(ROUNDDOWN((P$35-$B74)/$D$26,0)&lt;4,0.875,0.9375)))))+HLOOKUP($B74,$C$59:$Q$60,2,FALSE)*$C$27*(1-IF(ROUNDDOWN((P$35-$B74)/$D$27,0)&lt;1,0,IF(ROUNDDOWN((P$35-$B74)/$D$27,0)&lt;2,0.5,IF(ROUNDDOWN((P$35-$B74)/$D$27,0)&lt;3,0.75,IF(ROUNDDOWN((P$35-$B74)/$D$27,0)&lt;4,0.875,0.9375)))))+HLOOKUP($B74,$C$59:$Q$60,2,FALSE)*$C$28*(1-IF(ROUNDDOWN((P$35-$B74)/$D$28,0)&lt;1,0,IF(ROUNDDOWN((P$35-$B74)/$D$28,0)&lt;2,0.5,IF(ROUNDDOWN((P$35-$B74)/$D$28,0)&lt;3,0.75,IF(ROUNDDOWN((P$35-$B74)/$D$28,0)&lt;4,0.875,0.9375)))))</f>
        <v>0.11460689969878939</v>
      </c>
      <c r="Q74" s="135">
        <f>HLOOKUP($B74,$C$59:$Q$60,2,FALSE)*$C$23*(1-IF(ROUNDDOWN((Q$35-$B74)/$D$23,0)&lt;1,0,IF(ROUNDDOWN((Q$35-$B74)/$D$23,0)&lt;2,0.5,IF(ROUNDDOWN((Q$35-$B74)/$D$23,0)&lt;3,0.75,IF(ROUNDDOWN((Q$35-$B74)/$D$23,0)&lt;4,0.875,0.9375)))))+HLOOKUP($B74,$C$59:$Q$60,2,FALSE)*$C$24*(1-IF(ROUNDDOWN((Q$35-$B74)/$D$24,0)&lt;1,0,IF(ROUNDDOWN((Q$35-$B74)/$D$24,0)&lt;2,0.5,IF(ROUNDDOWN((Q$35-$B74)/$D$24,0)&lt;3,0.75,IF(ROUNDDOWN((Q$35-$B74)/$D$24,0)&lt;4,0.875,0.9375)))))+HLOOKUP($B74,$C$59:$Q$60,2,FALSE)*$C$25*(1-IF(ROUNDDOWN((Q$35-$B74)/$D$25,0)&lt;1,0,IF(ROUNDDOWN((Q$35-$B74)/$D$25,0)&lt;2,0.5,IF(ROUNDDOWN((Q$35-$B74)/$D$25,0)&lt;3,0.75,IF(ROUNDDOWN((Q$35-$B74)/$D$25,0)&lt;4,0.875,0.9375)))))+HLOOKUP($B74,$C$59:$Q$60,2,FALSE)*$C$26*(1-IF(ROUNDDOWN((Q$35-$B74)/$D$26,0)&lt;1,0,IF(ROUNDDOWN((Q$35-$B74)/$D$26,0)&lt;2,0.5,IF(ROUNDDOWN((Q$35-$B74)/$D$26,0)&lt;3,0.75,IF(ROUNDDOWN((Q$35-$B74)/$D$26,0)&lt;4,0.875,0.9375)))))+HLOOKUP($B74,$C$59:$Q$60,2,FALSE)*$C$27*(1-IF(ROUNDDOWN((Q$35-$B74)/$D$27,0)&lt;1,0,IF(ROUNDDOWN((Q$35-$B74)/$D$27,0)&lt;2,0.5,IF(ROUNDDOWN((Q$35-$B74)/$D$27,0)&lt;3,0.75,IF(ROUNDDOWN((Q$35-$B74)/$D$27,0)&lt;4,0.875,0.9375)))))+HLOOKUP($B74,$C$59:$Q$60,2,FALSE)*$C$28*(1-IF(ROUNDDOWN((Q$35-$B74)/$D$28,0)&lt;1,0,IF(ROUNDDOWN((Q$35-$B74)/$D$28,0)&lt;2,0.5,IF(ROUNDDOWN((Q$35-$B74)/$D$28,0)&lt;3,0.75,IF(ROUNDDOWN((Q$35-$B74)/$D$28,0)&lt;4,0.875,0.9375)))))</f>
        <v>0.10967880301174145</v>
      </c>
      <c r="R74" s="50"/>
    </row>
    <row r="75" spans="2:18" x14ac:dyDescent="0.3">
      <c r="B75" s="237">
        <f t="shared" si="12"/>
        <v>2027</v>
      </c>
      <c r="C75" s="135"/>
      <c r="D75" s="135"/>
      <c r="E75" s="135"/>
      <c r="F75" s="135"/>
      <c r="G75" s="135"/>
      <c r="H75" s="135"/>
      <c r="I75" s="135"/>
      <c r="J75" s="135"/>
      <c r="K75" s="135"/>
      <c r="L75" s="135"/>
      <c r="M75" s="135"/>
      <c r="N75" s="135"/>
      <c r="O75" s="135">
        <f>HLOOKUP($B75,$C$59:$Q$60,2,FALSE)*$C$23*(1-IF(ROUNDDOWN((O$35-$B75)/$D$23,0)&lt;1,0,IF(ROUNDDOWN((O$35-$B75)/$D$23,0)&lt;2,0.5,IF(ROUNDDOWN((O$35-$B75)/$D$23,0)&lt;3,0.75,IF(ROUNDDOWN((O$35-$B75)/$D$23,0)&lt;4,0.875,0.9375)))))+HLOOKUP($B75,$C$59:$Q$60,2,FALSE)*$C$24*(1-IF(ROUNDDOWN((O$35-$B75)/$D$24,0)&lt;1,0,IF(ROUNDDOWN((O$35-$B75)/$D$24,0)&lt;2,0.5,IF(ROUNDDOWN((O$35-$B75)/$D$24,0)&lt;3,0.75,IF(ROUNDDOWN((O$35-$B75)/$D$24,0)&lt;4,0.875,0.9375)))))+HLOOKUP($B75,$C$59:$Q$60,2,FALSE)*$C$25*(1-IF(ROUNDDOWN((O$35-$B75)/$D$25,0)&lt;1,0,IF(ROUNDDOWN((O$35-$B75)/$D$25,0)&lt;2,0.5,IF(ROUNDDOWN((O$35-$B75)/$D$25,0)&lt;3,0.75,IF(ROUNDDOWN((O$35-$B75)/$D$25,0)&lt;4,0.875,0.9375)))))+HLOOKUP($B75,$C$59:$Q$60,2,FALSE)*$C$26*(1-IF(ROUNDDOWN((O$35-$B75)/$D$26,0)&lt;1,0,IF(ROUNDDOWN((O$35-$B75)/$D$26,0)&lt;2,0.5,IF(ROUNDDOWN((O$35-$B75)/$D$26,0)&lt;3,0.75,IF(ROUNDDOWN((O$35-$B75)/$D$26,0)&lt;4,0.875,0.9375)))))+HLOOKUP($B75,$C$59:$Q$60,2,FALSE)*$C$27*(1-IF(ROUNDDOWN((O$35-$B75)/$D$27,0)&lt;1,0,IF(ROUNDDOWN((O$35-$B75)/$D$27,0)&lt;2,0.5,IF(ROUNDDOWN((O$35-$B75)/$D$27,0)&lt;3,0.75,IF(ROUNDDOWN((O$35-$B75)/$D$27,0)&lt;4,0.875,0.9375)))))+HLOOKUP($B75,$C$59:$Q$60,2,FALSE)*$C$28*(1-IF(ROUNDDOWN((O$35-$B75)/$D$28,0)&lt;1,0,IF(ROUNDDOWN((O$35-$B75)/$D$28,0)&lt;2,0.5,IF(ROUNDDOWN((O$35-$B75)/$D$28,0)&lt;3,0.75,IF(ROUNDDOWN((O$35-$B75)/$D$28,0)&lt;4,0.875,0.9375)))))</f>
        <v>0.11460689969878939</v>
      </c>
      <c r="P75" s="135">
        <f>HLOOKUP($B75,$C$59:$Q$60,2,FALSE)*$C$23*(1-IF(ROUNDDOWN((P$35-$B75)/$D$23,0)&lt;1,0,IF(ROUNDDOWN((P$35-$B75)/$D$23,0)&lt;2,0.5,IF(ROUNDDOWN((P$35-$B75)/$D$23,0)&lt;3,0.75,IF(ROUNDDOWN((P$35-$B75)/$D$23,0)&lt;4,0.875,0.9375)))))+HLOOKUP($B75,$C$59:$Q$60,2,FALSE)*$C$24*(1-IF(ROUNDDOWN((P$35-$B75)/$D$24,0)&lt;1,0,IF(ROUNDDOWN((P$35-$B75)/$D$24,0)&lt;2,0.5,IF(ROUNDDOWN((P$35-$B75)/$D$24,0)&lt;3,0.75,IF(ROUNDDOWN((P$35-$B75)/$D$24,0)&lt;4,0.875,0.9375)))))+HLOOKUP($B75,$C$59:$Q$60,2,FALSE)*$C$25*(1-IF(ROUNDDOWN((P$35-$B75)/$D$25,0)&lt;1,0,IF(ROUNDDOWN((P$35-$B75)/$D$25,0)&lt;2,0.5,IF(ROUNDDOWN((P$35-$B75)/$D$25,0)&lt;3,0.75,IF(ROUNDDOWN((P$35-$B75)/$D$25,0)&lt;4,0.875,0.9375)))))+HLOOKUP($B75,$C$59:$Q$60,2,FALSE)*$C$26*(1-IF(ROUNDDOWN((P$35-$B75)/$D$26,0)&lt;1,0,IF(ROUNDDOWN((P$35-$B75)/$D$26,0)&lt;2,0.5,IF(ROUNDDOWN((P$35-$B75)/$D$26,0)&lt;3,0.75,IF(ROUNDDOWN((P$35-$B75)/$D$26,0)&lt;4,0.875,0.9375)))))+HLOOKUP($B75,$C$59:$Q$60,2,FALSE)*$C$27*(1-IF(ROUNDDOWN((P$35-$B75)/$D$27,0)&lt;1,0,IF(ROUNDDOWN((P$35-$B75)/$D$27,0)&lt;2,0.5,IF(ROUNDDOWN((P$35-$B75)/$D$27,0)&lt;3,0.75,IF(ROUNDDOWN((P$35-$B75)/$D$27,0)&lt;4,0.875,0.9375)))))+HLOOKUP($B75,$C$59:$Q$60,2,FALSE)*$C$28*(1-IF(ROUNDDOWN((P$35-$B75)/$D$28,0)&lt;1,0,IF(ROUNDDOWN((P$35-$B75)/$D$28,0)&lt;2,0.5,IF(ROUNDDOWN((P$35-$B75)/$D$28,0)&lt;3,0.75,IF(ROUNDDOWN((P$35-$B75)/$D$28,0)&lt;4,0.875,0.9375)))))</f>
        <v>0.11460689969878939</v>
      </c>
      <c r="Q75" s="135">
        <f>HLOOKUP($B75,$C$59:$Q$60,2,FALSE)*$C$23*(1-IF(ROUNDDOWN((Q$35-$B75)/$D$23,0)&lt;1,0,IF(ROUNDDOWN((Q$35-$B75)/$D$23,0)&lt;2,0.5,IF(ROUNDDOWN((Q$35-$B75)/$D$23,0)&lt;3,0.75,IF(ROUNDDOWN((Q$35-$B75)/$D$23,0)&lt;4,0.875,0.9375)))))+HLOOKUP($B75,$C$59:$Q$60,2,FALSE)*$C$24*(1-IF(ROUNDDOWN((Q$35-$B75)/$D$24,0)&lt;1,0,IF(ROUNDDOWN((Q$35-$B75)/$D$24,0)&lt;2,0.5,IF(ROUNDDOWN((Q$35-$B75)/$D$24,0)&lt;3,0.75,IF(ROUNDDOWN((Q$35-$B75)/$D$24,0)&lt;4,0.875,0.9375)))))+HLOOKUP($B75,$C$59:$Q$60,2,FALSE)*$C$25*(1-IF(ROUNDDOWN((Q$35-$B75)/$D$25,0)&lt;1,0,IF(ROUNDDOWN((Q$35-$B75)/$D$25,0)&lt;2,0.5,IF(ROUNDDOWN((Q$35-$B75)/$D$25,0)&lt;3,0.75,IF(ROUNDDOWN((Q$35-$B75)/$D$25,0)&lt;4,0.875,0.9375)))))+HLOOKUP($B75,$C$59:$Q$60,2,FALSE)*$C$26*(1-IF(ROUNDDOWN((Q$35-$B75)/$D$26,0)&lt;1,0,IF(ROUNDDOWN((Q$35-$B75)/$D$26,0)&lt;2,0.5,IF(ROUNDDOWN((Q$35-$B75)/$D$26,0)&lt;3,0.75,IF(ROUNDDOWN((Q$35-$B75)/$D$26,0)&lt;4,0.875,0.9375)))))+HLOOKUP($B75,$C$59:$Q$60,2,FALSE)*$C$27*(1-IF(ROUNDDOWN((Q$35-$B75)/$D$27,0)&lt;1,0,IF(ROUNDDOWN((Q$35-$B75)/$D$27,0)&lt;2,0.5,IF(ROUNDDOWN((Q$35-$B75)/$D$27,0)&lt;3,0.75,IF(ROUNDDOWN((Q$35-$B75)/$D$27,0)&lt;4,0.875,0.9375)))))+HLOOKUP($B75,$C$59:$Q$60,2,FALSE)*$C$28*(1-IF(ROUNDDOWN((Q$35-$B75)/$D$28,0)&lt;1,0,IF(ROUNDDOWN((Q$35-$B75)/$D$28,0)&lt;2,0.5,IF(ROUNDDOWN((Q$35-$B75)/$D$28,0)&lt;3,0.75,IF(ROUNDDOWN((Q$35-$B75)/$D$28,0)&lt;4,0.875,0.9375)))))</f>
        <v>0.11460689969878939</v>
      </c>
      <c r="R75" s="50"/>
    </row>
    <row r="76" spans="2:18" x14ac:dyDescent="0.3">
      <c r="B76" s="237">
        <f t="shared" si="12"/>
        <v>2028</v>
      </c>
      <c r="C76" s="135"/>
      <c r="D76" s="135"/>
      <c r="E76" s="135"/>
      <c r="F76" s="135"/>
      <c r="G76" s="135"/>
      <c r="H76" s="135"/>
      <c r="I76" s="135"/>
      <c r="J76" s="135"/>
      <c r="K76" s="135"/>
      <c r="L76" s="135"/>
      <c r="M76" s="135"/>
      <c r="N76" s="135"/>
      <c r="O76" s="135"/>
      <c r="P76" s="135">
        <f>HLOOKUP($B76,$C$59:$Q$60,2,FALSE)*$C$23*(1-IF(ROUNDDOWN((P$35-$B76)/$D$23,0)&lt;1,0,IF(ROUNDDOWN((P$35-$B76)/$D$23,0)&lt;2,0.5,IF(ROUNDDOWN((P$35-$B76)/$D$23,0)&lt;3,0.75,IF(ROUNDDOWN((P$35-$B76)/$D$23,0)&lt;4,0.875,0.9375)))))+HLOOKUP($B76,$C$59:$Q$60,2,FALSE)*$C$24*(1-IF(ROUNDDOWN((P$35-$B76)/$D$24,0)&lt;1,0,IF(ROUNDDOWN((P$35-$B76)/$D$24,0)&lt;2,0.5,IF(ROUNDDOWN((P$35-$B76)/$D$24,0)&lt;3,0.75,IF(ROUNDDOWN((P$35-$B76)/$D$24,0)&lt;4,0.875,0.9375)))))+HLOOKUP($B76,$C$59:$Q$60,2,FALSE)*$C$25*(1-IF(ROUNDDOWN((P$35-$B76)/$D$25,0)&lt;1,0,IF(ROUNDDOWN((P$35-$B76)/$D$25,0)&lt;2,0.5,IF(ROUNDDOWN((P$35-$B76)/$D$25,0)&lt;3,0.75,IF(ROUNDDOWN((P$35-$B76)/$D$25,0)&lt;4,0.875,0.9375)))))+HLOOKUP($B76,$C$59:$Q$60,2,FALSE)*$C$26*(1-IF(ROUNDDOWN((P$35-$B76)/$D$26,0)&lt;1,0,IF(ROUNDDOWN((P$35-$B76)/$D$26,0)&lt;2,0.5,IF(ROUNDDOWN((P$35-$B76)/$D$26,0)&lt;3,0.75,IF(ROUNDDOWN((P$35-$B76)/$D$26,0)&lt;4,0.875,0.9375)))))+HLOOKUP($B76,$C$59:$Q$60,2,FALSE)*$C$27*(1-IF(ROUNDDOWN((P$35-$B76)/$D$27,0)&lt;1,0,IF(ROUNDDOWN((P$35-$B76)/$D$27,0)&lt;2,0.5,IF(ROUNDDOWN((P$35-$B76)/$D$27,0)&lt;3,0.75,IF(ROUNDDOWN((P$35-$B76)/$D$27,0)&lt;4,0.875,0.9375)))))+HLOOKUP($B76,$C$59:$Q$60,2,FALSE)*$C$28*(1-IF(ROUNDDOWN((P$35-$B76)/$D$28,0)&lt;1,0,IF(ROUNDDOWN((P$35-$B76)/$D$28,0)&lt;2,0.5,IF(ROUNDDOWN((P$35-$B76)/$D$28,0)&lt;3,0.75,IF(ROUNDDOWN((P$35-$B76)/$D$28,0)&lt;4,0.875,0.9375)))))</f>
        <v>0.11460689969878939</v>
      </c>
      <c r="Q76" s="135">
        <f>HLOOKUP($B76,$C$59:$Q$60,2,FALSE)*$C$23*(1-IF(ROUNDDOWN((Q$35-$B76)/$D$23,0)&lt;1,0,IF(ROUNDDOWN((Q$35-$B76)/$D$23,0)&lt;2,0.5,IF(ROUNDDOWN((Q$35-$B76)/$D$23,0)&lt;3,0.75,IF(ROUNDDOWN((Q$35-$B76)/$D$23,0)&lt;4,0.875,0.9375)))))+HLOOKUP($B76,$C$59:$Q$60,2,FALSE)*$C$24*(1-IF(ROUNDDOWN((Q$35-$B76)/$D$24,0)&lt;1,0,IF(ROUNDDOWN((Q$35-$B76)/$D$24,0)&lt;2,0.5,IF(ROUNDDOWN((Q$35-$B76)/$D$24,0)&lt;3,0.75,IF(ROUNDDOWN((Q$35-$B76)/$D$24,0)&lt;4,0.875,0.9375)))))+HLOOKUP($B76,$C$59:$Q$60,2,FALSE)*$C$25*(1-IF(ROUNDDOWN((Q$35-$B76)/$D$25,0)&lt;1,0,IF(ROUNDDOWN((Q$35-$B76)/$D$25,0)&lt;2,0.5,IF(ROUNDDOWN((Q$35-$B76)/$D$25,0)&lt;3,0.75,IF(ROUNDDOWN((Q$35-$B76)/$D$25,0)&lt;4,0.875,0.9375)))))+HLOOKUP($B76,$C$59:$Q$60,2,FALSE)*$C$26*(1-IF(ROUNDDOWN((Q$35-$B76)/$D$26,0)&lt;1,0,IF(ROUNDDOWN((Q$35-$B76)/$D$26,0)&lt;2,0.5,IF(ROUNDDOWN((Q$35-$B76)/$D$26,0)&lt;3,0.75,IF(ROUNDDOWN((Q$35-$B76)/$D$26,0)&lt;4,0.875,0.9375)))))+HLOOKUP($B76,$C$59:$Q$60,2,FALSE)*$C$27*(1-IF(ROUNDDOWN((Q$35-$B76)/$D$27,0)&lt;1,0,IF(ROUNDDOWN((Q$35-$B76)/$D$27,0)&lt;2,0.5,IF(ROUNDDOWN((Q$35-$B76)/$D$27,0)&lt;3,0.75,IF(ROUNDDOWN((Q$35-$B76)/$D$27,0)&lt;4,0.875,0.9375)))))+HLOOKUP($B76,$C$59:$Q$60,2,FALSE)*$C$28*(1-IF(ROUNDDOWN((Q$35-$B76)/$D$28,0)&lt;1,0,IF(ROUNDDOWN((Q$35-$B76)/$D$28,0)&lt;2,0.5,IF(ROUNDDOWN((Q$35-$B76)/$D$28,0)&lt;3,0.75,IF(ROUNDDOWN((Q$35-$B76)/$D$28,0)&lt;4,0.875,0.9375)))))</f>
        <v>0.11460689969878939</v>
      </c>
      <c r="R76" s="50"/>
    </row>
    <row r="77" spans="2:18" x14ac:dyDescent="0.3">
      <c r="B77" s="237">
        <f t="shared" si="12"/>
        <v>2029</v>
      </c>
      <c r="C77" s="135"/>
      <c r="D77" s="135"/>
      <c r="E77" s="135"/>
      <c r="F77" s="135"/>
      <c r="G77" s="135"/>
      <c r="H77" s="135"/>
      <c r="I77" s="135"/>
      <c r="J77" s="135"/>
      <c r="K77" s="135"/>
      <c r="L77" s="135"/>
      <c r="M77" s="135"/>
      <c r="N77" s="135"/>
      <c r="O77" s="135"/>
      <c r="P77" s="135"/>
      <c r="Q77" s="135">
        <f>HLOOKUP($B77,$C$59:$Q$60,2,FALSE)*$C$23*(1-IF(ROUNDDOWN((Q$35-$B77)/$D$23,0)&lt;1,0,IF(ROUNDDOWN((Q$35-$B77)/$D$23,0)&lt;2,0.5,IF(ROUNDDOWN((Q$35-$B77)/$D$23,0)&lt;3,0.75,IF(ROUNDDOWN((Q$35-$B77)/$D$23,0)&lt;4,0.875,0.9375)))))+HLOOKUP($B77,$C$59:$Q$60,2,FALSE)*$C$24*(1-IF(ROUNDDOWN((Q$35-$B77)/$D$24,0)&lt;1,0,IF(ROUNDDOWN((Q$35-$B77)/$D$24,0)&lt;2,0.5,IF(ROUNDDOWN((Q$35-$B77)/$D$24,0)&lt;3,0.75,IF(ROUNDDOWN((Q$35-$B77)/$D$24,0)&lt;4,0.875,0.9375)))))+HLOOKUP($B77,$C$59:$Q$60,2,FALSE)*$C$25*(1-IF(ROUNDDOWN((Q$35-$B77)/$D$25,0)&lt;1,0,IF(ROUNDDOWN((Q$35-$B77)/$D$25,0)&lt;2,0.5,IF(ROUNDDOWN((Q$35-$B77)/$D$25,0)&lt;3,0.75,IF(ROUNDDOWN((Q$35-$B77)/$D$25,0)&lt;4,0.875,0.9375)))))+HLOOKUP($B77,$C$59:$Q$60,2,FALSE)*$C$26*(1-IF(ROUNDDOWN((Q$35-$B77)/$D$26,0)&lt;1,0,IF(ROUNDDOWN((Q$35-$B77)/$D$26,0)&lt;2,0.5,IF(ROUNDDOWN((Q$35-$B77)/$D$26,0)&lt;3,0.75,IF(ROUNDDOWN((Q$35-$B77)/$D$26,0)&lt;4,0.875,0.9375)))))+HLOOKUP($B77,$C$59:$Q$60,2,FALSE)*$C$27*(1-IF(ROUNDDOWN((Q$35-$B77)/$D$27,0)&lt;1,0,IF(ROUNDDOWN((Q$35-$B77)/$D$27,0)&lt;2,0.5,IF(ROUNDDOWN((Q$35-$B77)/$D$27,0)&lt;3,0.75,IF(ROUNDDOWN((Q$35-$B77)/$D$27,0)&lt;4,0.875,0.9375)))))+HLOOKUP($B77,$C$59:$Q$60,2,FALSE)*$C$28*(1-IF(ROUNDDOWN((Q$35-$B77)/$D$28,0)&lt;1,0,IF(ROUNDDOWN((Q$35-$B77)/$D$28,0)&lt;2,0.5,IF(ROUNDDOWN((Q$35-$B77)/$D$28,0)&lt;3,0.75,IF(ROUNDDOWN((Q$35-$B77)/$D$28,0)&lt;4,0.875,0.9375)))))</f>
        <v>0.11460689969878939</v>
      </c>
      <c r="R77" s="50"/>
    </row>
    <row r="78" spans="2:18" x14ac:dyDescent="0.3">
      <c r="B78" s="51"/>
      <c r="C78" s="241"/>
      <c r="D78" s="241"/>
      <c r="E78" s="241"/>
      <c r="F78" s="241"/>
      <c r="G78" s="241"/>
      <c r="H78" s="241"/>
      <c r="I78" s="241"/>
      <c r="J78" s="241"/>
      <c r="K78" s="241"/>
      <c r="L78" s="241"/>
      <c r="M78" s="241"/>
      <c r="N78" s="241"/>
      <c r="O78" s="241"/>
      <c r="P78" s="241"/>
      <c r="Q78" s="241"/>
      <c r="R78" s="50"/>
    </row>
    <row r="79" spans="2:18" x14ac:dyDescent="0.3">
      <c r="B79" s="242" t="s">
        <v>373</v>
      </c>
      <c r="C79" s="243">
        <f t="shared" ref="C79:Q79" si="13">SUM(C63:C77)</f>
        <v>0</v>
      </c>
      <c r="D79" s="243">
        <f t="shared" si="13"/>
        <v>0</v>
      </c>
      <c r="E79" s="243">
        <f t="shared" si="13"/>
        <v>0</v>
      </c>
      <c r="F79" s="243">
        <f t="shared" si="13"/>
        <v>0</v>
      </c>
      <c r="G79" s="243">
        <f t="shared" si="13"/>
        <v>0</v>
      </c>
      <c r="H79" s="243">
        <f t="shared" si="13"/>
        <v>0</v>
      </c>
      <c r="I79" s="243">
        <f t="shared" si="13"/>
        <v>0.11460689969878939</v>
      </c>
      <c r="J79" s="243">
        <f t="shared" si="13"/>
        <v>0.22921379939757877</v>
      </c>
      <c r="K79" s="243">
        <f t="shared" si="13"/>
        <v>0.34382069909636814</v>
      </c>
      <c r="L79" s="243">
        <f t="shared" si="13"/>
        <v>0.45349950210810963</v>
      </c>
      <c r="M79" s="243">
        <f t="shared" si="13"/>
        <v>0.56317830511985101</v>
      </c>
      <c r="N79" s="243">
        <f t="shared" si="13"/>
        <v>0.6728571081315925</v>
      </c>
      <c r="O79" s="243">
        <f t="shared" si="13"/>
        <v>0.78007186279980989</v>
      </c>
      <c r="P79" s="243">
        <f t="shared" si="13"/>
        <v>0.88728661746802728</v>
      </c>
      <c r="Q79" s="243">
        <f t="shared" si="13"/>
        <v>0.98991709614829326</v>
      </c>
      <c r="R79" s="50"/>
    </row>
    <row r="80" spans="2:18" ht="15" thickBot="1" x14ac:dyDescent="0.35">
      <c r="B80" s="54"/>
      <c r="C80" s="55"/>
      <c r="D80" s="55"/>
      <c r="E80" s="55"/>
      <c r="F80" s="55"/>
      <c r="G80" s="55"/>
      <c r="H80" s="55"/>
      <c r="I80" s="55"/>
      <c r="J80" s="55"/>
      <c r="K80" s="55"/>
      <c r="L80" s="55"/>
      <c r="M80" s="55"/>
      <c r="N80" s="55"/>
      <c r="O80" s="55"/>
      <c r="P80" s="55"/>
      <c r="Q80" s="55"/>
      <c r="R80" s="56"/>
    </row>
  </sheetData>
  <mergeCells count="1">
    <mergeCell ref="F23:O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F80"/>
  <sheetViews>
    <sheetView zoomScale="70" zoomScaleNormal="70" workbookViewId="0">
      <selection activeCell="U28" sqref="U28"/>
    </sheetView>
  </sheetViews>
  <sheetFormatPr defaultRowHeight="14.4" x14ac:dyDescent="0.3"/>
  <cols>
    <col min="2" max="2" width="17.6640625" customWidth="1"/>
    <col min="3" max="3" width="16.44140625" customWidth="1"/>
    <col min="4" max="4" width="18.44140625" customWidth="1"/>
    <col min="5" max="5" width="19.33203125" customWidth="1"/>
    <col min="6" max="6" width="15" customWidth="1"/>
    <col min="18" max="18" width="8.88671875" customWidth="1"/>
    <col min="20" max="20" width="14.6640625" customWidth="1"/>
  </cols>
  <sheetData>
    <row r="1" spans="2:32" ht="23.4" x14ac:dyDescent="0.45">
      <c r="B1" s="164" t="s">
        <v>33</v>
      </c>
      <c r="C1" s="164" t="str">
        <f>'Program Analysis'!C3</f>
        <v>Local Government Challenge</v>
      </c>
      <c r="U1" s="111"/>
      <c r="V1" s="111"/>
      <c r="W1" s="111"/>
      <c r="X1" s="111"/>
      <c r="Y1" s="111"/>
      <c r="Z1" s="111"/>
      <c r="AA1" s="111"/>
      <c r="AB1" s="111"/>
      <c r="AC1" s="111"/>
      <c r="AD1" s="111"/>
      <c r="AE1" s="111"/>
      <c r="AF1" s="111"/>
    </row>
    <row r="2" spans="2:32" ht="23.4" x14ac:dyDescent="0.45">
      <c r="B2" s="164" t="s">
        <v>445</v>
      </c>
      <c r="C2" s="164" t="s">
        <v>403</v>
      </c>
      <c r="T2" s="111" t="s">
        <v>346</v>
      </c>
      <c r="U2" s="111"/>
      <c r="V2" s="111"/>
      <c r="W2" s="111"/>
      <c r="X2" s="111"/>
      <c r="Y2" s="111"/>
      <c r="Z2" s="111"/>
      <c r="AA2" s="111"/>
      <c r="AB2" s="111"/>
      <c r="AC2" s="111"/>
      <c r="AD2" s="111"/>
      <c r="AE2" s="111"/>
      <c r="AF2" s="111"/>
    </row>
    <row r="3" spans="2:32" x14ac:dyDescent="0.3">
      <c r="T3" s="111" t="s">
        <v>347</v>
      </c>
      <c r="U3" s="111"/>
      <c r="V3" s="111"/>
      <c r="W3" s="111"/>
      <c r="X3" s="111"/>
      <c r="Y3" s="111"/>
      <c r="Z3" s="111"/>
      <c r="AA3" s="111"/>
      <c r="AB3" s="111"/>
      <c r="AC3" s="111"/>
      <c r="AD3" s="111"/>
      <c r="AE3" s="111"/>
      <c r="AF3" s="111"/>
    </row>
    <row r="4" spans="2:32" ht="15" thickBot="1" x14ac:dyDescent="0.35">
      <c r="T4" s="111" t="s">
        <v>348</v>
      </c>
      <c r="U4" s="111"/>
      <c r="V4" s="111"/>
      <c r="W4" s="111"/>
      <c r="X4" s="111"/>
      <c r="Y4" s="111"/>
      <c r="Z4" s="111"/>
      <c r="AA4" s="111"/>
      <c r="AB4" s="111"/>
      <c r="AC4" s="111"/>
      <c r="AD4" s="111"/>
      <c r="AE4" s="111"/>
      <c r="AF4" s="111"/>
    </row>
    <row r="5" spans="2:32" ht="18" x14ac:dyDescent="0.35">
      <c r="B5" s="60" t="s">
        <v>449</v>
      </c>
      <c r="C5" s="45"/>
      <c r="D5" s="45"/>
      <c r="E5" s="46"/>
      <c r="F5" s="46"/>
      <c r="G5" s="47"/>
      <c r="H5" s="47"/>
      <c r="I5" s="47"/>
      <c r="J5" s="47"/>
      <c r="K5" s="47"/>
      <c r="L5" s="47"/>
      <c r="M5" s="47"/>
      <c r="N5" s="47"/>
      <c r="O5" s="47"/>
      <c r="P5" s="47"/>
      <c r="Q5" s="47"/>
      <c r="R5" s="48"/>
      <c r="S5" s="3"/>
      <c r="T5" s="111" t="s">
        <v>349</v>
      </c>
    </row>
    <row r="6" spans="2:32" x14ac:dyDescent="0.3">
      <c r="B6" s="51" t="s">
        <v>450</v>
      </c>
      <c r="C6" s="236" t="s">
        <v>469</v>
      </c>
      <c r="D6" s="236"/>
      <c r="E6" s="39"/>
      <c r="F6" s="39"/>
      <c r="G6" s="39"/>
      <c r="H6" s="3"/>
      <c r="I6" s="3"/>
      <c r="J6" s="3"/>
      <c r="K6" s="3"/>
      <c r="L6" s="3"/>
      <c r="M6" s="3"/>
      <c r="N6" s="3"/>
      <c r="O6" s="3"/>
      <c r="P6" s="3"/>
      <c r="Q6" s="3"/>
      <c r="R6" s="50"/>
      <c r="S6" s="3"/>
    </row>
    <row r="7" spans="2:32" x14ac:dyDescent="0.3">
      <c r="B7" s="57"/>
      <c r="C7" s="39"/>
      <c r="D7" s="49"/>
      <c r="E7" s="39"/>
      <c r="F7" s="39"/>
      <c r="G7" s="39"/>
      <c r="H7" s="39"/>
      <c r="I7" s="39"/>
      <c r="J7" s="39"/>
      <c r="K7" s="39"/>
      <c r="L7" s="39"/>
      <c r="M7" s="39"/>
      <c r="N7" s="39"/>
      <c r="O7" s="39"/>
      <c r="P7" s="39"/>
      <c r="Q7" s="39"/>
      <c r="R7" s="252"/>
      <c r="S7" s="3"/>
    </row>
    <row r="8" spans="2:32" s="231" customFormat="1" x14ac:dyDescent="0.3">
      <c r="B8" s="227" t="s">
        <v>60</v>
      </c>
      <c r="C8" s="49">
        <v>2015</v>
      </c>
      <c r="D8" s="49">
        <v>2016</v>
      </c>
      <c r="E8" s="49">
        <v>2017</v>
      </c>
      <c r="F8" s="49">
        <v>2018</v>
      </c>
      <c r="G8" s="49">
        <v>2019</v>
      </c>
      <c r="H8" s="49">
        <v>2020</v>
      </c>
      <c r="I8" s="49">
        <v>2021</v>
      </c>
      <c r="J8" s="49">
        <v>2022</v>
      </c>
      <c r="K8" s="49">
        <v>2023</v>
      </c>
      <c r="L8" s="49">
        <v>2024</v>
      </c>
      <c r="M8" s="49">
        <v>2025</v>
      </c>
      <c r="N8" s="49">
        <v>2026</v>
      </c>
      <c r="O8" s="228">
        <v>2027</v>
      </c>
      <c r="P8" s="228">
        <v>2028</v>
      </c>
      <c r="Q8" s="228">
        <v>2029</v>
      </c>
      <c r="R8" s="252"/>
      <c r="S8" s="230"/>
      <c r="T8"/>
      <c r="U8">
        <v>2021</v>
      </c>
      <c r="V8">
        <v>2022</v>
      </c>
      <c r="W8">
        <v>2023</v>
      </c>
      <c r="X8">
        <v>2024</v>
      </c>
      <c r="Y8">
        <v>2025</v>
      </c>
      <c r="Z8">
        <v>2026</v>
      </c>
      <c r="AA8">
        <v>2027</v>
      </c>
      <c r="AB8">
        <v>2028</v>
      </c>
      <c r="AC8">
        <v>2029</v>
      </c>
    </row>
    <row r="9" spans="2:32" x14ac:dyDescent="0.3">
      <c r="B9" s="244" t="s">
        <v>0</v>
      </c>
      <c r="C9" s="250">
        <v>0</v>
      </c>
      <c r="D9" s="250">
        <v>0</v>
      </c>
      <c r="E9" s="250">
        <v>0</v>
      </c>
      <c r="F9" s="250">
        <v>0</v>
      </c>
      <c r="G9" s="250">
        <v>0</v>
      </c>
      <c r="H9" s="250">
        <v>0</v>
      </c>
      <c r="I9" s="250">
        <f>U12</f>
        <v>4.6221995209709421</v>
      </c>
      <c r="J9" s="250">
        <f t="shared" ref="J9:Q9" si="0">V12</f>
        <v>4.6221995209709421</v>
      </c>
      <c r="K9" s="250">
        <f t="shared" si="0"/>
        <v>4.6221995209709421</v>
      </c>
      <c r="L9" s="250">
        <f t="shared" si="0"/>
        <v>8.5668604832362867</v>
      </c>
      <c r="M9" s="250">
        <f t="shared" si="0"/>
        <v>8.5668604832362867</v>
      </c>
      <c r="N9" s="250">
        <f t="shared" si="0"/>
        <v>8.5668604832362867</v>
      </c>
      <c r="O9" s="250">
        <f t="shared" si="0"/>
        <v>12.51152144550163</v>
      </c>
      <c r="P9" s="250">
        <f t="shared" si="0"/>
        <v>12.51152144550163</v>
      </c>
      <c r="Q9" s="250">
        <f t="shared" si="0"/>
        <v>12.51152144550163</v>
      </c>
      <c r="R9" s="252"/>
      <c r="S9" s="233"/>
      <c r="T9" s="123" t="s">
        <v>0</v>
      </c>
      <c r="U9" s="118">
        <f>Reference!I9</f>
        <v>4.6221995209709421</v>
      </c>
      <c r="V9" s="118">
        <f>Reference!J9</f>
        <v>4.6221995209709421</v>
      </c>
      <c r="W9" s="118">
        <f>Reference!K9</f>
        <v>4.6221995209709421</v>
      </c>
      <c r="X9" s="118">
        <f>Reference!L9</f>
        <v>4.6221995209709421</v>
      </c>
      <c r="Y9" s="118">
        <f>Reference!M9</f>
        <v>4.6221995209709421</v>
      </c>
      <c r="Z9" s="118">
        <f>Reference!N9</f>
        <v>4.6221995209709421</v>
      </c>
      <c r="AA9" s="118">
        <f>Reference!O9</f>
        <v>4.6221995209709421</v>
      </c>
      <c r="AB9" s="118">
        <f>Reference!P9</f>
        <v>4.6221995209709421</v>
      </c>
      <c r="AC9" s="119">
        <f>Reference!Q9</f>
        <v>4.6221995209709421</v>
      </c>
    </row>
    <row r="10" spans="2:32" ht="15" thickBot="1" x14ac:dyDescent="0.35">
      <c r="B10" s="245" t="s">
        <v>4</v>
      </c>
      <c r="C10" s="251">
        <v>0</v>
      </c>
      <c r="D10" s="251">
        <v>0</v>
      </c>
      <c r="E10" s="251">
        <v>0</v>
      </c>
      <c r="F10" s="251">
        <v>0</v>
      </c>
      <c r="G10" s="251">
        <v>0</v>
      </c>
      <c r="H10" s="251">
        <v>0</v>
      </c>
      <c r="I10" s="251">
        <f>U17</f>
        <v>0.16076432786379624</v>
      </c>
      <c r="J10" s="251">
        <f t="shared" ref="J10:Q10" si="1">V17</f>
        <v>0.16076432786379624</v>
      </c>
      <c r="K10" s="251">
        <f t="shared" si="1"/>
        <v>0.16076432786379624</v>
      </c>
      <c r="L10" s="251">
        <f t="shared" si="1"/>
        <v>0.30708846321946504</v>
      </c>
      <c r="M10" s="251">
        <f t="shared" si="1"/>
        <v>0.30708846321946504</v>
      </c>
      <c r="N10" s="251">
        <f t="shared" si="1"/>
        <v>0.30708846321946504</v>
      </c>
      <c r="O10" s="251">
        <f t="shared" si="1"/>
        <v>0.45341259857513383</v>
      </c>
      <c r="P10" s="251">
        <f t="shared" si="1"/>
        <v>0.45341259857513383</v>
      </c>
      <c r="Q10" s="251">
        <f t="shared" si="1"/>
        <v>0.45341259857513383</v>
      </c>
      <c r="R10" s="253"/>
      <c r="S10" s="233"/>
      <c r="T10" s="108" t="s">
        <v>355</v>
      </c>
      <c r="U10" s="3"/>
      <c r="V10" s="3"/>
      <c r="W10" s="3"/>
      <c r="X10" s="99">
        <v>3.9446609622653437</v>
      </c>
      <c r="Y10" s="99">
        <v>3.9446609622653437</v>
      </c>
      <c r="Z10" s="99">
        <v>3.9446609622653437</v>
      </c>
      <c r="AA10" s="99">
        <v>3.9446609622653437</v>
      </c>
      <c r="AB10" s="99">
        <v>3.9446609622653437</v>
      </c>
      <c r="AC10" s="120">
        <v>3.9446609622653437</v>
      </c>
    </row>
    <row r="11" spans="2:32" x14ac:dyDescent="0.3">
      <c r="B11" s="7"/>
      <c r="C11" s="7"/>
      <c r="D11" s="7"/>
      <c r="E11" s="7"/>
      <c r="F11" s="58"/>
      <c r="G11" s="59"/>
      <c r="H11" s="59"/>
      <c r="I11" s="59"/>
      <c r="J11" s="59"/>
      <c r="K11" s="59"/>
      <c r="L11" s="59"/>
      <c r="M11" s="59"/>
      <c r="N11" s="59"/>
      <c r="O11" s="59"/>
      <c r="P11" s="59"/>
      <c r="Q11" s="59"/>
      <c r="R11" s="59"/>
      <c r="S11" s="233"/>
      <c r="T11" s="109" t="s">
        <v>356</v>
      </c>
      <c r="U11" s="110"/>
      <c r="V11" s="110"/>
      <c r="W11" s="110"/>
      <c r="X11" s="110"/>
      <c r="Y11" s="110"/>
      <c r="Z11" s="110"/>
      <c r="AA11" s="121">
        <v>3.9446609622653437</v>
      </c>
      <c r="AB11" s="121">
        <v>3.9446609622653437</v>
      </c>
      <c r="AC11" s="122">
        <v>3.9446609622653437</v>
      </c>
    </row>
    <row r="12" spans="2:32" ht="15" thickBot="1" x14ac:dyDescent="0.35">
      <c r="B12" s="39"/>
      <c r="C12" s="49"/>
      <c r="D12" s="49"/>
      <c r="E12" s="39"/>
      <c r="F12" s="39"/>
      <c r="G12" s="39"/>
      <c r="H12" s="39"/>
      <c r="I12" s="39"/>
      <c r="J12" s="39"/>
      <c r="K12" s="39"/>
      <c r="L12" s="39"/>
      <c r="M12" s="39"/>
      <c r="N12" s="39"/>
      <c r="O12" s="39"/>
      <c r="P12" s="39"/>
      <c r="Q12" s="39"/>
      <c r="R12" s="39"/>
      <c r="S12" s="3"/>
      <c r="T12" t="s">
        <v>331</v>
      </c>
      <c r="U12" s="117">
        <f t="shared" ref="U12:AC12" si="2">SUM(U9:U11)</f>
        <v>4.6221995209709421</v>
      </c>
      <c r="V12" s="117">
        <f t="shared" si="2"/>
        <v>4.6221995209709421</v>
      </c>
      <c r="W12" s="117">
        <f t="shared" si="2"/>
        <v>4.6221995209709421</v>
      </c>
      <c r="X12" s="117">
        <f t="shared" si="2"/>
        <v>8.5668604832362867</v>
      </c>
      <c r="Y12" s="117">
        <f t="shared" si="2"/>
        <v>8.5668604832362867</v>
      </c>
      <c r="Z12" s="117">
        <f t="shared" si="2"/>
        <v>8.5668604832362867</v>
      </c>
      <c r="AA12" s="117">
        <f t="shared" si="2"/>
        <v>12.51152144550163</v>
      </c>
      <c r="AB12" s="117">
        <f t="shared" si="2"/>
        <v>12.51152144550163</v>
      </c>
      <c r="AC12" s="117">
        <f t="shared" si="2"/>
        <v>12.51152144550163</v>
      </c>
    </row>
    <row r="13" spans="2:32" x14ac:dyDescent="0.3">
      <c r="B13" s="249" t="s">
        <v>452</v>
      </c>
      <c r="C13" s="46"/>
      <c r="D13" s="46"/>
      <c r="E13" s="46"/>
      <c r="F13" s="46"/>
      <c r="G13" s="46"/>
      <c r="H13" s="46"/>
      <c r="I13" s="46"/>
      <c r="J13" s="46"/>
      <c r="K13" s="46"/>
      <c r="L13" s="46"/>
      <c r="M13" s="46"/>
      <c r="N13" s="46"/>
      <c r="O13" s="46"/>
      <c r="P13" s="46"/>
      <c r="Q13" s="46"/>
      <c r="R13" s="254"/>
    </row>
    <row r="14" spans="2:32" x14ac:dyDescent="0.3">
      <c r="B14" s="57" t="s">
        <v>450</v>
      </c>
      <c r="C14" s="236">
        <v>0.04</v>
      </c>
      <c r="D14" s="255" t="s">
        <v>470</v>
      </c>
      <c r="E14" s="39"/>
      <c r="F14" s="39"/>
      <c r="G14" s="39"/>
      <c r="H14" s="39"/>
      <c r="I14" s="39"/>
      <c r="J14" s="39"/>
      <c r="K14" s="39"/>
      <c r="L14" s="39"/>
      <c r="M14" s="39"/>
      <c r="N14" s="39"/>
      <c r="O14" s="39"/>
      <c r="P14" s="39"/>
      <c r="Q14" s="39"/>
      <c r="R14" s="252"/>
      <c r="T14" s="123" t="s">
        <v>4</v>
      </c>
      <c r="U14" s="118">
        <f>Reference!I10</f>
        <v>0.16076432786379624</v>
      </c>
      <c r="V14" s="118">
        <f>Reference!J10</f>
        <v>0.16076432786379624</v>
      </c>
      <c r="W14" s="118">
        <f>Reference!K10</f>
        <v>0.16076432786379624</v>
      </c>
      <c r="X14" s="118">
        <f>Reference!L10</f>
        <v>0.16076432786379624</v>
      </c>
      <c r="Y14" s="118">
        <f>Reference!M10</f>
        <v>0.16076432786379624</v>
      </c>
      <c r="Z14" s="118">
        <f>Reference!N10</f>
        <v>0.16076432786379624</v>
      </c>
      <c r="AA14" s="118">
        <f>Reference!O10</f>
        <v>0.16076432786379624</v>
      </c>
      <c r="AB14" s="118">
        <f>Reference!P10</f>
        <v>0.16076432786379624</v>
      </c>
      <c r="AC14" s="119">
        <f>Reference!Q10</f>
        <v>0.16076432786379624</v>
      </c>
    </row>
    <row r="15" spans="2:32" x14ac:dyDescent="0.3">
      <c r="B15" s="57"/>
      <c r="C15" s="39"/>
      <c r="D15" s="39"/>
      <c r="E15" s="39"/>
      <c r="F15" s="39"/>
      <c r="G15" s="39"/>
      <c r="H15" s="39"/>
      <c r="I15" s="39"/>
      <c r="J15" s="39"/>
      <c r="K15" s="39"/>
      <c r="L15" s="39"/>
      <c r="M15" s="39"/>
      <c r="N15" s="39"/>
      <c r="O15" s="39"/>
      <c r="P15" s="39"/>
      <c r="Q15" s="39"/>
      <c r="R15" s="252"/>
      <c r="T15" s="108" t="s">
        <v>355</v>
      </c>
      <c r="U15" s="3"/>
      <c r="V15" s="3"/>
      <c r="W15" s="3"/>
      <c r="X15" s="99">
        <v>0.14632413535566879</v>
      </c>
      <c r="Y15" s="99">
        <v>0.14632413535566879</v>
      </c>
      <c r="Z15" s="99">
        <v>0.14632413535566879</v>
      </c>
      <c r="AA15" s="99">
        <v>0.14632413535566879</v>
      </c>
      <c r="AB15" s="99">
        <v>0.14632413535566879</v>
      </c>
      <c r="AC15" s="120">
        <v>0.14632413535566879</v>
      </c>
    </row>
    <row r="16" spans="2:32" s="231" customFormat="1" x14ac:dyDescent="0.3">
      <c r="B16" s="227" t="s">
        <v>60</v>
      </c>
      <c r="C16" s="49">
        <v>2015</v>
      </c>
      <c r="D16" s="49">
        <v>2016</v>
      </c>
      <c r="E16" s="49">
        <v>2017</v>
      </c>
      <c r="F16" s="49">
        <v>2018</v>
      </c>
      <c r="G16" s="49">
        <v>2019</v>
      </c>
      <c r="H16" s="49">
        <v>2020</v>
      </c>
      <c r="I16" s="49">
        <v>2021</v>
      </c>
      <c r="J16" s="49">
        <v>2022</v>
      </c>
      <c r="K16" s="49">
        <v>2023</v>
      </c>
      <c r="L16" s="49">
        <v>2024</v>
      </c>
      <c r="M16" s="49">
        <v>2025</v>
      </c>
      <c r="N16" s="49">
        <v>2026</v>
      </c>
      <c r="O16" s="228">
        <v>2027</v>
      </c>
      <c r="P16" s="228">
        <v>2028</v>
      </c>
      <c r="Q16" s="228">
        <v>2029</v>
      </c>
      <c r="R16" s="252"/>
      <c r="T16" s="109" t="s">
        <v>356</v>
      </c>
      <c r="U16" s="110"/>
      <c r="V16" s="110"/>
      <c r="W16" s="110"/>
      <c r="X16" s="110"/>
      <c r="Y16" s="110"/>
      <c r="Z16" s="110"/>
      <c r="AA16" s="121">
        <v>0.14632413535566879</v>
      </c>
      <c r="AB16" s="121">
        <v>0.14632413535566879</v>
      </c>
      <c r="AC16" s="122">
        <v>0.14632413535566879</v>
      </c>
    </row>
    <row r="17" spans="2:29" x14ac:dyDescent="0.3">
      <c r="B17" s="244" t="str">
        <f>B9</f>
        <v>GWh</v>
      </c>
      <c r="C17" s="41">
        <f t="shared" ref="C17:Q17" si="3">C9*(1-$C$14)</f>
        <v>0</v>
      </c>
      <c r="D17" s="41">
        <f t="shared" si="3"/>
        <v>0</v>
      </c>
      <c r="E17" s="41">
        <f t="shared" si="3"/>
        <v>0</v>
      </c>
      <c r="F17" s="41">
        <f t="shared" si="3"/>
        <v>0</v>
      </c>
      <c r="G17" s="41">
        <f t="shared" si="3"/>
        <v>0</v>
      </c>
      <c r="H17" s="41">
        <f t="shared" si="3"/>
        <v>0</v>
      </c>
      <c r="I17" s="41">
        <f t="shared" si="3"/>
        <v>4.4373115401321046</v>
      </c>
      <c r="J17" s="41">
        <f t="shared" si="3"/>
        <v>4.4373115401321046</v>
      </c>
      <c r="K17" s="41">
        <f t="shared" si="3"/>
        <v>4.4373115401321046</v>
      </c>
      <c r="L17" s="41">
        <f t="shared" si="3"/>
        <v>8.2241860639068349</v>
      </c>
      <c r="M17" s="41">
        <f t="shared" si="3"/>
        <v>8.2241860639068349</v>
      </c>
      <c r="N17" s="41">
        <f t="shared" si="3"/>
        <v>8.2241860639068349</v>
      </c>
      <c r="O17" s="41">
        <f t="shared" si="3"/>
        <v>12.011060587681564</v>
      </c>
      <c r="P17" s="41">
        <f t="shared" si="3"/>
        <v>12.011060587681564</v>
      </c>
      <c r="Q17" s="41">
        <f t="shared" si="3"/>
        <v>12.011060587681564</v>
      </c>
      <c r="R17" s="252"/>
      <c r="T17" t="s">
        <v>331</v>
      </c>
      <c r="U17" s="117">
        <f t="shared" ref="U17:AC17" si="4">SUM(U14:U16)</f>
        <v>0.16076432786379624</v>
      </c>
      <c r="V17" s="117">
        <f t="shared" si="4"/>
        <v>0.16076432786379624</v>
      </c>
      <c r="W17" s="117">
        <f t="shared" si="4"/>
        <v>0.16076432786379624</v>
      </c>
      <c r="X17" s="117">
        <f t="shared" si="4"/>
        <v>0.30708846321946504</v>
      </c>
      <c r="Y17" s="117">
        <f t="shared" si="4"/>
        <v>0.30708846321946504</v>
      </c>
      <c r="Z17" s="117">
        <f t="shared" si="4"/>
        <v>0.30708846321946504</v>
      </c>
      <c r="AA17" s="117">
        <f t="shared" si="4"/>
        <v>0.45341259857513383</v>
      </c>
      <c r="AB17" s="117">
        <f t="shared" si="4"/>
        <v>0.45341259857513383</v>
      </c>
      <c r="AC17" s="117">
        <f t="shared" si="4"/>
        <v>0.45341259857513383</v>
      </c>
    </row>
    <row r="18" spans="2:29" ht="15" thickBot="1" x14ac:dyDescent="0.35">
      <c r="B18" s="245" t="str">
        <f>B10</f>
        <v>MM Therms</v>
      </c>
      <c r="C18" s="235">
        <f t="shared" ref="C18:Q18" si="5">C10*(1-$C$14)</f>
        <v>0</v>
      </c>
      <c r="D18" s="235">
        <f t="shared" si="5"/>
        <v>0</v>
      </c>
      <c r="E18" s="235">
        <f t="shared" si="5"/>
        <v>0</v>
      </c>
      <c r="F18" s="235">
        <f t="shared" si="5"/>
        <v>0</v>
      </c>
      <c r="G18" s="235">
        <f t="shared" si="5"/>
        <v>0</v>
      </c>
      <c r="H18" s="235">
        <f t="shared" si="5"/>
        <v>0</v>
      </c>
      <c r="I18" s="235">
        <f t="shared" si="5"/>
        <v>0.15433375474924438</v>
      </c>
      <c r="J18" s="235">
        <f t="shared" si="5"/>
        <v>0.15433375474924438</v>
      </c>
      <c r="K18" s="235">
        <f t="shared" si="5"/>
        <v>0.15433375474924438</v>
      </c>
      <c r="L18" s="235">
        <f t="shared" si="5"/>
        <v>0.29480492469068642</v>
      </c>
      <c r="M18" s="235">
        <f t="shared" si="5"/>
        <v>0.29480492469068642</v>
      </c>
      <c r="N18" s="235">
        <f t="shared" si="5"/>
        <v>0.29480492469068642</v>
      </c>
      <c r="O18" s="235">
        <f t="shared" si="5"/>
        <v>0.43527609463212846</v>
      </c>
      <c r="P18" s="235">
        <f t="shared" si="5"/>
        <v>0.43527609463212846</v>
      </c>
      <c r="Q18" s="235">
        <f t="shared" si="5"/>
        <v>0.43527609463212846</v>
      </c>
      <c r="R18" s="253"/>
    </row>
    <row r="20" spans="2:29" ht="15" thickBot="1" x14ac:dyDescent="0.35"/>
    <row r="21" spans="2:29" ht="18" x14ac:dyDescent="0.35">
      <c r="B21" s="60" t="s">
        <v>453</v>
      </c>
      <c r="C21" s="47"/>
      <c r="D21" s="47"/>
      <c r="E21" s="47"/>
      <c r="F21" s="47"/>
      <c r="G21" s="47"/>
      <c r="H21" s="47"/>
      <c r="I21" s="47"/>
      <c r="J21" s="47"/>
      <c r="K21" s="47"/>
      <c r="L21" s="47"/>
      <c r="M21" s="47"/>
      <c r="N21" s="47"/>
      <c r="O21" s="47"/>
      <c r="P21" s="47"/>
      <c r="Q21" s="47"/>
      <c r="R21" s="48"/>
      <c r="T21" s="223"/>
      <c r="U21" s="3" t="s">
        <v>367</v>
      </c>
    </row>
    <row r="22" spans="2:29" x14ac:dyDescent="0.3">
      <c r="B22" s="237" t="s">
        <v>35</v>
      </c>
      <c r="C22" s="131" t="s">
        <v>357</v>
      </c>
      <c r="D22" s="131" t="s">
        <v>358</v>
      </c>
      <c r="E22" s="3"/>
      <c r="F22" s="3"/>
      <c r="G22" s="3"/>
      <c r="H22" s="3"/>
      <c r="I22" s="3"/>
      <c r="J22" s="3"/>
      <c r="K22" s="3"/>
      <c r="L22" s="3"/>
      <c r="M22" s="3"/>
      <c r="N22" s="3"/>
      <c r="O22" s="3"/>
      <c r="P22" s="3"/>
      <c r="Q22" s="3"/>
      <c r="R22" s="50"/>
      <c r="T22" s="225"/>
      <c r="U22" s="3" t="s">
        <v>368</v>
      </c>
    </row>
    <row r="23" spans="2:29" x14ac:dyDescent="0.3">
      <c r="B23" s="237" t="s">
        <v>359</v>
      </c>
      <c r="C23" s="132">
        <v>0.215</v>
      </c>
      <c r="D23" s="133">
        <v>15</v>
      </c>
      <c r="E23" s="3"/>
      <c r="F23" s="289" t="s">
        <v>454</v>
      </c>
      <c r="G23" s="289"/>
      <c r="H23" s="289"/>
      <c r="I23" s="289"/>
      <c r="J23" s="289"/>
      <c r="K23" s="289"/>
      <c r="L23" s="289"/>
      <c r="M23" s="289"/>
      <c r="N23" s="289"/>
      <c r="O23" s="289"/>
      <c r="P23" s="3"/>
      <c r="Q23" s="3"/>
      <c r="R23" s="50"/>
      <c r="T23" s="226"/>
      <c r="U23" s="3" t="s">
        <v>369</v>
      </c>
    </row>
    <row r="24" spans="2:29" x14ac:dyDescent="0.3">
      <c r="B24" s="237" t="s">
        <v>360</v>
      </c>
      <c r="C24" s="132">
        <v>3.2000000000000001E-2</v>
      </c>
      <c r="D24" s="133">
        <v>8</v>
      </c>
      <c r="E24" s="3"/>
      <c r="F24" s="289"/>
      <c r="G24" s="289"/>
      <c r="H24" s="289"/>
      <c r="I24" s="289"/>
      <c r="J24" s="289"/>
      <c r="K24" s="289"/>
      <c r="L24" s="289"/>
      <c r="M24" s="289"/>
      <c r="N24" s="289"/>
      <c r="O24" s="289"/>
      <c r="P24" s="3"/>
      <c r="Q24" s="3"/>
      <c r="R24" s="50"/>
    </row>
    <row r="25" spans="2:29" x14ac:dyDescent="0.3">
      <c r="B25" s="237" t="s">
        <v>361</v>
      </c>
      <c r="C25" s="132">
        <v>8.5999999999999993E-2</v>
      </c>
      <c r="D25" s="133">
        <v>3</v>
      </c>
      <c r="E25" s="3"/>
      <c r="F25" s="289"/>
      <c r="G25" s="289"/>
      <c r="H25" s="289"/>
      <c r="I25" s="289"/>
      <c r="J25" s="289"/>
      <c r="K25" s="289"/>
      <c r="L25" s="289"/>
      <c r="M25" s="289"/>
      <c r="N25" s="289"/>
      <c r="O25" s="289"/>
      <c r="P25" s="3"/>
      <c r="Q25" s="3"/>
      <c r="R25" s="50"/>
    </row>
    <row r="26" spans="2:29" x14ac:dyDescent="0.3">
      <c r="B26" s="237" t="s">
        <v>362</v>
      </c>
      <c r="C26" s="132">
        <v>0.53900000000000003</v>
      </c>
      <c r="D26" s="133">
        <v>15</v>
      </c>
      <c r="E26" s="3"/>
      <c r="F26" s="289"/>
      <c r="G26" s="289"/>
      <c r="H26" s="289"/>
      <c r="I26" s="289"/>
      <c r="J26" s="289"/>
      <c r="K26" s="289"/>
      <c r="L26" s="289"/>
      <c r="M26" s="289"/>
      <c r="N26" s="289"/>
      <c r="O26" s="289"/>
      <c r="P26" s="3"/>
      <c r="Q26" s="3"/>
      <c r="R26" s="50"/>
    </row>
    <row r="27" spans="2:29" x14ac:dyDescent="0.3">
      <c r="B27" s="237" t="s">
        <v>363</v>
      </c>
      <c r="C27" s="132">
        <v>4.8000000000000001E-2</v>
      </c>
      <c r="D27" s="133">
        <v>8</v>
      </c>
      <c r="E27" s="3"/>
      <c r="F27" s="289"/>
      <c r="G27" s="289"/>
      <c r="H27" s="289"/>
      <c r="I27" s="289"/>
      <c r="J27" s="289"/>
      <c r="K27" s="289"/>
      <c r="L27" s="289"/>
      <c r="M27" s="289"/>
      <c r="N27" s="289"/>
      <c r="O27" s="289"/>
      <c r="P27" s="3"/>
      <c r="Q27" s="3"/>
      <c r="R27" s="50"/>
    </row>
    <row r="28" spans="2:29" x14ac:dyDescent="0.3">
      <c r="B28" s="237" t="s">
        <v>364</v>
      </c>
      <c r="C28" s="132">
        <v>0.08</v>
      </c>
      <c r="D28" s="133">
        <v>10</v>
      </c>
      <c r="E28" s="3"/>
      <c r="F28" s="289"/>
      <c r="G28" s="289"/>
      <c r="H28" s="289"/>
      <c r="I28" s="289"/>
      <c r="J28" s="289"/>
      <c r="K28" s="289"/>
      <c r="L28" s="289"/>
      <c r="M28" s="289"/>
      <c r="N28" s="289"/>
      <c r="O28" s="289"/>
      <c r="P28" s="3"/>
      <c r="Q28" s="3"/>
      <c r="R28" s="50"/>
    </row>
    <row r="29" spans="2:29" ht="15" thickBot="1" x14ac:dyDescent="0.35">
      <c r="B29" s="238" t="s">
        <v>331</v>
      </c>
      <c r="C29" s="239"/>
      <c r="D29" s="239"/>
      <c r="E29" s="55"/>
      <c r="F29" s="290"/>
      <c r="G29" s="290"/>
      <c r="H29" s="290"/>
      <c r="I29" s="290"/>
      <c r="J29" s="290"/>
      <c r="K29" s="290"/>
      <c r="L29" s="290"/>
      <c r="M29" s="290"/>
      <c r="N29" s="290"/>
      <c r="O29" s="290"/>
      <c r="P29" s="55"/>
      <c r="Q29" s="55"/>
      <c r="R29" s="56"/>
    </row>
    <row r="31" spans="2:29" ht="15" thickBot="1" x14ac:dyDescent="0.35"/>
    <row r="32" spans="2:29" ht="18" x14ac:dyDescent="0.35">
      <c r="B32" s="60" t="s">
        <v>455</v>
      </c>
      <c r="C32" s="47"/>
      <c r="D32" s="47"/>
      <c r="E32" s="47"/>
      <c r="F32" s="47"/>
      <c r="G32" s="47"/>
      <c r="H32" s="47"/>
      <c r="I32" s="47"/>
      <c r="J32" s="47"/>
      <c r="K32" s="47"/>
      <c r="L32" s="47"/>
      <c r="M32" s="47"/>
      <c r="N32" s="47"/>
      <c r="O32" s="47"/>
      <c r="P32" s="47"/>
      <c r="Q32" s="47"/>
      <c r="R32" s="48"/>
    </row>
    <row r="33" spans="2:18" x14ac:dyDescent="0.3">
      <c r="B33" s="240"/>
      <c r="C33" s="3"/>
      <c r="D33" s="3"/>
      <c r="E33" s="3"/>
      <c r="F33" s="3"/>
      <c r="G33" s="3"/>
      <c r="H33" s="3"/>
      <c r="I33" s="3"/>
      <c r="J33" s="3"/>
      <c r="K33" s="3"/>
      <c r="L33" s="3"/>
      <c r="M33" s="3"/>
      <c r="N33" s="3"/>
      <c r="O33" s="3"/>
      <c r="P33" s="3"/>
      <c r="Q33" s="3"/>
      <c r="R33" s="50"/>
    </row>
    <row r="34" spans="2:18" x14ac:dyDescent="0.3">
      <c r="B34" s="51"/>
      <c r="C34" s="3" t="s">
        <v>366</v>
      </c>
      <c r="D34" s="3"/>
      <c r="E34" s="3"/>
      <c r="F34" s="3"/>
      <c r="G34" s="3"/>
      <c r="H34" s="3"/>
      <c r="I34" s="3"/>
      <c r="J34" s="3"/>
      <c r="K34" s="3"/>
      <c r="L34" s="3"/>
      <c r="M34" s="3"/>
      <c r="N34" s="3"/>
      <c r="O34" s="3"/>
      <c r="P34" s="3"/>
      <c r="Q34" s="3"/>
      <c r="R34" s="50"/>
    </row>
    <row r="35" spans="2:18" x14ac:dyDescent="0.3">
      <c r="B35" s="51"/>
      <c r="C35" s="131">
        <f t="shared" ref="C35:Q35" si="6">C38</f>
        <v>2015</v>
      </c>
      <c r="D35" s="131">
        <f t="shared" si="6"/>
        <v>2016</v>
      </c>
      <c r="E35" s="131">
        <f t="shared" si="6"/>
        <v>2017</v>
      </c>
      <c r="F35" s="131">
        <f t="shared" si="6"/>
        <v>2018</v>
      </c>
      <c r="G35" s="131">
        <f t="shared" si="6"/>
        <v>2019</v>
      </c>
      <c r="H35" s="131">
        <f t="shared" si="6"/>
        <v>2020</v>
      </c>
      <c r="I35" s="131">
        <f t="shared" si="6"/>
        <v>2021</v>
      </c>
      <c r="J35" s="131">
        <f t="shared" si="6"/>
        <v>2022</v>
      </c>
      <c r="K35" s="131">
        <f t="shared" si="6"/>
        <v>2023</v>
      </c>
      <c r="L35" s="131">
        <f t="shared" si="6"/>
        <v>2024</v>
      </c>
      <c r="M35" s="131">
        <f t="shared" si="6"/>
        <v>2025</v>
      </c>
      <c r="N35" s="131">
        <f t="shared" si="6"/>
        <v>2026</v>
      </c>
      <c r="O35" s="131">
        <f t="shared" si="6"/>
        <v>2027</v>
      </c>
      <c r="P35" s="131">
        <f t="shared" si="6"/>
        <v>2028</v>
      </c>
      <c r="Q35" s="131">
        <f t="shared" si="6"/>
        <v>2029</v>
      </c>
      <c r="R35" s="50"/>
    </row>
    <row r="36" spans="2:18" x14ac:dyDescent="0.3">
      <c r="B36" s="51"/>
      <c r="C36" s="134">
        <f>C17</f>
        <v>0</v>
      </c>
      <c r="D36" s="134">
        <f t="shared" ref="D36:Q36" si="7">D17</f>
        <v>0</v>
      </c>
      <c r="E36" s="134">
        <f t="shared" si="7"/>
        <v>0</v>
      </c>
      <c r="F36" s="134">
        <f t="shared" si="7"/>
        <v>0</v>
      </c>
      <c r="G36" s="134">
        <f t="shared" si="7"/>
        <v>0</v>
      </c>
      <c r="H36" s="134">
        <f t="shared" si="7"/>
        <v>0</v>
      </c>
      <c r="I36" s="134">
        <f t="shared" si="7"/>
        <v>4.4373115401321046</v>
      </c>
      <c r="J36" s="134">
        <f t="shared" si="7"/>
        <v>4.4373115401321046</v>
      </c>
      <c r="K36" s="134">
        <f t="shared" si="7"/>
        <v>4.4373115401321046</v>
      </c>
      <c r="L36" s="134">
        <f t="shared" si="7"/>
        <v>8.2241860639068349</v>
      </c>
      <c r="M36" s="134">
        <f t="shared" si="7"/>
        <v>8.2241860639068349</v>
      </c>
      <c r="N36" s="134">
        <f t="shared" si="7"/>
        <v>8.2241860639068349</v>
      </c>
      <c r="O36" s="134">
        <f t="shared" si="7"/>
        <v>12.011060587681564</v>
      </c>
      <c r="P36" s="134">
        <f t="shared" si="7"/>
        <v>12.011060587681564</v>
      </c>
      <c r="Q36" s="134">
        <f t="shared" si="7"/>
        <v>12.011060587681564</v>
      </c>
      <c r="R36" s="50"/>
    </row>
    <row r="37" spans="2:18" x14ac:dyDescent="0.3">
      <c r="B37" s="51"/>
      <c r="C37" s="3"/>
      <c r="D37" s="3"/>
      <c r="E37" s="3"/>
      <c r="F37" s="3"/>
      <c r="G37" s="3"/>
      <c r="H37" s="3"/>
      <c r="I37" s="3"/>
      <c r="J37" s="3"/>
      <c r="K37" s="3"/>
      <c r="L37" s="3"/>
      <c r="M37" s="3"/>
      <c r="N37" s="3"/>
      <c r="O37" s="3"/>
      <c r="P37" s="3"/>
      <c r="Q37" s="3"/>
      <c r="R37" s="50"/>
    </row>
    <row r="38" spans="2:18" x14ac:dyDescent="0.3">
      <c r="B38" s="237" t="s">
        <v>370</v>
      </c>
      <c r="C38" s="131">
        <v>2015</v>
      </c>
      <c r="D38" s="131">
        <f t="shared" ref="D38:Q38" si="8">C38+1</f>
        <v>2016</v>
      </c>
      <c r="E38" s="131">
        <f t="shared" si="8"/>
        <v>2017</v>
      </c>
      <c r="F38" s="131">
        <f t="shared" si="8"/>
        <v>2018</v>
      </c>
      <c r="G38" s="131">
        <f t="shared" si="8"/>
        <v>2019</v>
      </c>
      <c r="H38" s="131">
        <f t="shared" si="8"/>
        <v>2020</v>
      </c>
      <c r="I38" s="131">
        <f t="shared" si="8"/>
        <v>2021</v>
      </c>
      <c r="J38" s="131">
        <f t="shared" si="8"/>
        <v>2022</v>
      </c>
      <c r="K38" s="131">
        <f t="shared" si="8"/>
        <v>2023</v>
      </c>
      <c r="L38" s="131">
        <f t="shared" si="8"/>
        <v>2024</v>
      </c>
      <c r="M38" s="131">
        <f t="shared" si="8"/>
        <v>2025</v>
      </c>
      <c r="N38" s="131">
        <f t="shared" si="8"/>
        <v>2026</v>
      </c>
      <c r="O38" s="131">
        <f t="shared" si="8"/>
        <v>2027</v>
      </c>
      <c r="P38" s="131">
        <f t="shared" si="8"/>
        <v>2028</v>
      </c>
      <c r="Q38" s="131">
        <f t="shared" si="8"/>
        <v>2029</v>
      </c>
      <c r="R38" s="50"/>
    </row>
    <row r="39" spans="2:18" x14ac:dyDescent="0.3">
      <c r="B39" s="237">
        <v>2015</v>
      </c>
      <c r="C39" s="135">
        <f>HLOOKUP($B39,$C$35:$Q$36,2,FALSE)*Aggressive!$C$23*(1-IF(ROUNDDOWN((C$35-$B39)/Aggressive!$D$23,0)&lt;1,0,IF(ROUNDDOWN((C$35-$B39)/Aggressive!$D$23,0)&lt;2,0.5,IF(ROUNDDOWN((C$35-$B39)/Aggressive!$D$23,0)&lt;3,0.75,IF(ROUNDDOWN((C$35-$B39)/Aggressive!$D$23,0)&lt;4,0.875,0.9375)))))+HLOOKUP($B39,$C$35:$Q$36,2,FALSE)*Aggressive!$C$24*(1-IF(ROUNDDOWN((C$35-$B39)/Aggressive!$D$24,0)&lt;1,0,IF(ROUNDDOWN((C$35-$B39)/Aggressive!$D$24,0)&lt;2,0.5,IF(ROUNDDOWN((C$35-$B39)/Aggressive!$D$24,0)&lt;3,0.75,IF(ROUNDDOWN((C$35-$B39)/Aggressive!$D$24,0)&lt;4,0.875,0.9375)))))+HLOOKUP($B39,$C$35:$Q$36,2,FALSE)*Aggressive!$C$25*(1-IF(ROUNDDOWN((C$35-$B39)/Aggressive!$D$25,0)&lt;1,0,IF(ROUNDDOWN((C$35-$B39)/Aggressive!$D$25,0)&lt;2,0.5,IF(ROUNDDOWN((C$35-$B39)/Aggressive!$D$25,0)&lt;3,0.75,IF(ROUNDDOWN((C$35-$B39)/Aggressive!$D$25,0)&lt;4,0.875,0.9375)))))+HLOOKUP($B39,$C$35:$Q$36,2,FALSE)*Aggressive!$C$26*(1-IF(ROUNDDOWN((C$35-$B39)/Aggressive!$D$26,0)&lt;1,0,IF(ROUNDDOWN((C$35-$B39)/Aggressive!$D$26,0)&lt;2,0.5,IF(ROUNDDOWN((C$35-$B39)/Aggressive!$D$26,0)&lt;3,0.75,IF(ROUNDDOWN((C$35-$B39)/Aggressive!$D$26,0)&lt;4,0.875,0.9375)))))+HLOOKUP($B39,$C$35:$Q$36,2,FALSE)*Aggressive!$C$27*(1-IF(ROUNDDOWN((C$35-$B39)/Aggressive!$D$27,0)&lt;1,0,IF(ROUNDDOWN((C$35-$B39)/Aggressive!$D$27,0)&lt;2,0.5,IF(ROUNDDOWN((C$35-$B39)/Aggressive!$D$27,0)&lt;3,0.75,IF(ROUNDDOWN((C$35-$B39)/Aggressive!$D$27,0)&lt;4,0.875,0.9375)))))+HLOOKUP($B39,$C$35:$Q$36,2,FALSE)*Aggressive!$C$28*(1-IF(ROUNDDOWN((C$35-$B39)/Aggressive!$D$28,0)&lt;1,0,IF(ROUNDDOWN((C$35-$B39)/Aggressive!$D$28,0)&lt;2,0.5,IF(ROUNDDOWN((C$35-$B39)/Aggressive!$D$28,0)&lt;3,0.75,IF(ROUNDDOWN((C$35-$B39)/Aggressive!$D$28,0)&lt;4,0.875,0.9375)))))</f>
        <v>0</v>
      </c>
      <c r="D39" s="135">
        <f>HLOOKUP($B39,$C$35:$Q$36,2,FALSE)*Aggressive!$C$23*(1-IF(ROUNDDOWN((D$35-$B39)/Aggressive!$D$23,0)&lt;1,0,IF(ROUNDDOWN((D$35-$B39)/Aggressive!$D$23,0)&lt;2,0.5,IF(ROUNDDOWN((D$35-$B39)/Aggressive!$D$23,0)&lt;3,0.75,IF(ROUNDDOWN((D$35-$B39)/Aggressive!$D$23,0)&lt;4,0.875,0.9375)))))+HLOOKUP($B39,$C$35:$Q$36,2,FALSE)*Aggressive!$C$24*(1-IF(ROUNDDOWN((D$35-$B39)/Aggressive!$D$24,0)&lt;1,0,IF(ROUNDDOWN((D$35-$B39)/Aggressive!$D$24,0)&lt;2,0.5,IF(ROUNDDOWN((D$35-$B39)/Aggressive!$D$24,0)&lt;3,0.75,IF(ROUNDDOWN((D$35-$B39)/Aggressive!$D$24,0)&lt;4,0.875,0.9375)))))+HLOOKUP($B39,$C$35:$Q$36,2,FALSE)*Aggressive!$C$25*(1-IF(ROUNDDOWN((D$35-$B39)/Aggressive!$D$25,0)&lt;1,0,IF(ROUNDDOWN((D$35-$B39)/Aggressive!$D$25,0)&lt;2,0.5,IF(ROUNDDOWN((D$35-$B39)/Aggressive!$D$25,0)&lt;3,0.75,IF(ROUNDDOWN((D$35-$B39)/Aggressive!$D$25,0)&lt;4,0.875,0.9375)))))+HLOOKUP($B39,$C$35:$Q$36,2,FALSE)*Aggressive!$C$26*(1-IF(ROUNDDOWN((D$35-$B39)/Aggressive!$D$26,0)&lt;1,0,IF(ROUNDDOWN((D$35-$B39)/Aggressive!$D$26,0)&lt;2,0.5,IF(ROUNDDOWN((D$35-$B39)/Aggressive!$D$26,0)&lt;3,0.75,IF(ROUNDDOWN((D$35-$B39)/Aggressive!$D$26,0)&lt;4,0.875,0.9375)))))+HLOOKUP($B39,$C$35:$Q$36,2,FALSE)*Aggressive!$C$27*(1-IF(ROUNDDOWN((D$35-$B39)/Aggressive!$D$27,0)&lt;1,0,IF(ROUNDDOWN((D$35-$B39)/Aggressive!$D$27,0)&lt;2,0.5,IF(ROUNDDOWN((D$35-$B39)/Aggressive!$D$27,0)&lt;3,0.75,IF(ROUNDDOWN((D$35-$B39)/Aggressive!$D$27,0)&lt;4,0.875,0.9375)))))+HLOOKUP($B39,$C$35:$Q$36,2,FALSE)*Aggressive!$C$28*(1-IF(ROUNDDOWN((D$35-$B39)/Aggressive!$D$28,0)&lt;1,0,IF(ROUNDDOWN((D$35-$B39)/Aggressive!$D$28,0)&lt;2,0.5,IF(ROUNDDOWN((D$35-$B39)/Aggressive!$D$28,0)&lt;3,0.75,IF(ROUNDDOWN((D$35-$B39)/Aggressive!$D$28,0)&lt;4,0.875,0.9375)))))</f>
        <v>0</v>
      </c>
      <c r="E39" s="135">
        <f>HLOOKUP($B39,$C$35:$Q$36,2,FALSE)*Aggressive!$C$23*(1-IF(ROUNDDOWN((E$35-$B39)/Aggressive!$D$23,0)&lt;1,0,IF(ROUNDDOWN((E$35-$B39)/Aggressive!$D$23,0)&lt;2,0.5,IF(ROUNDDOWN((E$35-$B39)/Aggressive!$D$23,0)&lt;3,0.75,IF(ROUNDDOWN((E$35-$B39)/Aggressive!$D$23,0)&lt;4,0.875,0.9375)))))+HLOOKUP($B39,$C$35:$Q$36,2,FALSE)*Aggressive!$C$24*(1-IF(ROUNDDOWN((E$35-$B39)/Aggressive!$D$24,0)&lt;1,0,IF(ROUNDDOWN((E$35-$B39)/Aggressive!$D$24,0)&lt;2,0.5,IF(ROUNDDOWN((E$35-$B39)/Aggressive!$D$24,0)&lt;3,0.75,IF(ROUNDDOWN((E$35-$B39)/Aggressive!$D$24,0)&lt;4,0.875,0.9375)))))+HLOOKUP($B39,$C$35:$Q$36,2,FALSE)*Aggressive!$C$25*(1-IF(ROUNDDOWN((E$35-$B39)/Aggressive!$D$25,0)&lt;1,0,IF(ROUNDDOWN((E$35-$B39)/Aggressive!$D$25,0)&lt;2,0.5,IF(ROUNDDOWN((E$35-$B39)/Aggressive!$D$25,0)&lt;3,0.75,IF(ROUNDDOWN((E$35-$B39)/Aggressive!$D$25,0)&lt;4,0.875,0.9375)))))+HLOOKUP($B39,$C$35:$Q$36,2,FALSE)*Aggressive!$C$26*(1-IF(ROUNDDOWN((E$35-$B39)/Aggressive!$D$26,0)&lt;1,0,IF(ROUNDDOWN((E$35-$B39)/Aggressive!$D$26,0)&lt;2,0.5,IF(ROUNDDOWN((E$35-$B39)/Aggressive!$D$26,0)&lt;3,0.75,IF(ROUNDDOWN((E$35-$B39)/Aggressive!$D$26,0)&lt;4,0.875,0.9375)))))+HLOOKUP($B39,$C$35:$Q$36,2,FALSE)*Aggressive!$C$27*(1-IF(ROUNDDOWN((E$35-$B39)/Aggressive!$D$27,0)&lt;1,0,IF(ROUNDDOWN((E$35-$B39)/Aggressive!$D$27,0)&lt;2,0.5,IF(ROUNDDOWN((E$35-$B39)/Aggressive!$D$27,0)&lt;3,0.75,IF(ROUNDDOWN((E$35-$B39)/Aggressive!$D$27,0)&lt;4,0.875,0.9375)))))+HLOOKUP($B39,$C$35:$Q$36,2,FALSE)*Aggressive!$C$28*(1-IF(ROUNDDOWN((E$35-$B39)/Aggressive!$D$28,0)&lt;1,0,IF(ROUNDDOWN((E$35-$B39)/Aggressive!$D$28,0)&lt;2,0.5,IF(ROUNDDOWN((E$35-$B39)/Aggressive!$D$28,0)&lt;3,0.75,IF(ROUNDDOWN((E$35-$B39)/Aggressive!$D$28,0)&lt;4,0.875,0.9375)))))</f>
        <v>0</v>
      </c>
      <c r="F39" s="135">
        <f>HLOOKUP($B39,$C$35:$Q$36,2,FALSE)*Aggressive!$C$23*(1-IF(ROUNDDOWN((F$35-$B39)/Aggressive!$D$23,0)&lt;1,0,IF(ROUNDDOWN((F$35-$B39)/Aggressive!$D$23,0)&lt;2,0.5,IF(ROUNDDOWN((F$35-$B39)/Aggressive!$D$23,0)&lt;3,0.75,IF(ROUNDDOWN((F$35-$B39)/Aggressive!$D$23,0)&lt;4,0.875,0.9375)))))+HLOOKUP($B39,$C$35:$Q$36,2,FALSE)*Aggressive!$C$24*(1-IF(ROUNDDOWN((F$35-$B39)/Aggressive!$D$24,0)&lt;1,0,IF(ROUNDDOWN((F$35-$B39)/Aggressive!$D$24,0)&lt;2,0.5,IF(ROUNDDOWN((F$35-$B39)/Aggressive!$D$24,0)&lt;3,0.75,IF(ROUNDDOWN((F$35-$B39)/Aggressive!$D$24,0)&lt;4,0.875,0.9375)))))+HLOOKUP($B39,$C$35:$Q$36,2,FALSE)*Aggressive!$C$25*(1-IF(ROUNDDOWN((F$35-$B39)/Aggressive!$D$25,0)&lt;1,0,IF(ROUNDDOWN((F$35-$B39)/Aggressive!$D$25,0)&lt;2,0.5,IF(ROUNDDOWN((F$35-$B39)/Aggressive!$D$25,0)&lt;3,0.75,IF(ROUNDDOWN((F$35-$B39)/Aggressive!$D$25,0)&lt;4,0.875,0.9375)))))+HLOOKUP($B39,$C$35:$Q$36,2,FALSE)*Aggressive!$C$26*(1-IF(ROUNDDOWN((F$35-$B39)/Aggressive!$D$26,0)&lt;1,0,IF(ROUNDDOWN((F$35-$B39)/Aggressive!$D$26,0)&lt;2,0.5,IF(ROUNDDOWN((F$35-$B39)/Aggressive!$D$26,0)&lt;3,0.75,IF(ROUNDDOWN((F$35-$B39)/Aggressive!$D$26,0)&lt;4,0.875,0.9375)))))+HLOOKUP($B39,$C$35:$Q$36,2,FALSE)*Aggressive!$C$27*(1-IF(ROUNDDOWN((F$35-$B39)/Aggressive!$D$27,0)&lt;1,0,IF(ROUNDDOWN((F$35-$B39)/Aggressive!$D$27,0)&lt;2,0.5,IF(ROUNDDOWN((F$35-$B39)/Aggressive!$D$27,0)&lt;3,0.75,IF(ROUNDDOWN((F$35-$B39)/Aggressive!$D$27,0)&lt;4,0.875,0.9375)))))+HLOOKUP($B39,$C$35:$Q$36,2,FALSE)*Aggressive!$C$28*(1-IF(ROUNDDOWN((F$35-$B39)/Aggressive!$D$28,0)&lt;1,0,IF(ROUNDDOWN((F$35-$B39)/Aggressive!$D$28,0)&lt;2,0.5,IF(ROUNDDOWN((F$35-$B39)/Aggressive!$D$28,0)&lt;3,0.75,IF(ROUNDDOWN((F$35-$B39)/Aggressive!$D$28,0)&lt;4,0.875,0.9375)))))</f>
        <v>0</v>
      </c>
      <c r="G39" s="135">
        <f>HLOOKUP($B39,$C$35:$Q$36,2,FALSE)*Aggressive!$C$23*(1-IF(ROUNDDOWN((G$35-$B39)/Aggressive!$D$23,0)&lt;1,0,IF(ROUNDDOWN((G$35-$B39)/Aggressive!$D$23,0)&lt;2,0.5,IF(ROUNDDOWN((G$35-$B39)/Aggressive!$D$23,0)&lt;3,0.75,IF(ROUNDDOWN((G$35-$B39)/Aggressive!$D$23,0)&lt;4,0.875,0.9375)))))+HLOOKUP($B39,$C$35:$Q$36,2,FALSE)*Aggressive!$C$24*(1-IF(ROUNDDOWN((G$35-$B39)/Aggressive!$D$24,0)&lt;1,0,IF(ROUNDDOWN((G$35-$B39)/Aggressive!$D$24,0)&lt;2,0.5,IF(ROUNDDOWN((G$35-$B39)/Aggressive!$D$24,0)&lt;3,0.75,IF(ROUNDDOWN((G$35-$B39)/Aggressive!$D$24,0)&lt;4,0.875,0.9375)))))+HLOOKUP($B39,$C$35:$Q$36,2,FALSE)*Aggressive!$C$25*(1-IF(ROUNDDOWN((G$35-$B39)/Aggressive!$D$25,0)&lt;1,0,IF(ROUNDDOWN((G$35-$B39)/Aggressive!$D$25,0)&lt;2,0.5,IF(ROUNDDOWN((G$35-$B39)/Aggressive!$D$25,0)&lt;3,0.75,IF(ROUNDDOWN((G$35-$B39)/Aggressive!$D$25,0)&lt;4,0.875,0.9375)))))+HLOOKUP($B39,$C$35:$Q$36,2,FALSE)*Aggressive!$C$26*(1-IF(ROUNDDOWN((G$35-$B39)/Aggressive!$D$26,0)&lt;1,0,IF(ROUNDDOWN((G$35-$B39)/Aggressive!$D$26,0)&lt;2,0.5,IF(ROUNDDOWN((G$35-$B39)/Aggressive!$D$26,0)&lt;3,0.75,IF(ROUNDDOWN((G$35-$B39)/Aggressive!$D$26,0)&lt;4,0.875,0.9375)))))+HLOOKUP($B39,$C$35:$Q$36,2,FALSE)*Aggressive!$C$27*(1-IF(ROUNDDOWN((G$35-$B39)/Aggressive!$D$27,0)&lt;1,0,IF(ROUNDDOWN((G$35-$B39)/Aggressive!$D$27,0)&lt;2,0.5,IF(ROUNDDOWN((G$35-$B39)/Aggressive!$D$27,0)&lt;3,0.75,IF(ROUNDDOWN((G$35-$B39)/Aggressive!$D$27,0)&lt;4,0.875,0.9375)))))+HLOOKUP($B39,$C$35:$Q$36,2,FALSE)*Aggressive!$C$28*(1-IF(ROUNDDOWN((G$35-$B39)/Aggressive!$D$28,0)&lt;1,0,IF(ROUNDDOWN((G$35-$B39)/Aggressive!$D$28,0)&lt;2,0.5,IF(ROUNDDOWN((G$35-$B39)/Aggressive!$D$28,0)&lt;3,0.75,IF(ROUNDDOWN((G$35-$B39)/Aggressive!$D$28,0)&lt;4,0.875,0.9375)))))</f>
        <v>0</v>
      </c>
      <c r="H39" s="135">
        <f>HLOOKUP($B39,$C$35:$Q$36,2,FALSE)*Aggressive!$C$23*(1-IF(ROUNDDOWN((H$35-$B39)/Aggressive!$D$23,0)&lt;1,0,IF(ROUNDDOWN((H$35-$B39)/Aggressive!$D$23,0)&lt;2,0.5,IF(ROUNDDOWN((H$35-$B39)/Aggressive!$D$23,0)&lt;3,0.75,IF(ROUNDDOWN((H$35-$B39)/Aggressive!$D$23,0)&lt;4,0.875,0.9375)))))+HLOOKUP($B39,$C$35:$Q$36,2,FALSE)*Aggressive!$C$24*(1-IF(ROUNDDOWN((H$35-$B39)/Aggressive!$D$24,0)&lt;1,0,IF(ROUNDDOWN((H$35-$B39)/Aggressive!$D$24,0)&lt;2,0.5,IF(ROUNDDOWN((H$35-$B39)/Aggressive!$D$24,0)&lt;3,0.75,IF(ROUNDDOWN((H$35-$B39)/Aggressive!$D$24,0)&lt;4,0.875,0.9375)))))+HLOOKUP($B39,$C$35:$Q$36,2,FALSE)*Aggressive!$C$25*(1-IF(ROUNDDOWN((H$35-$B39)/Aggressive!$D$25,0)&lt;1,0,IF(ROUNDDOWN((H$35-$B39)/Aggressive!$D$25,0)&lt;2,0.5,IF(ROUNDDOWN((H$35-$B39)/Aggressive!$D$25,0)&lt;3,0.75,IF(ROUNDDOWN((H$35-$B39)/Aggressive!$D$25,0)&lt;4,0.875,0.9375)))))+HLOOKUP($B39,$C$35:$Q$36,2,FALSE)*Aggressive!$C$26*(1-IF(ROUNDDOWN((H$35-$B39)/Aggressive!$D$26,0)&lt;1,0,IF(ROUNDDOWN((H$35-$B39)/Aggressive!$D$26,0)&lt;2,0.5,IF(ROUNDDOWN((H$35-$B39)/Aggressive!$D$26,0)&lt;3,0.75,IF(ROUNDDOWN((H$35-$B39)/Aggressive!$D$26,0)&lt;4,0.875,0.9375)))))+HLOOKUP($B39,$C$35:$Q$36,2,FALSE)*Aggressive!$C$27*(1-IF(ROUNDDOWN((H$35-$B39)/Aggressive!$D$27,0)&lt;1,0,IF(ROUNDDOWN((H$35-$B39)/Aggressive!$D$27,0)&lt;2,0.5,IF(ROUNDDOWN((H$35-$B39)/Aggressive!$D$27,0)&lt;3,0.75,IF(ROUNDDOWN((H$35-$B39)/Aggressive!$D$27,0)&lt;4,0.875,0.9375)))))+HLOOKUP($B39,$C$35:$Q$36,2,FALSE)*Aggressive!$C$28*(1-IF(ROUNDDOWN((H$35-$B39)/Aggressive!$D$28,0)&lt;1,0,IF(ROUNDDOWN((H$35-$B39)/Aggressive!$D$28,0)&lt;2,0.5,IF(ROUNDDOWN((H$35-$B39)/Aggressive!$D$28,0)&lt;3,0.75,IF(ROUNDDOWN((H$35-$B39)/Aggressive!$D$28,0)&lt;4,0.875,0.9375)))))</f>
        <v>0</v>
      </c>
      <c r="I39" s="135">
        <f>HLOOKUP($B39,$C$35:$Q$36,2,FALSE)*Aggressive!$C$23*(1-IF(ROUNDDOWN((I$35-$B39)/Aggressive!$D$23,0)&lt;1,0,IF(ROUNDDOWN((I$35-$B39)/Aggressive!$D$23,0)&lt;2,0.5,IF(ROUNDDOWN((I$35-$B39)/Aggressive!$D$23,0)&lt;3,0.75,IF(ROUNDDOWN((I$35-$B39)/Aggressive!$D$23,0)&lt;4,0.875,0.9375)))))+HLOOKUP($B39,$C$35:$Q$36,2,FALSE)*Aggressive!$C$24*(1-IF(ROUNDDOWN((I$35-$B39)/Aggressive!$D$24,0)&lt;1,0,IF(ROUNDDOWN((I$35-$B39)/Aggressive!$D$24,0)&lt;2,0.5,IF(ROUNDDOWN((I$35-$B39)/Aggressive!$D$24,0)&lt;3,0.75,IF(ROUNDDOWN((I$35-$B39)/Aggressive!$D$24,0)&lt;4,0.875,0.9375)))))+HLOOKUP($B39,$C$35:$Q$36,2,FALSE)*Aggressive!$C$25*(1-IF(ROUNDDOWN((I$35-$B39)/Aggressive!$D$25,0)&lt;1,0,IF(ROUNDDOWN((I$35-$B39)/Aggressive!$D$25,0)&lt;2,0.5,IF(ROUNDDOWN((I$35-$B39)/Aggressive!$D$25,0)&lt;3,0.75,IF(ROUNDDOWN((I$35-$B39)/Aggressive!$D$25,0)&lt;4,0.875,0.9375)))))+HLOOKUP($B39,$C$35:$Q$36,2,FALSE)*Aggressive!$C$26*(1-IF(ROUNDDOWN((I$35-$B39)/Aggressive!$D$26,0)&lt;1,0,IF(ROUNDDOWN((I$35-$B39)/Aggressive!$D$26,0)&lt;2,0.5,IF(ROUNDDOWN((I$35-$B39)/Aggressive!$D$26,0)&lt;3,0.75,IF(ROUNDDOWN((I$35-$B39)/Aggressive!$D$26,0)&lt;4,0.875,0.9375)))))+HLOOKUP($B39,$C$35:$Q$36,2,FALSE)*Aggressive!$C$27*(1-IF(ROUNDDOWN((I$35-$B39)/Aggressive!$D$27,0)&lt;1,0,IF(ROUNDDOWN((I$35-$B39)/Aggressive!$D$27,0)&lt;2,0.5,IF(ROUNDDOWN((I$35-$B39)/Aggressive!$D$27,0)&lt;3,0.75,IF(ROUNDDOWN((I$35-$B39)/Aggressive!$D$27,0)&lt;4,0.875,0.9375)))))+HLOOKUP($B39,$C$35:$Q$36,2,FALSE)*Aggressive!$C$28*(1-IF(ROUNDDOWN((I$35-$B39)/Aggressive!$D$28,0)&lt;1,0,IF(ROUNDDOWN((I$35-$B39)/Aggressive!$D$28,0)&lt;2,0.5,IF(ROUNDDOWN((I$35-$B39)/Aggressive!$D$28,0)&lt;3,0.75,IF(ROUNDDOWN((I$35-$B39)/Aggressive!$D$28,0)&lt;4,0.875,0.9375)))))</f>
        <v>0</v>
      </c>
      <c r="J39" s="135">
        <f>HLOOKUP($B39,$C$35:$Q$36,2,FALSE)*Aggressive!$C$23*(1-IF(ROUNDDOWN((J$35-$B39)/Aggressive!$D$23,0)&lt;1,0,IF(ROUNDDOWN((J$35-$B39)/Aggressive!$D$23,0)&lt;2,0.5,IF(ROUNDDOWN((J$35-$B39)/Aggressive!$D$23,0)&lt;3,0.75,IF(ROUNDDOWN((J$35-$B39)/Aggressive!$D$23,0)&lt;4,0.875,0.9375)))))+HLOOKUP($B39,$C$35:$Q$36,2,FALSE)*Aggressive!$C$24*(1-IF(ROUNDDOWN((J$35-$B39)/Aggressive!$D$24,0)&lt;1,0,IF(ROUNDDOWN((J$35-$B39)/Aggressive!$D$24,0)&lt;2,0.5,IF(ROUNDDOWN((J$35-$B39)/Aggressive!$D$24,0)&lt;3,0.75,IF(ROUNDDOWN((J$35-$B39)/Aggressive!$D$24,0)&lt;4,0.875,0.9375)))))+HLOOKUP($B39,$C$35:$Q$36,2,FALSE)*Aggressive!$C$25*(1-IF(ROUNDDOWN((J$35-$B39)/Aggressive!$D$25,0)&lt;1,0,IF(ROUNDDOWN((J$35-$B39)/Aggressive!$D$25,0)&lt;2,0.5,IF(ROUNDDOWN((J$35-$B39)/Aggressive!$D$25,0)&lt;3,0.75,IF(ROUNDDOWN((J$35-$B39)/Aggressive!$D$25,0)&lt;4,0.875,0.9375)))))+HLOOKUP($B39,$C$35:$Q$36,2,FALSE)*Aggressive!$C$26*(1-IF(ROUNDDOWN((J$35-$B39)/Aggressive!$D$26,0)&lt;1,0,IF(ROUNDDOWN((J$35-$B39)/Aggressive!$D$26,0)&lt;2,0.5,IF(ROUNDDOWN((J$35-$B39)/Aggressive!$D$26,0)&lt;3,0.75,IF(ROUNDDOWN((J$35-$B39)/Aggressive!$D$26,0)&lt;4,0.875,0.9375)))))+HLOOKUP($B39,$C$35:$Q$36,2,FALSE)*Aggressive!$C$27*(1-IF(ROUNDDOWN((J$35-$B39)/Aggressive!$D$27,0)&lt;1,0,IF(ROUNDDOWN((J$35-$B39)/Aggressive!$D$27,0)&lt;2,0.5,IF(ROUNDDOWN((J$35-$B39)/Aggressive!$D$27,0)&lt;3,0.75,IF(ROUNDDOWN((J$35-$B39)/Aggressive!$D$27,0)&lt;4,0.875,0.9375)))))+HLOOKUP($B39,$C$35:$Q$36,2,FALSE)*Aggressive!$C$28*(1-IF(ROUNDDOWN((J$35-$B39)/Aggressive!$D$28,0)&lt;1,0,IF(ROUNDDOWN((J$35-$B39)/Aggressive!$D$28,0)&lt;2,0.5,IF(ROUNDDOWN((J$35-$B39)/Aggressive!$D$28,0)&lt;3,0.75,IF(ROUNDDOWN((J$35-$B39)/Aggressive!$D$28,0)&lt;4,0.875,0.9375)))))</f>
        <v>0</v>
      </c>
      <c r="K39" s="135">
        <f>HLOOKUP($B39,$C$35:$Q$36,2,FALSE)*Aggressive!$C$23*(1-IF(ROUNDDOWN((K$35-$B39)/Aggressive!$D$23,0)&lt;1,0,IF(ROUNDDOWN((K$35-$B39)/Aggressive!$D$23,0)&lt;2,0.5,IF(ROUNDDOWN((K$35-$B39)/Aggressive!$D$23,0)&lt;3,0.75,IF(ROUNDDOWN((K$35-$B39)/Aggressive!$D$23,0)&lt;4,0.875,0.9375)))))+HLOOKUP($B39,$C$35:$Q$36,2,FALSE)*Aggressive!$C$24*(1-IF(ROUNDDOWN((K$35-$B39)/Aggressive!$D$24,0)&lt;1,0,IF(ROUNDDOWN((K$35-$B39)/Aggressive!$D$24,0)&lt;2,0.5,IF(ROUNDDOWN((K$35-$B39)/Aggressive!$D$24,0)&lt;3,0.75,IF(ROUNDDOWN((K$35-$B39)/Aggressive!$D$24,0)&lt;4,0.875,0.9375)))))+HLOOKUP($B39,$C$35:$Q$36,2,FALSE)*Aggressive!$C$25*(1-IF(ROUNDDOWN((K$35-$B39)/Aggressive!$D$25,0)&lt;1,0,IF(ROUNDDOWN((K$35-$B39)/Aggressive!$D$25,0)&lt;2,0.5,IF(ROUNDDOWN((K$35-$B39)/Aggressive!$D$25,0)&lt;3,0.75,IF(ROUNDDOWN((K$35-$B39)/Aggressive!$D$25,0)&lt;4,0.875,0.9375)))))+HLOOKUP($B39,$C$35:$Q$36,2,FALSE)*Aggressive!$C$26*(1-IF(ROUNDDOWN((K$35-$B39)/Aggressive!$D$26,0)&lt;1,0,IF(ROUNDDOWN((K$35-$B39)/Aggressive!$D$26,0)&lt;2,0.5,IF(ROUNDDOWN((K$35-$B39)/Aggressive!$D$26,0)&lt;3,0.75,IF(ROUNDDOWN((K$35-$B39)/Aggressive!$D$26,0)&lt;4,0.875,0.9375)))))+HLOOKUP($B39,$C$35:$Q$36,2,FALSE)*Aggressive!$C$27*(1-IF(ROUNDDOWN((K$35-$B39)/Aggressive!$D$27,0)&lt;1,0,IF(ROUNDDOWN((K$35-$B39)/Aggressive!$D$27,0)&lt;2,0.5,IF(ROUNDDOWN((K$35-$B39)/Aggressive!$D$27,0)&lt;3,0.75,IF(ROUNDDOWN((K$35-$B39)/Aggressive!$D$27,0)&lt;4,0.875,0.9375)))))+HLOOKUP($B39,$C$35:$Q$36,2,FALSE)*Aggressive!$C$28*(1-IF(ROUNDDOWN((K$35-$B39)/Aggressive!$D$28,0)&lt;1,0,IF(ROUNDDOWN((K$35-$B39)/Aggressive!$D$28,0)&lt;2,0.5,IF(ROUNDDOWN((K$35-$B39)/Aggressive!$D$28,0)&lt;3,0.75,IF(ROUNDDOWN((K$35-$B39)/Aggressive!$D$28,0)&lt;4,0.875,0.9375)))))</f>
        <v>0</v>
      </c>
      <c r="L39" s="135">
        <f>HLOOKUP($B39,$C$35:$Q$36,2,FALSE)*Aggressive!$C$23*(1-IF(ROUNDDOWN((L$35-$B39)/Aggressive!$D$23,0)&lt;1,0,IF(ROUNDDOWN((L$35-$B39)/Aggressive!$D$23,0)&lt;2,0.5,IF(ROUNDDOWN((L$35-$B39)/Aggressive!$D$23,0)&lt;3,0.75,IF(ROUNDDOWN((L$35-$B39)/Aggressive!$D$23,0)&lt;4,0.875,0.9375)))))+HLOOKUP($B39,$C$35:$Q$36,2,FALSE)*Aggressive!$C$24*(1-IF(ROUNDDOWN((L$35-$B39)/Aggressive!$D$24,0)&lt;1,0,IF(ROUNDDOWN((L$35-$B39)/Aggressive!$D$24,0)&lt;2,0.5,IF(ROUNDDOWN((L$35-$B39)/Aggressive!$D$24,0)&lt;3,0.75,IF(ROUNDDOWN((L$35-$B39)/Aggressive!$D$24,0)&lt;4,0.875,0.9375)))))+HLOOKUP($B39,$C$35:$Q$36,2,FALSE)*Aggressive!$C$25*(1-IF(ROUNDDOWN((L$35-$B39)/Aggressive!$D$25,0)&lt;1,0,IF(ROUNDDOWN((L$35-$B39)/Aggressive!$D$25,0)&lt;2,0.5,IF(ROUNDDOWN((L$35-$B39)/Aggressive!$D$25,0)&lt;3,0.75,IF(ROUNDDOWN((L$35-$B39)/Aggressive!$D$25,0)&lt;4,0.875,0.9375)))))+HLOOKUP($B39,$C$35:$Q$36,2,FALSE)*Aggressive!$C$26*(1-IF(ROUNDDOWN((L$35-$B39)/Aggressive!$D$26,0)&lt;1,0,IF(ROUNDDOWN((L$35-$B39)/Aggressive!$D$26,0)&lt;2,0.5,IF(ROUNDDOWN((L$35-$B39)/Aggressive!$D$26,0)&lt;3,0.75,IF(ROUNDDOWN((L$35-$B39)/Aggressive!$D$26,0)&lt;4,0.875,0.9375)))))+HLOOKUP($B39,$C$35:$Q$36,2,FALSE)*Aggressive!$C$27*(1-IF(ROUNDDOWN((L$35-$B39)/Aggressive!$D$27,0)&lt;1,0,IF(ROUNDDOWN((L$35-$B39)/Aggressive!$D$27,0)&lt;2,0.5,IF(ROUNDDOWN((L$35-$B39)/Aggressive!$D$27,0)&lt;3,0.75,IF(ROUNDDOWN((L$35-$B39)/Aggressive!$D$27,0)&lt;4,0.875,0.9375)))))+HLOOKUP($B39,$C$35:$Q$36,2,FALSE)*Aggressive!$C$28*(1-IF(ROUNDDOWN((L$35-$B39)/Aggressive!$D$28,0)&lt;1,0,IF(ROUNDDOWN((L$35-$B39)/Aggressive!$D$28,0)&lt;2,0.5,IF(ROUNDDOWN((L$35-$B39)/Aggressive!$D$28,0)&lt;3,0.75,IF(ROUNDDOWN((L$35-$B39)/Aggressive!$D$28,0)&lt;4,0.875,0.9375)))))</f>
        <v>0</v>
      </c>
      <c r="M39" s="135">
        <f>HLOOKUP($B39,$C$35:$Q$36,2,FALSE)*Aggressive!$C$23*(1-IF(ROUNDDOWN((M$35-$B39)/Aggressive!$D$23,0)&lt;1,0,IF(ROUNDDOWN((M$35-$B39)/Aggressive!$D$23,0)&lt;2,0.5,IF(ROUNDDOWN((M$35-$B39)/Aggressive!$D$23,0)&lt;3,0.75,IF(ROUNDDOWN((M$35-$B39)/Aggressive!$D$23,0)&lt;4,0.875,0.9375)))))+HLOOKUP($B39,$C$35:$Q$36,2,FALSE)*Aggressive!$C$24*(1-IF(ROUNDDOWN((M$35-$B39)/Aggressive!$D$24,0)&lt;1,0,IF(ROUNDDOWN((M$35-$B39)/Aggressive!$D$24,0)&lt;2,0.5,IF(ROUNDDOWN((M$35-$B39)/Aggressive!$D$24,0)&lt;3,0.75,IF(ROUNDDOWN((M$35-$B39)/Aggressive!$D$24,0)&lt;4,0.875,0.9375)))))+HLOOKUP($B39,$C$35:$Q$36,2,FALSE)*Aggressive!$C$25*(1-IF(ROUNDDOWN((M$35-$B39)/Aggressive!$D$25,0)&lt;1,0,IF(ROUNDDOWN((M$35-$B39)/Aggressive!$D$25,0)&lt;2,0.5,IF(ROUNDDOWN((M$35-$B39)/Aggressive!$D$25,0)&lt;3,0.75,IF(ROUNDDOWN((M$35-$B39)/Aggressive!$D$25,0)&lt;4,0.875,0.9375)))))+HLOOKUP($B39,$C$35:$Q$36,2,FALSE)*Aggressive!$C$26*(1-IF(ROUNDDOWN((M$35-$B39)/Aggressive!$D$26,0)&lt;1,0,IF(ROUNDDOWN((M$35-$B39)/Aggressive!$D$26,0)&lt;2,0.5,IF(ROUNDDOWN((M$35-$B39)/Aggressive!$D$26,0)&lt;3,0.75,IF(ROUNDDOWN((M$35-$B39)/Aggressive!$D$26,0)&lt;4,0.875,0.9375)))))+HLOOKUP($B39,$C$35:$Q$36,2,FALSE)*Aggressive!$C$27*(1-IF(ROUNDDOWN((M$35-$B39)/Aggressive!$D$27,0)&lt;1,0,IF(ROUNDDOWN((M$35-$B39)/Aggressive!$D$27,0)&lt;2,0.5,IF(ROUNDDOWN((M$35-$B39)/Aggressive!$D$27,0)&lt;3,0.75,IF(ROUNDDOWN((M$35-$B39)/Aggressive!$D$27,0)&lt;4,0.875,0.9375)))))+HLOOKUP($B39,$C$35:$Q$36,2,FALSE)*Aggressive!$C$28*(1-IF(ROUNDDOWN((M$35-$B39)/Aggressive!$D$28,0)&lt;1,0,IF(ROUNDDOWN((M$35-$B39)/Aggressive!$D$28,0)&lt;2,0.5,IF(ROUNDDOWN((M$35-$B39)/Aggressive!$D$28,0)&lt;3,0.75,IF(ROUNDDOWN((M$35-$B39)/Aggressive!$D$28,0)&lt;4,0.875,0.9375)))))</f>
        <v>0</v>
      </c>
      <c r="N39" s="135">
        <f>HLOOKUP($B39,$C$35:$Q$36,2,FALSE)*Aggressive!$C$23*(1-IF(ROUNDDOWN((N$35-$B39)/Aggressive!$D$23,0)&lt;1,0,IF(ROUNDDOWN((N$35-$B39)/Aggressive!$D$23,0)&lt;2,0.5,IF(ROUNDDOWN((N$35-$B39)/Aggressive!$D$23,0)&lt;3,0.75,IF(ROUNDDOWN((N$35-$B39)/Aggressive!$D$23,0)&lt;4,0.875,0.9375)))))+HLOOKUP($B39,$C$35:$Q$36,2,FALSE)*Aggressive!$C$24*(1-IF(ROUNDDOWN((N$35-$B39)/Aggressive!$D$24,0)&lt;1,0,IF(ROUNDDOWN((N$35-$B39)/Aggressive!$D$24,0)&lt;2,0.5,IF(ROUNDDOWN((N$35-$B39)/Aggressive!$D$24,0)&lt;3,0.75,IF(ROUNDDOWN((N$35-$B39)/Aggressive!$D$24,0)&lt;4,0.875,0.9375)))))+HLOOKUP($B39,$C$35:$Q$36,2,FALSE)*Aggressive!$C$25*(1-IF(ROUNDDOWN((N$35-$B39)/Aggressive!$D$25,0)&lt;1,0,IF(ROUNDDOWN((N$35-$B39)/Aggressive!$D$25,0)&lt;2,0.5,IF(ROUNDDOWN((N$35-$B39)/Aggressive!$D$25,0)&lt;3,0.75,IF(ROUNDDOWN((N$35-$B39)/Aggressive!$D$25,0)&lt;4,0.875,0.9375)))))+HLOOKUP($B39,$C$35:$Q$36,2,FALSE)*Aggressive!$C$26*(1-IF(ROUNDDOWN((N$35-$B39)/Aggressive!$D$26,0)&lt;1,0,IF(ROUNDDOWN((N$35-$B39)/Aggressive!$D$26,0)&lt;2,0.5,IF(ROUNDDOWN((N$35-$B39)/Aggressive!$D$26,0)&lt;3,0.75,IF(ROUNDDOWN((N$35-$B39)/Aggressive!$D$26,0)&lt;4,0.875,0.9375)))))+HLOOKUP($B39,$C$35:$Q$36,2,FALSE)*Aggressive!$C$27*(1-IF(ROUNDDOWN((N$35-$B39)/Aggressive!$D$27,0)&lt;1,0,IF(ROUNDDOWN((N$35-$B39)/Aggressive!$D$27,0)&lt;2,0.5,IF(ROUNDDOWN((N$35-$B39)/Aggressive!$D$27,0)&lt;3,0.75,IF(ROUNDDOWN((N$35-$B39)/Aggressive!$D$27,0)&lt;4,0.875,0.9375)))))+HLOOKUP($B39,$C$35:$Q$36,2,FALSE)*Aggressive!$C$28*(1-IF(ROUNDDOWN((N$35-$B39)/Aggressive!$D$28,0)&lt;1,0,IF(ROUNDDOWN((N$35-$B39)/Aggressive!$D$28,0)&lt;2,0.5,IF(ROUNDDOWN((N$35-$B39)/Aggressive!$D$28,0)&lt;3,0.75,IF(ROUNDDOWN((N$35-$B39)/Aggressive!$D$28,0)&lt;4,0.875,0.9375)))))</f>
        <v>0</v>
      </c>
      <c r="O39" s="135">
        <f>HLOOKUP($B39,$C$35:$Q$36,2,FALSE)*Aggressive!$C$23*(1-IF(ROUNDDOWN((O$35-$B39)/Aggressive!$D$23,0)&lt;1,0,IF(ROUNDDOWN((O$35-$B39)/Aggressive!$D$23,0)&lt;2,0.5,IF(ROUNDDOWN((O$35-$B39)/Aggressive!$D$23,0)&lt;3,0.75,IF(ROUNDDOWN((O$35-$B39)/Aggressive!$D$23,0)&lt;4,0.875,0.9375)))))+HLOOKUP($B39,$C$35:$Q$36,2,FALSE)*Aggressive!$C$24*(1-IF(ROUNDDOWN((O$35-$B39)/Aggressive!$D$24,0)&lt;1,0,IF(ROUNDDOWN((O$35-$B39)/Aggressive!$D$24,0)&lt;2,0.5,IF(ROUNDDOWN((O$35-$B39)/Aggressive!$D$24,0)&lt;3,0.75,IF(ROUNDDOWN((O$35-$B39)/Aggressive!$D$24,0)&lt;4,0.875,0.9375)))))+HLOOKUP($B39,$C$35:$Q$36,2,FALSE)*Aggressive!$C$25*(1-IF(ROUNDDOWN((O$35-$B39)/Aggressive!$D$25,0)&lt;1,0,IF(ROUNDDOWN((O$35-$B39)/Aggressive!$D$25,0)&lt;2,0.5,IF(ROUNDDOWN((O$35-$B39)/Aggressive!$D$25,0)&lt;3,0.75,IF(ROUNDDOWN((O$35-$B39)/Aggressive!$D$25,0)&lt;4,0.875,0.9375)))))+HLOOKUP($B39,$C$35:$Q$36,2,FALSE)*Aggressive!$C$26*(1-IF(ROUNDDOWN((O$35-$B39)/Aggressive!$D$26,0)&lt;1,0,IF(ROUNDDOWN((O$35-$B39)/Aggressive!$D$26,0)&lt;2,0.5,IF(ROUNDDOWN((O$35-$B39)/Aggressive!$D$26,0)&lt;3,0.75,IF(ROUNDDOWN((O$35-$B39)/Aggressive!$D$26,0)&lt;4,0.875,0.9375)))))+HLOOKUP($B39,$C$35:$Q$36,2,FALSE)*Aggressive!$C$27*(1-IF(ROUNDDOWN((O$35-$B39)/Aggressive!$D$27,0)&lt;1,0,IF(ROUNDDOWN((O$35-$B39)/Aggressive!$D$27,0)&lt;2,0.5,IF(ROUNDDOWN((O$35-$B39)/Aggressive!$D$27,0)&lt;3,0.75,IF(ROUNDDOWN((O$35-$B39)/Aggressive!$D$27,0)&lt;4,0.875,0.9375)))))+HLOOKUP($B39,$C$35:$Q$36,2,FALSE)*Aggressive!$C$28*(1-IF(ROUNDDOWN((O$35-$B39)/Aggressive!$D$28,0)&lt;1,0,IF(ROUNDDOWN((O$35-$B39)/Aggressive!$D$28,0)&lt;2,0.5,IF(ROUNDDOWN((O$35-$B39)/Aggressive!$D$28,0)&lt;3,0.75,IF(ROUNDDOWN((O$35-$B39)/Aggressive!$D$28,0)&lt;4,0.875,0.9375)))))</f>
        <v>0</v>
      </c>
      <c r="P39" s="135">
        <f>HLOOKUP($B39,$C$35:$Q$36,2,FALSE)*Aggressive!$C$23*(1-IF(ROUNDDOWN((P$35-$B39)/Aggressive!$D$23,0)&lt;1,0,IF(ROUNDDOWN((P$35-$B39)/Aggressive!$D$23,0)&lt;2,0.5,IF(ROUNDDOWN((P$35-$B39)/Aggressive!$D$23,0)&lt;3,0.75,IF(ROUNDDOWN((P$35-$B39)/Aggressive!$D$23,0)&lt;4,0.875,0.9375)))))+HLOOKUP($B39,$C$35:$Q$36,2,FALSE)*Aggressive!$C$24*(1-IF(ROUNDDOWN((P$35-$B39)/Aggressive!$D$24,0)&lt;1,0,IF(ROUNDDOWN((P$35-$B39)/Aggressive!$D$24,0)&lt;2,0.5,IF(ROUNDDOWN((P$35-$B39)/Aggressive!$D$24,0)&lt;3,0.75,IF(ROUNDDOWN((P$35-$B39)/Aggressive!$D$24,0)&lt;4,0.875,0.9375)))))+HLOOKUP($B39,$C$35:$Q$36,2,FALSE)*Aggressive!$C$25*(1-IF(ROUNDDOWN((P$35-$B39)/Aggressive!$D$25,0)&lt;1,0,IF(ROUNDDOWN((P$35-$B39)/Aggressive!$D$25,0)&lt;2,0.5,IF(ROUNDDOWN((P$35-$B39)/Aggressive!$D$25,0)&lt;3,0.75,IF(ROUNDDOWN((P$35-$B39)/Aggressive!$D$25,0)&lt;4,0.875,0.9375)))))+HLOOKUP($B39,$C$35:$Q$36,2,FALSE)*Aggressive!$C$26*(1-IF(ROUNDDOWN((P$35-$B39)/Aggressive!$D$26,0)&lt;1,0,IF(ROUNDDOWN((P$35-$B39)/Aggressive!$D$26,0)&lt;2,0.5,IF(ROUNDDOWN((P$35-$B39)/Aggressive!$D$26,0)&lt;3,0.75,IF(ROUNDDOWN((P$35-$B39)/Aggressive!$D$26,0)&lt;4,0.875,0.9375)))))+HLOOKUP($B39,$C$35:$Q$36,2,FALSE)*Aggressive!$C$27*(1-IF(ROUNDDOWN((P$35-$B39)/Aggressive!$D$27,0)&lt;1,0,IF(ROUNDDOWN((P$35-$B39)/Aggressive!$D$27,0)&lt;2,0.5,IF(ROUNDDOWN((P$35-$B39)/Aggressive!$D$27,0)&lt;3,0.75,IF(ROUNDDOWN((P$35-$B39)/Aggressive!$D$27,0)&lt;4,0.875,0.9375)))))+HLOOKUP($B39,$C$35:$Q$36,2,FALSE)*Aggressive!$C$28*(1-IF(ROUNDDOWN((P$35-$B39)/Aggressive!$D$28,0)&lt;1,0,IF(ROUNDDOWN((P$35-$B39)/Aggressive!$D$28,0)&lt;2,0.5,IF(ROUNDDOWN((P$35-$B39)/Aggressive!$D$28,0)&lt;3,0.75,IF(ROUNDDOWN((P$35-$B39)/Aggressive!$D$28,0)&lt;4,0.875,0.9375)))))</f>
        <v>0</v>
      </c>
      <c r="Q39" s="135">
        <f>HLOOKUP($B39,$C$35:$Q$36,2,FALSE)*Aggressive!$C$23*(1-IF(ROUNDDOWN((Q$35-$B39)/Aggressive!$D$23,0)&lt;1,0,IF(ROUNDDOWN((Q$35-$B39)/Aggressive!$D$23,0)&lt;2,0.5,IF(ROUNDDOWN((Q$35-$B39)/Aggressive!$D$23,0)&lt;3,0.75,IF(ROUNDDOWN((Q$35-$B39)/Aggressive!$D$23,0)&lt;4,0.875,0.9375)))))+HLOOKUP($B39,$C$35:$Q$36,2,FALSE)*Aggressive!$C$24*(1-IF(ROUNDDOWN((Q$35-$B39)/Aggressive!$D$24,0)&lt;1,0,IF(ROUNDDOWN((Q$35-$B39)/Aggressive!$D$24,0)&lt;2,0.5,IF(ROUNDDOWN((Q$35-$B39)/Aggressive!$D$24,0)&lt;3,0.75,IF(ROUNDDOWN((Q$35-$B39)/Aggressive!$D$24,0)&lt;4,0.875,0.9375)))))+HLOOKUP($B39,$C$35:$Q$36,2,FALSE)*Aggressive!$C$25*(1-IF(ROUNDDOWN((Q$35-$B39)/Aggressive!$D$25,0)&lt;1,0,IF(ROUNDDOWN((Q$35-$B39)/Aggressive!$D$25,0)&lt;2,0.5,IF(ROUNDDOWN((Q$35-$B39)/Aggressive!$D$25,0)&lt;3,0.75,IF(ROUNDDOWN((Q$35-$B39)/Aggressive!$D$25,0)&lt;4,0.875,0.9375)))))+HLOOKUP($B39,$C$35:$Q$36,2,FALSE)*Aggressive!$C$26*(1-IF(ROUNDDOWN((Q$35-$B39)/Aggressive!$D$26,0)&lt;1,0,IF(ROUNDDOWN((Q$35-$B39)/Aggressive!$D$26,0)&lt;2,0.5,IF(ROUNDDOWN((Q$35-$B39)/Aggressive!$D$26,0)&lt;3,0.75,IF(ROUNDDOWN((Q$35-$B39)/Aggressive!$D$26,0)&lt;4,0.875,0.9375)))))+HLOOKUP($B39,$C$35:$Q$36,2,FALSE)*Aggressive!$C$27*(1-IF(ROUNDDOWN((Q$35-$B39)/Aggressive!$D$27,0)&lt;1,0,IF(ROUNDDOWN((Q$35-$B39)/Aggressive!$D$27,0)&lt;2,0.5,IF(ROUNDDOWN((Q$35-$B39)/Aggressive!$D$27,0)&lt;3,0.75,IF(ROUNDDOWN((Q$35-$B39)/Aggressive!$D$27,0)&lt;4,0.875,0.9375)))))+HLOOKUP($B39,$C$35:$Q$36,2,FALSE)*Aggressive!$C$28*(1-IF(ROUNDDOWN((Q$35-$B39)/Aggressive!$D$28,0)&lt;1,0,IF(ROUNDDOWN((Q$35-$B39)/Aggressive!$D$28,0)&lt;2,0.5,IF(ROUNDDOWN((Q$35-$B39)/Aggressive!$D$28,0)&lt;3,0.75,IF(ROUNDDOWN((Q$35-$B39)/Aggressive!$D$28,0)&lt;4,0.875,0.9375)))))</f>
        <v>0</v>
      </c>
      <c r="R39" s="50"/>
    </row>
    <row r="40" spans="2:18" x14ac:dyDescent="0.3">
      <c r="B40" s="237">
        <f t="shared" ref="B40:B53" si="9">B39+1</f>
        <v>2016</v>
      </c>
      <c r="C40" s="135"/>
      <c r="D40" s="135">
        <f>HLOOKUP($B40,$C$35:$Q$36,2,FALSE)*Aggressive!$C$23*(1-IF(ROUNDDOWN((D$35-$B40)/Aggressive!$D$23,0)&lt;1,0,IF(ROUNDDOWN((D$35-$B40)/Aggressive!$D$23,0)&lt;2,0.5,IF(ROUNDDOWN((D$35-$B40)/Aggressive!$D$23,0)&lt;3,0.75,IF(ROUNDDOWN((D$35-$B40)/Aggressive!$D$23,0)&lt;4,0.875,0.9375)))))+HLOOKUP($B40,$C$35:$Q$36,2,FALSE)*Aggressive!$C$24*(1-IF(ROUNDDOWN((D$35-$B40)/Aggressive!$D$24,0)&lt;1,0,IF(ROUNDDOWN((D$35-$B40)/Aggressive!$D$24,0)&lt;2,0.5,IF(ROUNDDOWN((D$35-$B40)/Aggressive!$D$24,0)&lt;3,0.75,IF(ROUNDDOWN((D$35-$B40)/Aggressive!$D$24,0)&lt;4,0.875,0.9375)))))+HLOOKUP($B40,$C$35:$Q$36,2,FALSE)*Aggressive!$C$25*(1-IF(ROUNDDOWN((D$35-$B40)/Aggressive!$D$25,0)&lt;1,0,IF(ROUNDDOWN((D$35-$B40)/Aggressive!$D$25,0)&lt;2,0.5,IF(ROUNDDOWN((D$35-$B40)/Aggressive!$D$25,0)&lt;3,0.75,IF(ROUNDDOWN((D$35-$B40)/Aggressive!$D$25,0)&lt;4,0.875,0.9375)))))+HLOOKUP($B40,$C$35:$Q$36,2,FALSE)*Aggressive!$C$26*(1-IF(ROUNDDOWN((D$35-$B40)/Aggressive!$D$26,0)&lt;1,0,IF(ROUNDDOWN((D$35-$B40)/Aggressive!$D$26,0)&lt;2,0.5,IF(ROUNDDOWN((D$35-$B40)/Aggressive!$D$26,0)&lt;3,0.75,IF(ROUNDDOWN((D$35-$B40)/Aggressive!$D$26,0)&lt;4,0.875,0.9375)))))+HLOOKUP($B40,$C$35:$Q$36,2,FALSE)*Aggressive!$C$27*(1-IF(ROUNDDOWN((D$35-$B40)/Aggressive!$D$27,0)&lt;1,0,IF(ROUNDDOWN((D$35-$B40)/Aggressive!$D$27,0)&lt;2,0.5,IF(ROUNDDOWN((D$35-$B40)/Aggressive!$D$27,0)&lt;3,0.75,IF(ROUNDDOWN((D$35-$B40)/Aggressive!$D$27,0)&lt;4,0.875,0.9375)))))+HLOOKUP($B40,$C$35:$Q$36,2,FALSE)*Aggressive!$C$28*(1-IF(ROUNDDOWN((D$35-$B40)/Aggressive!$D$28,0)&lt;1,0,IF(ROUNDDOWN((D$35-$B40)/Aggressive!$D$28,0)&lt;2,0.5,IF(ROUNDDOWN((D$35-$B40)/Aggressive!$D$28,0)&lt;3,0.75,IF(ROUNDDOWN((D$35-$B40)/Aggressive!$D$28,0)&lt;4,0.875,0.9375)))))</f>
        <v>0</v>
      </c>
      <c r="E40" s="135">
        <f>HLOOKUP($B40,$C$35:$Q$36,2,FALSE)*Aggressive!$C$23*(1-IF(ROUNDDOWN((E$35-$B40)/Aggressive!$D$23,0)&lt;1,0,IF(ROUNDDOWN((E$35-$B40)/Aggressive!$D$23,0)&lt;2,0.5,IF(ROUNDDOWN((E$35-$B40)/Aggressive!$D$23,0)&lt;3,0.75,IF(ROUNDDOWN((E$35-$B40)/Aggressive!$D$23,0)&lt;4,0.875,0.9375)))))+HLOOKUP($B40,$C$35:$Q$36,2,FALSE)*Aggressive!$C$24*(1-IF(ROUNDDOWN((E$35-$B40)/Aggressive!$D$24,0)&lt;1,0,IF(ROUNDDOWN((E$35-$B40)/Aggressive!$D$24,0)&lt;2,0.5,IF(ROUNDDOWN((E$35-$B40)/Aggressive!$D$24,0)&lt;3,0.75,IF(ROUNDDOWN((E$35-$B40)/Aggressive!$D$24,0)&lt;4,0.875,0.9375)))))+HLOOKUP($B40,$C$35:$Q$36,2,FALSE)*Aggressive!$C$25*(1-IF(ROUNDDOWN((E$35-$B40)/Aggressive!$D$25,0)&lt;1,0,IF(ROUNDDOWN((E$35-$B40)/Aggressive!$D$25,0)&lt;2,0.5,IF(ROUNDDOWN((E$35-$B40)/Aggressive!$D$25,0)&lt;3,0.75,IF(ROUNDDOWN((E$35-$B40)/Aggressive!$D$25,0)&lt;4,0.875,0.9375)))))+HLOOKUP($B40,$C$35:$Q$36,2,FALSE)*Aggressive!$C$26*(1-IF(ROUNDDOWN((E$35-$B40)/Aggressive!$D$26,0)&lt;1,0,IF(ROUNDDOWN((E$35-$B40)/Aggressive!$D$26,0)&lt;2,0.5,IF(ROUNDDOWN((E$35-$B40)/Aggressive!$D$26,0)&lt;3,0.75,IF(ROUNDDOWN((E$35-$B40)/Aggressive!$D$26,0)&lt;4,0.875,0.9375)))))+HLOOKUP($B40,$C$35:$Q$36,2,FALSE)*Aggressive!$C$27*(1-IF(ROUNDDOWN((E$35-$B40)/Aggressive!$D$27,0)&lt;1,0,IF(ROUNDDOWN((E$35-$B40)/Aggressive!$D$27,0)&lt;2,0.5,IF(ROUNDDOWN((E$35-$B40)/Aggressive!$D$27,0)&lt;3,0.75,IF(ROUNDDOWN((E$35-$B40)/Aggressive!$D$27,0)&lt;4,0.875,0.9375)))))+HLOOKUP($B40,$C$35:$Q$36,2,FALSE)*Aggressive!$C$28*(1-IF(ROUNDDOWN((E$35-$B40)/Aggressive!$D$28,0)&lt;1,0,IF(ROUNDDOWN((E$35-$B40)/Aggressive!$D$28,0)&lt;2,0.5,IF(ROUNDDOWN((E$35-$B40)/Aggressive!$D$28,0)&lt;3,0.75,IF(ROUNDDOWN((E$35-$B40)/Aggressive!$D$28,0)&lt;4,0.875,0.9375)))))</f>
        <v>0</v>
      </c>
      <c r="F40" s="135">
        <f>HLOOKUP($B40,$C$35:$Q$36,2,FALSE)*Aggressive!$C$23*(1-IF(ROUNDDOWN((F$35-$B40)/Aggressive!$D$23,0)&lt;1,0,IF(ROUNDDOWN((F$35-$B40)/Aggressive!$D$23,0)&lt;2,0.5,IF(ROUNDDOWN((F$35-$B40)/Aggressive!$D$23,0)&lt;3,0.75,IF(ROUNDDOWN((F$35-$B40)/Aggressive!$D$23,0)&lt;4,0.875,0.9375)))))+HLOOKUP($B40,$C$35:$Q$36,2,FALSE)*Aggressive!$C$24*(1-IF(ROUNDDOWN((F$35-$B40)/Aggressive!$D$24,0)&lt;1,0,IF(ROUNDDOWN((F$35-$B40)/Aggressive!$D$24,0)&lt;2,0.5,IF(ROUNDDOWN((F$35-$B40)/Aggressive!$D$24,0)&lt;3,0.75,IF(ROUNDDOWN((F$35-$B40)/Aggressive!$D$24,0)&lt;4,0.875,0.9375)))))+HLOOKUP($B40,$C$35:$Q$36,2,FALSE)*Aggressive!$C$25*(1-IF(ROUNDDOWN((F$35-$B40)/Aggressive!$D$25,0)&lt;1,0,IF(ROUNDDOWN((F$35-$B40)/Aggressive!$D$25,0)&lt;2,0.5,IF(ROUNDDOWN((F$35-$B40)/Aggressive!$D$25,0)&lt;3,0.75,IF(ROUNDDOWN((F$35-$B40)/Aggressive!$D$25,0)&lt;4,0.875,0.9375)))))+HLOOKUP($B40,$C$35:$Q$36,2,FALSE)*Aggressive!$C$26*(1-IF(ROUNDDOWN((F$35-$B40)/Aggressive!$D$26,0)&lt;1,0,IF(ROUNDDOWN((F$35-$B40)/Aggressive!$D$26,0)&lt;2,0.5,IF(ROUNDDOWN((F$35-$B40)/Aggressive!$D$26,0)&lt;3,0.75,IF(ROUNDDOWN((F$35-$B40)/Aggressive!$D$26,0)&lt;4,0.875,0.9375)))))+HLOOKUP($B40,$C$35:$Q$36,2,FALSE)*Aggressive!$C$27*(1-IF(ROUNDDOWN((F$35-$B40)/Aggressive!$D$27,0)&lt;1,0,IF(ROUNDDOWN((F$35-$B40)/Aggressive!$D$27,0)&lt;2,0.5,IF(ROUNDDOWN((F$35-$B40)/Aggressive!$D$27,0)&lt;3,0.75,IF(ROUNDDOWN((F$35-$B40)/Aggressive!$D$27,0)&lt;4,0.875,0.9375)))))+HLOOKUP($B40,$C$35:$Q$36,2,FALSE)*Aggressive!$C$28*(1-IF(ROUNDDOWN((F$35-$B40)/Aggressive!$D$28,0)&lt;1,0,IF(ROUNDDOWN((F$35-$B40)/Aggressive!$D$28,0)&lt;2,0.5,IF(ROUNDDOWN((F$35-$B40)/Aggressive!$D$28,0)&lt;3,0.75,IF(ROUNDDOWN((F$35-$B40)/Aggressive!$D$28,0)&lt;4,0.875,0.9375)))))</f>
        <v>0</v>
      </c>
      <c r="G40" s="135">
        <f>HLOOKUP($B40,$C$35:$Q$36,2,FALSE)*Aggressive!$C$23*(1-IF(ROUNDDOWN((G$35-$B40)/Aggressive!$D$23,0)&lt;1,0,IF(ROUNDDOWN((G$35-$B40)/Aggressive!$D$23,0)&lt;2,0.5,IF(ROUNDDOWN((G$35-$B40)/Aggressive!$D$23,0)&lt;3,0.75,IF(ROUNDDOWN((G$35-$B40)/Aggressive!$D$23,0)&lt;4,0.875,0.9375)))))+HLOOKUP($B40,$C$35:$Q$36,2,FALSE)*Aggressive!$C$24*(1-IF(ROUNDDOWN((G$35-$B40)/Aggressive!$D$24,0)&lt;1,0,IF(ROUNDDOWN((G$35-$B40)/Aggressive!$D$24,0)&lt;2,0.5,IF(ROUNDDOWN((G$35-$B40)/Aggressive!$D$24,0)&lt;3,0.75,IF(ROUNDDOWN((G$35-$B40)/Aggressive!$D$24,0)&lt;4,0.875,0.9375)))))+HLOOKUP($B40,$C$35:$Q$36,2,FALSE)*Aggressive!$C$25*(1-IF(ROUNDDOWN((G$35-$B40)/Aggressive!$D$25,0)&lt;1,0,IF(ROUNDDOWN((G$35-$B40)/Aggressive!$D$25,0)&lt;2,0.5,IF(ROUNDDOWN((G$35-$B40)/Aggressive!$D$25,0)&lt;3,0.75,IF(ROUNDDOWN((G$35-$B40)/Aggressive!$D$25,0)&lt;4,0.875,0.9375)))))+HLOOKUP($B40,$C$35:$Q$36,2,FALSE)*Aggressive!$C$26*(1-IF(ROUNDDOWN((G$35-$B40)/Aggressive!$D$26,0)&lt;1,0,IF(ROUNDDOWN((G$35-$B40)/Aggressive!$D$26,0)&lt;2,0.5,IF(ROUNDDOWN((G$35-$B40)/Aggressive!$D$26,0)&lt;3,0.75,IF(ROUNDDOWN((G$35-$B40)/Aggressive!$D$26,0)&lt;4,0.875,0.9375)))))+HLOOKUP($B40,$C$35:$Q$36,2,FALSE)*Aggressive!$C$27*(1-IF(ROUNDDOWN((G$35-$B40)/Aggressive!$D$27,0)&lt;1,0,IF(ROUNDDOWN((G$35-$B40)/Aggressive!$D$27,0)&lt;2,0.5,IF(ROUNDDOWN((G$35-$B40)/Aggressive!$D$27,0)&lt;3,0.75,IF(ROUNDDOWN((G$35-$B40)/Aggressive!$D$27,0)&lt;4,0.875,0.9375)))))+HLOOKUP($B40,$C$35:$Q$36,2,FALSE)*Aggressive!$C$28*(1-IF(ROUNDDOWN((G$35-$B40)/Aggressive!$D$28,0)&lt;1,0,IF(ROUNDDOWN((G$35-$B40)/Aggressive!$D$28,0)&lt;2,0.5,IF(ROUNDDOWN((G$35-$B40)/Aggressive!$D$28,0)&lt;3,0.75,IF(ROUNDDOWN((G$35-$B40)/Aggressive!$D$28,0)&lt;4,0.875,0.9375)))))</f>
        <v>0</v>
      </c>
      <c r="H40" s="135">
        <f>HLOOKUP($B40,$C$35:$Q$36,2,FALSE)*Aggressive!$C$23*(1-IF(ROUNDDOWN((H$35-$B40)/Aggressive!$D$23,0)&lt;1,0,IF(ROUNDDOWN((H$35-$B40)/Aggressive!$D$23,0)&lt;2,0.5,IF(ROUNDDOWN((H$35-$B40)/Aggressive!$D$23,0)&lt;3,0.75,IF(ROUNDDOWN((H$35-$B40)/Aggressive!$D$23,0)&lt;4,0.875,0.9375)))))+HLOOKUP($B40,$C$35:$Q$36,2,FALSE)*Aggressive!$C$24*(1-IF(ROUNDDOWN((H$35-$B40)/Aggressive!$D$24,0)&lt;1,0,IF(ROUNDDOWN((H$35-$B40)/Aggressive!$D$24,0)&lt;2,0.5,IF(ROUNDDOWN((H$35-$B40)/Aggressive!$D$24,0)&lt;3,0.75,IF(ROUNDDOWN((H$35-$B40)/Aggressive!$D$24,0)&lt;4,0.875,0.9375)))))+HLOOKUP($B40,$C$35:$Q$36,2,FALSE)*Aggressive!$C$25*(1-IF(ROUNDDOWN((H$35-$B40)/Aggressive!$D$25,0)&lt;1,0,IF(ROUNDDOWN((H$35-$B40)/Aggressive!$D$25,0)&lt;2,0.5,IF(ROUNDDOWN((H$35-$B40)/Aggressive!$D$25,0)&lt;3,0.75,IF(ROUNDDOWN((H$35-$B40)/Aggressive!$D$25,0)&lt;4,0.875,0.9375)))))+HLOOKUP($B40,$C$35:$Q$36,2,FALSE)*Aggressive!$C$26*(1-IF(ROUNDDOWN((H$35-$B40)/Aggressive!$D$26,0)&lt;1,0,IF(ROUNDDOWN((H$35-$B40)/Aggressive!$D$26,0)&lt;2,0.5,IF(ROUNDDOWN((H$35-$B40)/Aggressive!$D$26,0)&lt;3,0.75,IF(ROUNDDOWN((H$35-$B40)/Aggressive!$D$26,0)&lt;4,0.875,0.9375)))))+HLOOKUP($B40,$C$35:$Q$36,2,FALSE)*Aggressive!$C$27*(1-IF(ROUNDDOWN((H$35-$B40)/Aggressive!$D$27,0)&lt;1,0,IF(ROUNDDOWN((H$35-$B40)/Aggressive!$D$27,0)&lt;2,0.5,IF(ROUNDDOWN((H$35-$B40)/Aggressive!$D$27,0)&lt;3,0.75,IF(ROUNDDOWN((H$35-$B40)/Aggressive!$D$27,0)&lt;4,0.875,0.9375)))))+HLOOKUP($B40,$C$35:$Q$36,2,FALSE)*Aggressive!$C$28*(1-IF(ROUNDDOWN((H$35-$B40)/Aggressive!$D$28,0)&lt;1,0,IF(ROUNDDOWN((H$35-$B40)/Aggressive!$D$28,0)&lt;2,0.5,IF(ROUNDDOWN((H$35-$B40)/Aggressive!$D$28,0)&lt;3,0.75,IF(ROUNDDOWN((H$35-$B40)/Aggressive!$D$28,0)&lt;4,0.875,0.9375)))))</f>
        <v>0</v>
      </c>
      <c r="I40" s="135">
        <f>HLOOKUP($B40,$C$35:$Q$36,2,FALSE)*Aggressive!$C$23*(1-IF(ROUNDDOWN((I$35-$B40)/Aggressive!$D$23,0)&lt;1,0,IF(ROUNDDOWN((I$35-$B40)/Aggressive!$D$23,0)&lt;2,0.5,IF(ROUNDDOWN((I$35-$B40)/Aggressive!$D$23,0)&lt;3,0.75,IF(ROUNDDOWN((I$35-$B40)/Aggressive!$D$23,0)&lt;4,0.875,0.9375)))))+HLOOKUP($B40,$C$35:$Q$36,2,FALSE)*Aggressive!$C$24*(1-IF(ROUNDDOWN((I$35-$B40)/Aggressive!$D$24,0)&lt;1,0,IF(ROUNDDOWN((I$35-$B40)/Aggressive!$D$24,0)&lt;2,0.5,IF(ROUNDDOWN((I$35-$B40)/Aggressive!$D$24,0)&lt;3,0.75,IF(ROUNDDOWN((I$35-$B40)/Aggressive!$D$24,0)&lt;4,0.875,0.9375)))))+HLOOKUP($B40,$C$35:$Q$36,2,FALSE)*Aggressive!$C$25*(1-IF(ROUNDDOWN((I$35-$B40)/Aggressive!$D$25,0)&lt;1,0,IF(ROUNDDOWN((I$35-$B40)/Aggressive!$D$25,0)&lt;2,0.5,IF(ROUNDDOWN((I$35-$B40)/Aggressive!$D$25,0)&lt;3,0.75,IF(ROUNDDOWN((I$35-$B40)/Aggressive!$D$25,0)&lt;4,0.875,0.9375)))))+HLOOKUP($B40,$C$35:$Q$36,2,FALSE)*Aggressive!$C$26*(1-IF(ROUNDDOWN((I$35-$B40)/Aggressive!$D$26,0)&lt;1,0,IF(ROUNDDOWN((I$35-$B40)/Aggressive!$D$26,0)&lt;2,0.5,IF(ROUNDDOWN((I$35-$B40)/Aggressive!$D$26,0)&lt;3,0.75,IF(ROUNDDOWN((I$35-$B40)/Aggressive!$D$26,0)&lt;4,0.875,0.9375)))))+HLOOKUP($B40,$C$35:$Q$36,2,FALSE)*Aggressive!$C$27*(1-IF(ROUNDDOWN((I$35-$B40)/Aggressive!$D$27,0)&lt;1,0,IF(ROUNDDOWN((I$35-$B40)/Aggressive!$D$27,0)&lt;2,0.5,IF(ROUNDDOWN((I$35-$B40)/Aggressive!$D$27,0)&lt;3,0.75,IF(ROUNDDOWN((I$35-$B40)/Aggressive!$D$27,0)&lt;4,0.875,0.9375)))))+HLOOKUP($B40,$C$35:$Q$36,2,FALSE)*Aggressive!$C$28*(1-IF(ROUNDDOWN((I$35-$B40)/Aggressive!$D$28,0)&lt;1,0,IF(ROUNDDOWN((I$35-$B40)/Aggressive!$D$28,0)&lt;2,0.5,IF(ROUNDDOWN((I$35-$B40)/Aggressive!$D$28,0)&lt;3,0.75,IF(ROUNDDOWN((I$35-$B40)/Aggressive!$D$28,0)&lt;4,0.875,0.9375)))))</f>
        <v>0</v>
      </c>
      <c r="J40" s="135">
        <f>HLOOKUP($B40,$C$35:$Q$36,2,FALSE)*Aggressive!$C$23*(1-IF(ROUNDDOWN((J$35-$B40)/Aggressive!$D$23,0)&lt;1,0,IF(ROUNDDOWN((J$35-$B40)/Aggressive!$D$23,0)&lt;2,0.5,IF(ROUNDDOWN((J$35-$B40)/Aggressive!$D$23,0)&lt;3,0.75,IF(ROUNDDOWN((J$35-$B40)/Aggressive!$D$23,0)&lt;4,0.875,0.9375)))))+HLOOKUP($B40,$C$35:$Q$36,2,FALSE)*Aggressive!$C$24*(1-IF(ROUNDDOWN((J$35-$B40)/Aggressive!$D$24,0)&lt;1,0,IF(ROUNDDOWN((J$35-$B40)/Aggressive!$D$24,0)&lt;2,0.5,IF(ROUNDDOWN((J$35-$B40)/Aggressive!$D$24,0)&lt;3,0.75,IF(ROUNDDOWN((J$35-$B40)/Aggressive!$D$24,0)&lt;4,0.875,0.9375)))))+HLOOKUP($B40,$C$35:$Q$36,2,FALSE)*Aggressive!$C$25*(1-IF(ROUNDDOWN((J$35-$B40)/Aggressive!$D$25,0)&lt;1,0,IF(ROUNDDOWN((J$35-$B40)/Aggressive!$D$25,0)&lt;2,0.5,IF(ROUNDDOWN((J$35-$B40)/Aggressive!$D$25,0)&lt;3,0.75,IF(ROUNDDOWN((J$35-$B40)/Aggressive!$D$25,0)&lt;4,0.875,0.9375)))))+HLOOKUP($B40,$C$35:$Q$36,2,FALSE)*Aggressive!$C$26*(1-IF(ROUNDDOWN((J$35-$B40)/Aggressive!$D$26,0)&lt;1,0,IF(ROUNDDOWN((J$35-$B40)/Aggressive!$D$26,0)&lt;2,0.5,IF(ROUNDDOWN((J$35-$B40)/Aggressive!$D$26,0)&lt;3,0.75,IF(ROUNDDOWN((J$35-$B40)/Aggressive!$D$26,0)&lt;4,0.875,0.9375)))))+HLOOKUP($B40,$C$35:$Q$36,2,FALSE)*Aggressive!$C$27*(1-IF(ROUNDDOWN((J$35-$B40)/Aggressive!$D$27,0)&lt;1,0,IF(ROUNDDOWN((J$35-$B40)/Aggressive!$D$27,0)&lt;2,0.5,IF(ROUNDDOWN((J$35-$B40)/Aggressive!$D$27,0)&lt;3,0.75,IF(ROUNDDOWN((J$35-$B40)/Aggressive!$D$27,0)&lt;4,0.875,0.9375)))))+HLOOKUP($B40,$C$35:$Q$36,2,FALSE)*Aggressive!$C$28*(1-IF(ROUNDDOWN((J$35-$B40)/Aggressive!$D$28,0)&lt;1,0,IF(ROUNDDOWN((J$35-$B40)/Aggressive!$D$28,0)&lt;2,0.5,IF(ROUNDDOWN((J$35-$B40)/Aggressive!$D$28,0)&lt;3,0.75,IF(ROUNDDOWN((J$35-$B40)/Aggressive!$D$28,0)&lt;4,0.875,0.9375)))))</f>
        <v>0</v>
      </c>
      <c r="K40" s="135">
        <f>HLOOKUP($B40,$C$35:$Q$36,2,FALSE)*Aggressive!$C$23*(1-IF(ROUNDDOWN((K$35-$B40)/Aggressive!$D$23,0)&lt;1,0,IF(ROUNDDOWN((K$35-$B40)/Aggressive!$D$23,0)&lt;2,0.5,IF(ROUNDDOWN((K$35-$B40)/Aggressive!$D$23,0)&lt;3,0.75,IF(ROUNDDOWN((K$35-$B40)/Aggressive!$D$23,0)&lt;4,0.875,0.9375)))))+HLOOKUP($B40,$C$35:$Q$36,2,FALSE)*Aggressive!$C$24*(1-IF(ROUNDDOWN((K$35-$B40)/Aggressive!$D$24,0)&lt;1,0,IF(ROUNDDOWN((K$35-$B40)/Aggressive!$D$24,0)&lt;2,0.5,IF(ROUNDDOWN((K$35-$B40)/Aggressive!$D$24,0)&lt;3,0.75,IF(ROUNDDOWN((K$35-$B40)/Aggressive!$D$24,0)&lt;4,0.875,0.9375)))))+HLOOKUP($B40,$C$35:$Q$36,2,FALSE)*Aggressive!$C$25*(1-IF(ROUNDDOWN((K$35-$B40)/Aggressive!$D$25,0)&lt;1,0,IF(ROUNDDOWN((K$35-$B40)/Aggressive!$D$25,0)&lt;2,0.5,IF(ROUNDDOWN((K$35-$B40)/Aggressive!$D$25,0)&lt;3,0.75,IF(ROUNDDOWN((K$35-$B40)/Aggressive!$D$25,0)&lt;4,0.875,0.9375)))))+HLOOKUP($B40,$C$35:$Q$36,2,FALSE)*Aggressive!$C$26*(1-IF(ROUNDDOWN((K$35-$B40)/Aggressive!$D$26,0)&lt;1,0,IF(ROUNDDOWN((K$35-$B40)/Aggressive!$D$26,0)&lt;2,0.5,IF(ROUNDDOWN((K$35-$B40)/Aggressive!$D$26,0)&lt;3,0.75,IF(ROUNDDOWN((K$35-$B40)/Aggressive!$D$26,0)&lt;4,0.875,0.9375)))))+HLOOKUP($B40,$C$35:$Q$36,2,FALSE)*Aggressive!$C$27*(1-IF(ROUNDDOWN((K$35-$B40)/Aggressive!$D$27,0)&lt;1,0,IF(ROUNDDOWN((K$35-$B40)/Aggressive!$D$27,0)&lt;2,0.5,IF(ROUNDDOWN((K$35-$B40)/Aggressive!$D$27,0)&lt;3,0.75,IF(ROUNDDOWN((K$35-$B40)/Aggressive!$D$27,0)&lt;4,0.875,0.9375)))))+HLOOKUP($B40,$C$35:$Q$36,2,FALSE)*Aggressive!$C$28*(1-IF(ROUNDDOWN((K$35-$B40)/Aggressive!$D$28,0)&lt;1,0,IF(ROUNDDOWN((K$35-$B40)/Aggressive!$D$28,0)&lt;2,0.5,IF(ROUNDDOWN((K$35-$B40)/Aggressive!$D$28,0)&lt;3,0.75,IF(ROUNDDOWN((K$35-$B40)/Aggressive!$D$28,0)&lt;4,0.875,0.9375)))))</f>
        <v>0</v>
      </c>
      <c r="L40" s="135">
        <f>HLOOKUP($B40,$C$35:$Q$36,2,FALSE)*Aggressive!$C$23*(1-IF(ROUNDDOWN((L$35-$B40)/Aggressive!$D$23,0)&lt;1,0,IF(ROUNDDOWN((L$35-$B40)/Aggressive!$D$23,0)&lt;2,0.5,IF(ROUNDDOWN((L$35-$B40)/Aggressive!$D$23,0)&lt;3,0.75,IF(ROUNDDOWN((L$35-$B40)/Aggressive!$D$23,0)&lt;4,0.875,0.9375)))))+HLOOKUP($B40,$C$35:$Q$36,2,FALSE)*Aggressive!$C$24*(1-IF(ROUNDDOWN((L$35-$B40)/Aggressive!$D$24,0)&lt;1,0,IF(ROUNDDOWN((L$35-$B40)/Aggressive!$D$24,0)&lt;2,0.5,IF(ROUNDDOWN((L$35-$B40)/Aggressive!$D$24,0)&lt;3,0.75,IF(ROUNDDOWN((L$35-$B40)/Aggressive!$D$24,0)&lt;4,0.875,0.9375)))))+HLOOKUP($B40,$C$35:$Q$36,2,FALSE)*Aggressive!$C$25*(1-IF(ROUNDDOWN((L$35-$B40)/Aggressive!$D$25,0)&lt;1,0,IF(ROUNDDOWN((L$35-$B40)/Aggressive!$D$25,0)&lt;2,0.5,IF(ROUNDDOWN((L$35-$B40)/Aggressive!$D$25,0)&lt;3,0.75,IF(ROUNDDOWN((L$35-$B40)/Aggressive!$D$25,0)&lt;4,0.875,0.9375)))))+HLOOKUP($B40,$C$35:$Q$36,2,FALSE)*Aggressive!$C$26*(1-IF(ROUNDDOWN((L$35-$B40)/Aggressive!$D$26,0)&lt;1,0,IF(ROUNDDOWN((L$35-$B40)/Aggressive!$D$26,0)&lt;2,0.5,IF(ROUNDDOWN((L$35-$B40)/Aggressive!$D$26,0)&lt;3,0.75,IF(ROUNDDOWN((L$35-$B40)/Aggressive!$D$26,0)&lt;4,0.875,0.9375)))))+HLOOKUP($B40,$C$35:$Q$36,2,FALSE)*Aggressive!$C$27*(1-IF(ROUNDDOWN((L$35-$B40)/Aggressive!$D$27,0)&lt;1,0,IF(ROUNDDOWN((L$35-$B40)/Aggressive!$D$27,0)&lt;2,0.5,IF(ROUNDDOWN((L$35-$B40)/Aggressive!$D$27,0)&lt;3,0.75,IF(ROUNDDOWN((L$35-$B40)/Aggressive!$D$27,0)&lt;4,0.875,0.9375)))))+HLOOKUP($B40,$C$35:$Q$36,2,FALSE)*Aggressive!$C$28*(1-IF(ROUNDDOWN((L$35-$B40)/Aggressive!$D$28,0)&lt;1,0,IF(ROUNDDOWN((L$35-$B40)/Aggressive!$D$28,0)&lt;2,0.5,IF(ROUNDDOWN((L$35-$B40)/Aggressive!$D$28,0)&lt;3,0.75,IF(ROUNDDOWN((L$35-$B40)/Aggressive!$D$28,0)&lt;4,0.875,0.9375)))))</f>
        <v>0</v>
      </c>
      <c r="M40" s="135">
        <f>HLOOKUP($B40,$C$35:$Q$36,2,FALSE)*Aggressive!$C$23*(1-IF(ROUNDDOWN((M$35-$B40)/Aggressive!$D$23,0)&lt;1,0,IF(ROUNDDOWN((M$35-$B40)/Aggressive!$D$23,0)&lt;2,0.5,IF(ROUNDDOWN((M$35-$B40)/Aggressive!$D$23,0)&lt;3,0.75,IF(ROUNDDOWN((M$35-$B40)/Aggressive!$D$23,0)&lt;4,0.875,0.9375)))))+HLOOKUP($B40,$C$35:$Q$36,2,FALSE)*Aggressive!$C$24*(1-IF(ROUNDDOWN((M$35-$B40)/Aggressive!$D$24,0)&lt;1,0,IF(ROUNDDOWN((M$35-$B40)/Aggressive!$D$24,0)&lt;2,0.5,IF(ROUNDDOWN((M$35-$B40)/Aggressive!$D$24,0)&lt;3,0.75,IF(ROUNDDOWN((M$35-$B40)/Aggressive!$D$24,0)&lt;4,0.875,0.9375)))))+HLOOKUP($B40,$C$35:$Q$36,2,FALSE)*Aggressive!$C$25*(1-IF(ROUNDDOWN((M$35-$B40)/Aggressive!$D$25,0)&lt;1,0,IF(ROUNDDOWN((M$35-$B40)/Aggressive!$D$25,0)&lt;2,0.5,IF(ROUNDDOWN((M$35-$B40)/Aggressive!$D$25,0)&lt;3,0.75,IF(ROUNDDOWN((M$35-$B40)/Aggressive!$D$25,0)&lt;4,0.875,0.9375)))))+HLOOKUP($B40,$C$35:$Q$36,2,FALSE)*Aggressive!$C$26*(1-IF(ROUNDDOWN((M$35-$B40)/Aggressive!$D$26,0)&lt;1,0,IF(ROUNDDOWN((M$35-$B40)/Aggressive!$D$26,0)&lt;2,0.5,IF(ROUNDDOWN((M$35-$B40)/Aggressive!$D$26,0)&lt;3,0.75,IF(ROUNDDOWN((M$35-$B40)/Aggressive!$D$26,0)&lt;4,0.875,0.9375)))))+HLOOKUP($B40,$C$35:$Q$36,2,FALSE)*Aggressive!$C$27*(1-IF(ROUNDDOWN((M$35-$B40)/Aggressive!$D$27,0)&lt;1,0,IF(ROUNDDOWN((M$35-$B40)/Aggressive!$D$27,0)&lt;2,0.5,IF(ROUNDDOWN((M$35-$B40)/Aggressive!$D$27,0)&lt;3,0.75,IF(ROUNDDOWN((M$35-$B40)/Aggressive!$D$27,0)&lt;4,0.875,0.9375)))))+HLOOKUP($B40,$C$35:$Q$36,2,FALSE)*Aggressive!$C$28*(1-IF(ROUNDDOWN((M$35-$B40)/Aggressive!$D$28,0)&lt;1,0,IF(ROUNDDOWN((M$35-$B40)/Aggressive!$D$28,0)&lt;2,0.5,IF(ROUNDDOWN((M$35-$B40)/Aggressive!$D$28,0)&lt;3,0.75,IF(ROUNDDOWN((M$35-$B40)/Aggressive!$D$28,0)&lt;4,0.875,0.9375)))))</f>
        <v>0</v>
      </c>
      <c r="N40" s="135">
        <f>HLOOKUP($B40,$C$35:$Q$36,2,FALSE)*Aggressive!$C$23*(1-IF(ROUNDDOWN((N$35-$B40)/Aggressive!$D$23,0)&lt;1,0,IF(ROUNDDOWN((N$35-$B40)/Aggressive!$D$23,0)&lt;2,0.5,IF(ROUNDDOWN((N$35-$B40)/Aggressive!$D$23,0)&lt;3,0.75,IF(ROUNDDOWN((N$35-$B40)/Aggressive!$D$23,0)&lt;4,0.875,0.9375)))))+HLOOKUP($B40,$C$35:$Q$36,2,FALSE)*Aggressive!$C$24*(1-IF(ROUNDDOWN((N$35-$B40)/Aggressive!$D$24,0)&lt;1,0,IF(ROUNDDOWN((N$35-$B40)/Aggressive!$D$24,0)&lt;2,0.5,IF(ROUNDDOWN((N$35-$B40)/Aggressive!$D$24,0)&lt;3,0.75,IF(ROUNDDOWN((N$35-$B40)/Aggressive!$D$24,0)&lt;4,0.875,0.9375)))))+HLOOKUP($B40,$C$35:$Q$36,2,FALSE)*Aggressive!$C$25*(1-IF(ROUNDDOWN((N$35-$B40)/Aggressive!$D$25,0)&lt;1,0,IF(ROUNDDOWN((N$35-$B40)/Aggressive!$D$25,0)&lt;2,0.5,IF(ROUNDDOWN((N$35-$B40)/Aggressive!$D$25,0)&lt;3,0.75,IF(ROUNDDOWN((N$35-$B40)/Aggressive!$D$25,0)&lt;4,0.875,0.9375)))))+HLOOKUP($B40,$C$35:$Q$36,2,FALSE)*Aggressive!$C$26*(1-IF(ROUNDDOWN((N$35-$B40)/Aggressive!$D$26,0)&lt;1,0,IF(ROUNDDOWN((N$35-$B40)/Aggressive!$D$26,0)&lt;2,0.5,IF(ROUNDDOWN((N$35-$B40)/Aggressive!$D$26,0)&lt;3,0.75,IF(ROUNDDOWN((N$35-$B40)/Aggressive!$D$26,0)&lt;4,0.875,0.9375)))))+HLOOKUP($B40,$C$35:$Q$36,2,FALSE)*Aggressive!$C$27*(1-IF(ROUNDDOWN((N$35-$B40)/Aggressive!$D$27,0)&lt;1,0,IF(ROUNDDOWN((N$35-$B40)/Aggressive!$D$27,0)&lt;2,0.5,IF(ROUNDDOWN((N$35-$B40)/Aggressive!$D$27,0)&lt;3,0.75,IF(ROUNDDOWN((N$35-$B40)/Aggressive!$D$27,0)&lt;4,0.875,0.9375)))))+HLOOKUP($B40,$C$35:$Q$36,2,FALSE)*Aggressive!$C$28*(1-IF(ROUNDDOWN((N$35-$B40)/Aggressive!$D$28,0)&lt;1,0,IF(ROUNDDOWN((N$35-$B40)/Aggressive!$D$28,0)&lt;2,0.5,IF(ROUNDDOWN((N$35-$B40)/Aggressive!$D$28,0)&lt;3,0.75,IF(ROUNDDOWN((N$35-$B40)/Aggressive!$D$28,0)&lt;4,0.875,0.9375)))))</f>
        <v>0</v>
      </c>
      <c r="O40" s="135">
        <f>HLOOKUP($B40,$C$35:$Q$36,2,FALSE)*Aggressive!$C$23*(1-IF(ROUNDDOWN((O$35-$B40)/Aggressive!$D$23,0)&lt;1,0,IF(ROUNDDOWN((O$35-$B40)/Aggressive!$D$23,0)&lt;2,0.5,IF(ROUNDDOWN((O$35-$B40)/Aggressive!$D$23,0)&lt;3,0.75,IF(ROUNDDOWN((O$35-$B40)/Aggressive!$D$23,0)&lt;4,0.875,0.9375)))))+HLOOKUP($B40,$C$35:$Q$36,2,FALSE)*Aggressive!$C$24*(1-IF(ROUNDDOWN((O$35-$B40)/Aggressive!$D$24,0)&lt;1,0,IF(ROUNDDOWN((O$35-$B40)/Aggressive!$D$24,0)&lt;2,0.5,IF(ROUNDDOWN((O$35-$B40)/Aggressive!$D$24,0)&lt;3,0.75,IF(ROUNDDOWN((O$35-$B40)/Aggressive!$D$24,0)&lt;4,0.875,0.9375)))))+HLOOKUP($B40,$C$35:$Q$36,2,FALSE)*Aggressive!$C$25*(1-IF(ROUNDDOWN((O$35-$B40)/Aggressive!$D$25,0)&lt;1,0,IF(ROUNDDOWN((O$35-$B40)/Aggressive!$D$25,0)&lt;2,0.5,IF(ROUNDDOWN((O$35-$B40)/Aggressive!$D$25,0)&lt;3,0.75,IF(ROUNDDOWN((O$35-$B40)/Aggressive!$D$25,0)&lt;4,0.875,0.9375)))))+HLOOKUP($B40,$C$35:$Q$36,2,FALSE)*Aggressive!$C$26*(1-IF(ROUNDDOWN((O$35-$B40)/Aggressive!$D$26,0)&lt;1,0,IF(ROUNDDOWN((O$35-$B40)/Aggressive!$D$26,0)&lt;2,0.5,IF(ROUNDDOWN((O$35-$B40)/Aggressive!$D$26,0)&lt;3,0.75,IF(ROUNDDOWN((O$35-$B40)/Aggressive!$D$26,0)&lt;4,0.875,0.9375)))))+HLOOKUP($B40,$C$35:$Q$36,2,FALSE)*Aggressive!$C$27*(1-IF(ROUNDDOWN((O$35-$B40)/Aggressive!$D$27,0)&lt;1,0,IF(ROUNDDOWN((O$35-$B40)/Aggressive!$D$27,0)&lt;2,0.5,IF(ROUNDDOWN((O$35-$B40)/Aggressive!$D$27,0)&lt;3,0.75,IF(ROUNDDOWN((O$35-$B40)/Aggressive!$D$27,0)&lt;4,0.875,0.9375)))))+HLOOKUP($B40,$C$35:$Q$36,2,FALSE)*Aggressive!$C$28*(1-IF(ROUNDDOWN((O$35-$B40)/Aggressive!$D$28,0)&lt;1,0,IF(ROUNDDOWN((O$35-$B40)/Aggressive!$D$28,0)&lt;2,0.5,IF(ROUNDDOWN((O$35-$B40)/Aggressive!$D$28,0)&lt;3,0.75,IF(ROUNDDOWN((O$35-$B40)/Aggressive!$D$28,0)&lt;4,0.875,0.9375)))))</f>
        <v>0</v>
      </c>
      <c r="P40" s="135">
        <f>HLOOKUP($B40,$C$35:$Q$36,2,FALSE)*Aggressive!$C$23*(1-IF(ROUNDDOWN((P$35-$B40)/Aggressive!$D$23,0)&lt;1,0,IF(ROUNDDOWN((P$35-$B40)/Aggressive!$D$23,0)&lt;2,0.5,IF(ROUNDDOWN((P$35-$B40)/Aggressive!$D$23,0)&lt;3,0.75,IF(ROUNDDOWN((P$35-$B40)/Aggressive!$D$23,0)&lt;4,0.875,0.9375)))))+HLOOKUP($B40,$C$35:$Q$36,2,FALSE)*Aggressive!$C$24*(1-IF(ROUNDDOWN((P$35-$B40)/Aggressive!$D$24,0)&lt;1,0,IF(ROUNDDOWN((P$35-$B40)/Aggressive!$D$24,0)&lt;2,0.5,IF(ROUNDDOWN((P$35-$B40)/Aggressive!$D$24,0)&lt;3,0.75,IF(ROUNDDOWN((P$35-$B40)/Aggressive!$D$24,0)&lt;4,0.875,0.9375)))))+HLOOKUP($B40,$C$35:$Q$36,2,FALSE)*Aggressive!$C$25*(1-IF(ROUNDDOWN((P$35-$B40)/Aggressive!$D$25,0)&lt;1,0,IF(ROUNDDOWN((P$35-$B40)/Aggressive!$D$25,0)&lt;2,0.5,IF(ROUNDDOWN((P$35-$B40)/Aggressive!$D$25,0)&lt;3,0.75,IF(ROUNDDOWN((P$35-$B40)/Aggressive!$D$25,0)&lt;4,0.875,0.9375)))))+HLOOKUP($B40,$C$35:$Q$36,2,FALSE)*Aggressive!$C$26*(1-IF(ROUNDDOWN((P$35-$B40)/Aggressive!$D$26,0)&lt;1,0,IF(ROUNDDOWN((P$35-$B40)/Aggressive!$D$26,0)&lt;2,0.5,IF(ROUNDDOWN((P$35-$B40)/Aggressive!$D$26,0)&lt;3,0.75,IF(ROUNDDOWN((P$35-$B40)/Aggressive!$D$26,0)&lt;4,0.875,0.9375)))))+HLOOKUP($B40,$C$35:$Q$36,2,FALSE)*Aggressive!$C$27*(1-IF(ROUNDDOWN((P$35-$B40)/Aggressive!$D$27,0)&lt;1,0,IF(ROUNDDOWN((P$35-$B40)/Aggressive!$D$27,0)&lt;2,0.5,IF(ROUNDDOWN((P$35-$B40)/Aggressive!$D$27,0)&lt;3,0.75,IF(ROUNDDOWN((P$35-$B40)/Aggressive!$D$27,0)&lt;4,0.875,0.9375)))))+HLOOKUP($B40,$C$35:$Q$36,2,FALSE)*Aggressive!$C$28*(1-IF(ROUNDDOWN((P$35-$B40)/Aggressive!$D$28,0)&lt;1,0,IF(ROUNDDOWN((P$35-$B40)/Aggressive!$D$28,0)&lt;2,0.5,IF(ROUNDDOWN((P$35-$B40)/Aggressive!$D$28,0)&lt;3,0.75,IF(ROUNDDOWN((P$35-$B40)/Aggressive!$D$28,0)&lt;4,0.875,0.9375)))))</f>
        <v>0</v>
      </c>
      <c r="Q40" s="135">
        <f>HLOOKUP($B40,$C$35:$Q$36,2,FALSE)*Aggressive!$C$23*(1-IF(ROUNDDOWN((Q$35-$B40)/Aggressive!$D$23,0)&lt;1,0,IF(ROUNDDOWN((Q$35-$B40)/Aggressive!$D$23,0)&lt;2,0.5,IF(ROUNDDOWN((Q$35-$B40)/Aggressive!$D$23,0)&lt;3,0.75,IF(ROUNDDOWN((Q$35-$B40)/Aggressive!$D$23,0)&lt;4,0.875,0.9375)))))+HLOOKUP($B40,$C$35:$Q$36,2,FALSE)*Aggressive!$C$24*(1-IF(ROUNDDOWN((Q$35-$B40)/Aggressive!$D$24,0)&lt;1,0,IF(ROUNDDOWN((Q$35-$B40)/Aggressive!$D$24,0)&lt;2,0.5,IF(ROUNDDOWN((Q$35-$B40)/Aggressive!$D$24,0)&lt;3,0.75,IF(ROUNDDOWN((Q$35-$B40)/Aggressive!$D$24,0)&lt;4,0.875,0.9375)))))+HLOOKUP($B40,$C$35:$Q$36,2,FALSE)*Aggressive!$C$25*(1-IF(ROUNDDOWN((Q$35-$B40)/Aggressive!$D$25,0)&lt;1,0,IF(ROUNDDOWN((Q$35-$B40)/Aggressive!$D$25,0)&lt;2,0.5,IF(ROUNDDOWN((Q$35-$B40)/Aggressive!$D$25,0)&lt;3,0.75,IF(ROUNDDOWN((Q$35-$B40)/Aggressive!$D$25,0)&lt;4,0.875,0.9375)))))+HLOOKUP($B40,$C$35:$Q$36,2,FALSE)*Aggressive!$C$26*(1-IF(ROUNDDOWN((Q$35-$B40)/Aggressive!$D$26,0)&lt;1,0,IF(ROUNDDOWN((Q$35-$B40)/Aggressive!$D$26,0)&lt;2,0.5,IF(ROUNDDOWN((Q$35-$B40)/Aggressive!$D$26,0)&lt;3,0.75,IF(ROUNDDOWN((Q$35-$B40)/Aggressive!$D$26,0)&lt;4,0.875,0.9375)))))+HLOOKUP($B40,$C$35:$Q$36,2,FALSE)*Aggressive!$C$27*(1-IF(ROUNDDOWN((Q$35-$B40)/Aggressive!$D$27,0)&lt;1,0,IF(ROUNDDOWN((Q$35-$B40)/Aggressive!$D$27,0)&lt;2,0.5,IF(ROUNDDOWN((Q$35-$B40)/Aggressive!$D$27,0)&lt;3,0.75,IF(ROUNDDOWN((Q$35-$B40)/Aggressive!$D$27,0)&lt;4,0.875,0.9375)))))+HLOOKUP($B40,$C$35:$Q$36,2,FALSE)*Aggressive!$C$28*(1-IF(ROUNDDOWN((Q$35-$B40)/Aggressive!$D$28,0)&lt;1,0,IF(ROUNDDOWN((Q$35-$B40)/Aggressive!$D$28,0)&lt;2,0.5,IF(ROUNDDOWN((Q$35-$B40)/Aggressive!$D$28,0)&lt;3,0.75,IF(ROUNDDOWN((Q$35-$B40)/Aggressive!$D$28,0)&lt;4,0.875,0.9375)))))</f>
        <v>0</v>
      </c>
      <c r="R40" s="50"/>
    </row>
    <row r="41" spans="2:18" x14ac:dyDescent="0.3">
      <c r="B41" s="237">
        <f t="shared" si="9"/>
        <v>2017</v>
      </c>
      <c r="C41" s="135"/>
      <c r="D41" s="135"/>
      <c r="E41" s="135">
        <f>HLOOKUP($B41,$C$35:$Q$36,2,FALSE)*Aggressive!$C$23*(1-IF(ROUNDDOWN((E$35-$B41)/Aggressive!$D$23,0)&lt;1,0,IF(ROUNDDOWN((E$35-$B41)/Aggressive!$D$23,0)&lt;2,0.5,IF(ROUNDDOWN((E$35-$B41)/Aggressive!$D$23,0)&lt;3,0.75,IF(ROUNDDOWN((E$35-$B41)/Aggressive!$D$23,0)&lt;4,0.875,0.9375)))))+HLOOKUP($B41,$C$35:$Q$36,2,FALSE)*Aggressive!$C$24*(1-IF(ROUNDDOWN((E$35-$B41)/Aggressive!$D$24,0)&lt;1,0,IF(ROUNDDOWN((E$35-$B41)/Aggressive!$D$24,0)&lt;2,0.5,IF(ROUNDDOWN((E$35-$B41)/Aggressive!$D$24,0)&lt;3,0.75,IF(ROUNDDOWN((E$35-$B41)/Aggressive!$D$24,0)&lt;4,0.875,0.9375)))))+HLOOKUP($B41,$C$35:$Q$36,2,FALSE)*Aggressive!$C$25*(1-IF(ROUNDDOWN((E$35-$B41)/Aggressive!$D$25,0)&lt;1,0,IF(ROUNDDOWN((E$35-$B41)/Aggressive!$D$25,0)&lt;2,0.5,IF(ROUNDDOWN((E$35-$B41)/Aggressive!$D$25,0)&lt;3,0.75,IF(ROUNDDOWN((E$35-$B41)/Aggressive!$D$25,0)&lt;4,0.875,0.9375)))))+HLOOKUP($B41,$C$35:$Q$36,2,FALSE)*Aggressive!$C$26*(1-IF(ROUNDDOWN((E$35-$B41)/Aggressive!$D$26,0)&lt;1,0,IF(ROUNDDOWN((E$35-$B41)/Aggressive!$D$26,0)&lt;2,0.5,IF(ROUNDDOWN((E$35-$B41)/Aggressive!$D$26,0)&lt;3,0.75,IF(ROUNDDOWN((E$35-$B41)/Aggressive!$D$26,0)&lt;4,0.875,0.9375)))))+HLOOKUP($B41,$C$35:$Q$36,2,FALSE)*Aggressive!$C$27*(1-IF(ROUNDDOWN((E$35-$B41)/Aggressive!$D$27,0)&lt;1,0,IF(ROUNDDOWN((E$35-$B41)/Aggressive!$D$27,0)&lt;2,0.5,IF(ROUNDDOWN((E$35-$B41)/Aggressive!$D$27,0)&lt;3,0.75,IF(ROUNDDOWN((E$35-$B41)/Aggressive!$D$27,0)&lt;4,0.875,0.9375)))))+HLOOKUP($B41,$C$35:$Q$36,2,FALSE)*Aggressive!$C$28*(1-IF(ROUNDDOWN((E$35-$B41)/Aggressive!$D$28,0)&lt;1,0,IF(ROUNDDOWN((E$35-$B41)/Aggressive!$D$28,0)&lt;2,0.5,IF(ROUNDDOWN((E$35-$B41)/Aggressive!$D$28,0)&lt;3,0.75,IF(ROUNDDOWN((E$35-$B41)/Aggressive!$D$28,0)&lt;4,0.875,0.9375)))))</f>
        <v>0</v>
      </c>
      <c r="F41" s="135">
        <f>HLOOKUP($B41,$C$35:$Q$36,2,FALSE)*Aggressive!$C$23*(1-IF(ROUNDDOWN((F$35-$B41)/Aggressive!$D$23,0)&lt;1,0,IF(ROUNDDOWN((F$35-$B41)/Aggressive!$D$23,0)&lt;2,0.5,IF(ROUNDDOWN((F$35-$B41)/Aggressive!$D$23,0)&lt;3,0.75,IF(ROUNDDOWN((F$35-$B41)/Aggressive!$D$23,0)&lt;4,0.875,0.9375)))))+HLOOKUP($B41,$C$35:$Q$36,2,FALSE)*Aggressive!$C$24*(1-IF(ROUNDDOWN((F$35-$B41)/Aggressive!$D$24,0)&lt;1,0,IF(ROUNDDOWN((F$35-$B41)/Aggressive!$D$24,0)&lt;2,0.5,IF(ROUNDDOWN((F$35-$B41)/Aggressive!$D$24,0)&lt;3,0.75,IF(ROUNDDOWN((F$35-$B41)/Aggressive!$D$24,0)&lt;4,0.875,0.9375)))))+HLOOKUP($B41,$C$35:$Q$36,2,FALSE)*Aggressive!$C$25*(1-IF(ROUNDDOWN((F$35-$B41)/Aggressive!$D$25,0)&lt;1,0,IF(ROUNDDOWN((F$35-$B41)/Aggressive!$D$25,0)&lt;2,0.5,IF(ROUNDDOWN((F$35-$B41)/Aggressive!$D$25,0)&lt;3,0.75,IF(ROUNDDOWN((F$35-$B41)/Aggressive!$D$25,0)&lt;4,0.875,0.9375)))))+HLOOKUP($B41,$C$35:$Q$36,2,FALSE)*Aggressive!$C$26*(1-IF(ROUNDDOWN((F$35-$B41)/Aggressive!$D$26,0)&lt;1,0,IF(ROUNDDOWN((F$35-$B41)/Aggressive!$D$26,0)&lt;2,0.5,IF(ROUNDDOWN((F$35-$B41)/Aggressive!$D$26,0)&lt;3,0.75,IF(ROUNDDOWN((F$35-$B41)/Aggressive!$D$26,0)&lt;4,0.875,0.9375)))))+HLOOKUP($B41,$C$35:$Q$36,2,FALSE)*Aggressive!$C$27*(1-IF(ROUNDDOWN((F$35-$B41)/Aggressive!$D$27,0)&lt;1,0,IF(ROUNDDOWN((F$35-$B41)/Aggressive!$D$27,0)&lt;2,0.5,IF(ROUNDDOWN((F$35-$B41)/Aggressive!$D$27,0)&lt;3,0.75,IF(ROUNDDOWN((F$35-$B41)/Aggressive!$D$27,0)&lt;4,0.875,0.9375)))))+HLOOKUP($B41,$C$35:$Q$36,2,FALSE)*Aggressive!$C$28*(1-IF(ROUNDDOWN((F$35-$B41)/Aggressive!$D$28,0)&lt;1,0,IF(ROUNDDOWN((F$35-$B41)/Aggressive!$D$28,0)&lt;2,0.5,IF(ROUNDDOWN((F$35-$B41)/Aggressive!$D$28,0)&lt;3,0.75,IF(ROUNDDOWN((F$35-$B41)/Aggressive!$D$28,0)&lt;4,0.875,0.9375)))))</f>
        <v>0</v>
      </c>
      <c r="G41" s="135">
        <f>HLOOKUP($B41,$C$35:$Q$36,2,FALSE)*Aggressive!$C$23*(1-IF(ROUNDDOWN((G$35-$B41)/Aggressive!$D$23,0)&lt;1,0,IF(ROUNDDOWN((G$35-$B41)/Aggressive!$D$23,0)&lt;2,0.5,IF(ROUNDDOWN((G$35-$B41)/Aggressive!$D$23,0)&lt;3,0.75,IF(ROUNDDOWN((G$35-$B41)/Aggressive!$D$23,0)&lt;4,0.875,0.9375)))))+HLOOKUP($B41,$C$35:$Q$36,2,FALSE)*Aggressive!$C$24*(1-IF(ROUNDDOWN((G$35-$B41)/Aggressive!$D$24,0)&lt;1,0,IF(ROUNDDOWN((G$35-$B41)/Aggressive!$D$24,0)&lt;2,0.5,IF(ROUNDDOWN((G$35-$B41)/Aggressive!$D$24,0)&lt;3,0.75,IF(ROUNDDOWN((G$35-$B41)/Aggressive!$D$24,0)&lt;4,0.875,0.9375)))))+HLOOKUP($B41,$C$35:$Q$36,2,FALSE)*Aggressive!$C$25*(1-IF(ROUNDDOWN((G$35-$B41)/Aggressive!$D$25,0)&lt;1,0,IF(ROUNDDOWN((G$35-$B41)/Aggressive!$D$25,0)&lt;2,0.5,IF(ROUNDDOWN((G$35-$B41)/Aggressive!$D$25,0)&lt;3,0.75,IF(ROUNDDOWN((G$35-$B41)/Aggressive!$D$25,0)&lt;4,0.875,0.9375)))))+HLOOKUP($B41,$C$35:$Q$36,2,FALSE)*Aggressive!$C$26*(1-IF(ROUNDDOWN((G$35-$B41)/Aggressive!$D$26,0)&lt;1,0,IF(ROUNDDOWN((G$35-$B41)/Aggressive!$D$26,0)&lt;2,0.5,IF(ROUNDDOWN((G$35-$B41)/Aggressive!$D$26,0)&lt;3,0.75,IF(ROUNDDOWN((G$35-$B41)/Aggressive!$D$26,0)&lt;4,0.875,0.9375)))))+HLOOKUP($B41,$C$35:$Q$36,2,FALSE)*Aggressive!$C$27*(1-IF(ROUNDDOWN((G$35-$B41)/Aggressive!$D$27,0)&lt;1,0,IF(ROUNDDOWN((G$35-$B41)/Aggressive!$D$27,0)&lt;2,0.5,IF(ROUNDDOWN((G$35-$B41)/Aggressive!$D$27,0)&lt;3,0.75,IF(ROUNDDOWN((G$35-$B41)/Aggressive!$D$27,0)&lt;4,0.875,0.9375)))))+HLOOKUP($B41,$C$35:$Q$36,2,FALSE)*Aggressive!$C$28*(1-IF(ROUNDDOWN((G$35-$B41)/Aggressive!$D$28,0)&lt;1,0,IF(ROUNDDOWN((G$35-$B41)/Aggressive!$D$28,0)&lt;2,0.5,IF(ROUNDDOWN((G$35-$B41)/Aggressive!$D$28,0)&lt;3,0.75,IF(ROUNDDOWN((G$35-$B41)/Aggressive!$D$28,0)&lt;4,0.875,0.9375)))))</f>
        <v>0</v>
      </c>
      <c r="H41" s="135">
        <f>HLOOKUP($B41,$C$35:$Q$36,2,FALSE)*Aggressive!$C$23*(1-IF(ROUNDDOWN((H$35-$B41)/Aggressive!$D$23,0)&lt;1,0,IF(ROUNDDOWN((H$35-$B41)/Aggressive!$D$23,0)&lt;2,0.5,IF(ROUNDDOWN((H$35-$B41)/Aggressive!$D$23,0)&lt;3,0.75,IF(ROUNDDOWN((H$35-$B41)/Aggressive!$D$23,0)&lt;4,0.875,0.9375)))))+HLOOKUP($B41,$C$35:$Q$36,2,FALSE)*Aggressive!$C$24*(1-IF(ROUNDDOWN((H$35-$B41)/Aggressive!$D$24,0)&lt;1,0,IF(ROUNDDOWN((H$35-$B41)/Aggressive!$D$24,0)&lt;2,0.5,IF(ROUNDDOWN((H$35-$B41)/Aggressive!$D$24,0)&lt;3,0.75,IF(ROUNDDOWN((H$35-$B41)/Aggressive!$D$24,0)&lt;4,0.875,0.9375)))))+HLOOKUP($B41,$C$35:$Q$36,2,FALSE)*Aggressive!$C$25*(1-IF(ROUNDDOWN((H$35-$B41)/Aggressive!$D$25,0)&lt;1,0,IF(ROUNDDOWN((H$35-$B41)/Aggressive!$D$25,0)&lt;2,0.5,IF(ROUNDDOWN((H$35-$B41)/Aggressive!$D$25,0)&lt;3,0.75,IF(ROUNDDOWN((H$35-$B41)/Aggressive!$D$25,0)&lt;4,0.875,0.9375)))))+HLOOKUP($B41,$C$35:$Q$36,2,FALSE)*Aggressive!$C$26*(1-IF(ROUNDDOWN((H$35-$B41)/Aggressive!$D$26,0)&lt;1,0,IF(ROUNDDOWN((H$35-$B41)/Aggressive!$D$26,0)&lt;2,0.5,IF(ROUNDDOWN((H$35-$B41)/Aggressive!$D$26,0)&lt;3,0.75,IF(ROUNDDOWN((H$35-$B41)/Aggressive!$D$26,0)&lt;4,0.875,0.9375)))))+HLOOKUP($B41,$C$35:$Q$36,2,FALSE)*Aggressive!$C$27*(1-IF(ROUNDDOWN((H$35-$B41)/Aggressive!$D$27,0)&lt;1,0,IF(ROUNDDOWN((H$35-$B41)/Aggressive!$D$27,0)&lt;2,0.5,IF(ROUNDDOWN((H$35-$B41)/Aggressive!$D$27,0)&lt;3,0.75,IF(ROUNDDOWN((H$35-$B41)/Aggressive!$D$27,0)&lt;4,0.875,0.9375)))))+HLOOKUP($B41,$C$35:$Q$36,2,FALSE)*Aggressive!$C$28*(1-IF(ROUNDDOWN((H$35-$B41)/Aggressive!$D$28,0)&lt;1,0,IF(ROUNDDOWN((H$35-$B41)/Aggressive!$D$28,0)&lt;2,0.5,IF(ROUNDDOWN((H$35-$B41)/Aggressive!$D$28,0)&lt;3,0.75,IF(ROUNDDOWN((H$35-$B41)/Aggressive!$D$28,0)&lt;4,0.875,0.9375)))))</f>
        <v>0</v>
      </c>
      <c r="I41" s="135">
        <f>HLOOKUP($B41,$C$35:$Q$36,2,FALSE)*Aggressive!$C$23*(1-IF(ROUNDDOWN((I$35-$B41)/Aggressive!$D$23,0)&lt;1,0,IF(ROUNDDOWN((I$35-$B41)/Aggressive!$D$23,0)&lt;2,0.5,IF(ROUNDDOWN((I$35-$B41)/Aggressive!$D$23,0)&lt;3,0.75,IF(ROUNDDOWN((I$35-$B41)/Aggressive!$D$23,0)&lt;4,0.875,0.9375)))))+HLOOKUP($B41,$C$35:$Q$36,2,FALSE)*Aggressive!$C$24*(1-IF(ROUNDDOWN((I$35-$B41)/Aggressive!$D$24,0)&lt;1,0,IF(ROUNDDOWN((I$35-$B41)/Aggressive!$D$24,0)&lt;2,0.5,IF(ROUNDDOWN((I$35-$B41)/Aggressive!$D$24,0)&lt;3,0.75,IF(ROUNDDOWN((I$35-$B41)/Aggressive!$D$24,0)&lt;4,0.875,0.9375)))))+HLOOKUP($B41,$C$35:$Q$36,2,FALSE)*Aggressive!$C$25*(1-IF(ROUNDDOWN((I$35-$B41)/Aggressive!$D$25,0)&lt;1,0,IF(ROUNDDOWN((I$35-$B41)/Aggressive!$D$25,0)&lt;2,0.5,IF(ROUNDDOWN((I$35-$B41)/Aggressive!$D$25,0)&lt;3,0.75,IF(ROUNDDOWN((I$35-$B41)/Aggressive!$D$25,0)&lt;4,0.875,0.9375)))))+HLOOKUP($B41,$C$35:$Q$36,2,FALSE)*Aggressive!$C$26*(1-IF(ROUNDDOWN((I$35-$B41)/Aggressive!$D$26,0)&lt;1,0,IF(ROUNDDOWN((I$35-$B41)/Aggressive!$D$26,0)&lt;2,0.5,IF(ROUNDDOWN((I$35-$B41)/Aggressive!$D$26,0)&lt;3,0.75,IF(ROUNDDOWN((I$35-$B41)/Aggressive!$D$26,0)&lt;4,0.875,0.9375)))))+HLOOKUP($B41,$C$35:$Q$36,2,FALSE)*Aggressive!$C$27*(1-IF(ROUNDDOWN((I$35-$B41)/Aggressive!$D$27,0)&lt;1,0,IF(ROUNDDOWN((I$35-$B41)/Aggressive!$D$27,0)&lt;2,0.5,IF(ROUNDDOWN((I$35-$B41)/Aggressive!$D$27,0)&lt;3,0.75,IF(ROUNDDOWN((I$35-$B41)/Aggressive!$D$27,0)&lt;4,0.875,0.9375)))))+HLOOKUP($B41,$C$35:$Q$36,2,FALSE)*Aggressive!$C$28*(1-IF(ROUNDDOWN((I$35-$B41)/Aggressive!$D$28,0)&lt;1,0,IF(ROUNDDOWN((I$35-$B41)/Aggressive!$D$28,0)&lt;2,0.5,IF(ROUNDDOWN((I$35-$B41)/Aggressive!$D$28,0)&lt;3,0.75,IF(ROUNDDOWN((I$35-$B41)/Aggressive!$D$28,0)&lt;4,0.875,0.9375)))))</f>
        <v>0</v>
      </c>
      <c r="J41" s="135">
        <f>HLOOKUP($B41,$C$35:$Q$36,2,FALSE)*Aggressive!$C$23*(1-IF(ROUNDDOWN((J$35-$B41)/Aggressive!$D$23,0)&lt;1,0,IF(ROUNDDOWN((J$35-$B41)/Aggressive!$D$23,0)&lt;2,0.5,IF(ROUNDDOWN((J$35-$B41)/Aggressive!$D$23,0)&lt;3,0.75,IF(ROUNDDOWN((J$35-$B41)/Aggressive!$D$23,0)&lt;4,0.875,0.9375)))))+HLOOKUP($B41,$C$35:$Q$36,2,FALSE)*Aggressive!$C$24*(1-IF(ROUNDDOWN((J$35-$B41)/Aggressive!$D$24,0)&lt;1,0,IF(ROUNDDOWN((J$35-$B41)/Aggressive!$D$24,0)&lt;2,0.5,IF(ROUNDDOWN((J$35-$B41)/Aggressive!$D$24,0)&lt;3,0.75,IF(ROUNDDOWN((J$35-$B41)/Aggressive!$D$24,0)&lt;4,0.875,0.9375)))))+HLOOKUP($B41,$C$35:$Q$36,2,FALSE)*Aggressive!$C$25*(1-IF(ROUNDDOWN((J$35-$B41)/Aggressive!$D$25,0)&lt;1,0,IF(ROUNDDOWN((J$35-$B41)/Aggressive!$D$25,0)&lt;2,0.5,IF(ROUNDDOWN((J$35-$B41)/Aggressive!$D$25,0)&lt;3,0.75,IF(ROUNDDOWN((J$35-$B41)/Aggressive!$D$25,0)&lt;4,0.875,0.9375)))))+HLOOKUP($B41,$C$35:$Q$36,2,FALSE)*Aggressive!$C$26*(1-IF(ROUNDDOWN((J$35-$B41)/Aggressive!$D$26,0)&lt;1,0,IF(ROUNDDOWN((J$35-$B41)/Aggressive!$D$26,0)&lt;2,0.5,IF(ROUNDDOWN((J$35-$B41)/Aggressive!$D$26,0)&lt;3,0.75,IF(ROUNDDOWN((J$35-$B41)/Aggressive!$D$26,0)&lt;4,0.875,0.9375)))))+HLOOKUP($B41,$C$35:$Q$36,2,FALSE)*Aggressive!$C$27*(1-IF(ROUNDDOWN((J$35-$B41)/Aggressive!$D$27,0)&lt;1,0,IF(ROUNDDOWN((J$35-$B41)/Aggressive!$D$27,0)&lt;2,0.5,IF(ROUNDDOWN((J$35-$B41)/Aggressive!$D$27,0)&lt;3,0.75,IF(ROUNDDOWN((J$35-$B41)/Aggressive!$D$27,0)&lt;4,0.875,0.9375)))))+HLOOKUP($B41,$C$35:$Q$36,2,FALSE)*Aggressive!$C$28*(1-IF(ROUNDDOWN((J$35-$B41)/Aggressive!$D$28,0)&lt;1,0,IF(ROUNDDOWN((J$35-$B41)/Aggressive!$D$28,0)&lt;2,0.5,IF(ROUNDDOWN((J$35-$B41)/Aggressive!$D$28,0)&lt;3,0.75,IF(ROUNDDOWN((J$35-$B41)/Aggressive!$D$28,0)&lt;4,0.875,0.9375)))))</f>
        <v>0</v>
      </c>
      <c r="K41" s="135">
        <f>HLOOKUP($B41,$C$35:$Q$36,2,FALSE)*Aggressive!$C$23*(1-IF(ROUNDDOWN((K$35-$B41)/Aggressive!$D$23,0)&lt;1,0,IF(ROUNDDOWN((K$35-$B41)/Aggressive!$D$23,0)&lt;2,0.5,IF(ROUNDDOWN((K$35-$B41)/Aggressive!$D$23,0)&lt;3,0.75,IF(ROUNDDOWN((K$35-$B41)/Aggressive!$D$23,0)&lt;4,0.875,0.9375)))))+HLOOKUP($B41,$C$35:$Q$36,2,FALSE)*Aggressive!$C$24*(1-IF(ROUNDDOWN((K$35-$B41)/Aggressive!$D$24,0)&lt;1,0,IF(ROUNDDOWN((K$35-$B41)/Aggressive!$D$24,0)&lt;2,0.5,IF(ROUNDDOWN((K$35-$B41)/Aggressive!$D$24,0)&lt;3,0.75,IF(ROUNDDOWN((K$35-$B41)/Aggressive!$D$24,0)&lt;4,0.875,0.9375)))))+HLOOKUP($B41,$C$35:$Q$36,2,FALSE)*Aggressive!$C$25*(1-IF(ROUNDDOWN((K$35-$B41)/Aggressive!$D$25,0)&lt;1,0,IF(ROUNDDOWN((K$35-$B41)/Aggressive!$D$25,0)&lt;2,0.5,IF(ROUNDDOWN((K$35-$B41)/Aggressive!$D$25,0)&lt;3,0.75,IF(ROUNDDOWN((K$35-$B41)/Aggressive!$D$25,0)&lt;4,0.875,0.9375)))))+HLOOKUP($B41,$C$35:$Q$36,2,FALSE)*Aggressive!$C$26*(1-IF(ROUNDDOWN((K$35-$B41)/Aggressive!$D$26,0)&lt;1,0,IF(ROUNDDOWN((K$35-$B41)/Aggressive!$D$26,0)&lt;2,0.5,IF(ROUNDDOWN((K$35-$B41)/Aggressive!$D$26,0)&lt;3,0.75,IF(ROUNDDOWN((K$35-$B41)/Aggressive!$D$26,0)&lt;4,0.875,0.9375)))))+HLOOKUP($B41,$C$35:$Q$36,2,FALSE)*Aggressive!$C$27*(1-IF(ROUNDDOWN((K$35-$B41)/Aggressive!$D$27,0)&lt;1,0,IF(ROUNDDOWN((K$35-$B41)/Aggressive!$D$27,0)&lt;2,0.5,IF(ROUNDDOWN((K$35-$B41)/Aggressive!$D$27,0)&lt;3,0.75,IF(ROUNDDOWN((K$35-$B41)/Aggressive!$D$27,0)&lt;4,0.875,0.9375)))))+HLOOKUP($B41,$C$35:$Q$36,2,FALSE)*Aggressive!$C$28*(1-IF(ROUNDDOWN((K$35-$B41)/Aggressive!$D$28,0)&lt;1,0,IF(ROUNDDOWN((K$35-$B41)/Aggressive!$D$28,0)&lt;2,0.5,IF(ROUNDDOWN((K$35-$B41)/Aggressive!$D$28,0)&lt;3,0.75,IF(ROUNDDOWN((K$35-$B41)/Aggressive!$D$28,0)&lt;4,0.875,0.9375)))))</f>
        <v>0</v>
      </c>
      <c r="L41" s="135">
        <f>HLOOKUP($B41,$C$35:$Q$36,2,FALSE)*Aggressive!$C$23*(1-IF(ROUNDDOWN((L$35-$B41)/Aggressive!$D$23,0)&lt;1,0,IF(ROUNDDOWN((L$35-$B41)/Aggressive!$D$23,0)&lt;2,0.5,IF(ROUNDDOWN((L$35-$B41)/Aggressive!$D$23,0)&lt;3,0.75,IF(ROUNDDOWN((L$35-$B41)/Aggressive!$D$23,0)&lt;4,0.875,0.9375)))))+HLOOKUP($B41,$C$35:$Q$36,2,FALSE)*Aggressive!$C$24*(1-IF(ROUNDDOWN((L$35-$B41)/Aggressive!$D$24,0)&lt;1,0,IF(ROUNDDOWN((L$35-$B41)/Aggressive!$D$24,0)&lt;2,0.5,IF(ROUNDDOWN((L$35-$B41)/Aggressive!$D$24,0)&lt;3,0.75,IF(ROUNDDOWN((L$35-$B41)/Aggressive!$D$24,0)&lt;4,0.875,0.9375)))))+HLOOKUP($B41,$C$35:$Q$36,2,FALSE)*Aggressive!$C$25*(1-IF(ROUNDDOWN((L$35-$B41)/Aggressive!$D$25,0)&lt;1,0,IF(ROUNDDOWN((L$35-$B41)/Aggressive!$D$25,0)&lt;2,0.5,IF(ROUNDDOWN((L$35-$B41)/Aggressive!$D$25,0)&lt;3,0.75,IF(ROUNDDOWN((L$35-$B41)/Aggressive!$D$25,0)&lt;4,0.875,0.9375)))))+HLOOKUP($B41,$C$35:$Q$36,2,FALSE)*Aggressive!$C$26*(1-IF(ROUNDDOWN((L$35-$B41)/Aggressive!$D$26,0)&lt;1,0,IF(ROUNDDOWN((L$35-$B41)/Aggressive!$D$26,0)&lt;2,0.5,IF(ROUNDDOWN((L$35-$B41)/Aggressive!$D$26,0)&lt;3,0.75,IF(ROUNDDOWN((L$35-$B41)/Aggressive!$D$26,0)&lt;4,0.875,0.9375)))))+HLOOKUP($B41,$C$35:$Q$36,2,FALSE)*Aggressive!$C$27*(1-IF(ROUNDDOWN((L$35-$B41)/Aggressive!$D$27,0)&lt;1,0,IF(ROUNDDOWN((L$35-$B41)/Aggressive!$D$27,0)&lt;2,0.5,IF(ROUNDDOWN((L$35-$B41)/Aggressive!$D$27,0)&lt;3,0.75,IF(ROUNDDOWN((L$35-$B41)/Aggressive!$D$27,0)&lt;4,0.875,0.9375)))))+HLOOKUP($B41,$C$35:$Q$36,2,FALSE)*Aggressive!$C$28*(1-IF(ROUNDDOWN((L$35-$B41)/Aggressive!$D$28,0)&lt;1,0,IF(ROUNDDOWN((L$35-$B41)/Aggressive!$D$28,0)&lt;2,0.5,IF(ROUNDDOWN((L$35-$B41)/Aggressive!$D$28,0)&lt;3,0.75,IF(ROUNDDOWN((L$35-$B41)/Aggressive!$D$28,0)&lt;4,0.875,0.9375)))))</f>
        <v>0</v>
      </c>
      <c r="M41" s="135">
        <f>HLOOKUP($B41,$C$35:$Q$36,2,FALSE)*Aggressive!$C$23*(1-IF(ROUNDDOWN((M$35-$B41)/Aggressive!$D$23,0)&lt;1,0,IF(ROUNDDOWN((M$35-$B41)/Aggressive!$D$23,0)&lt;2,0.5,IF(ROUNDDOWN((M$35-$B41)/Aggressive!$D$23,0)&lt;3,0.75,IF(ROUNDDOWN((M$35-$B41)/Aggressive!$D$23,0)&lt;4,0.875,0.9375)))))+HLOOKUP($B41,$C$35:$Q$36,2,FALSE)*Aggressive!$C$24*(1-IF(ROUNDDOWN((M$35-$B41)/Aggressive!$D$24,0)&lt;1,0,IF(ROUNDDOWN((M$35-$B41)/Aggressive!$D$24,0)&lt;2,0.5,IF(ROUNDDOWN((M$35-$B41)/Aggressive!$D$24,0)&lt;3,0.75,IF(ROUNDDOWN((M$35-$B41)/Aggressive!$D$24,0)&lt;4,0.875,0.9375)))))+HLOOKUP($B41,$C$35:$Q$36,2,FALSE)*Aggressive!$C$25*(1-IF(ROUNDDOWN((M$35-$B41)/Aggressive!$D$25,0)&lt;1,0,IF(ROUNDDOWN((M$35-$B41)/Aggressive!$D$25,0)&lt;2,0.5,IF(ROUNDDOWN((M$35-$B41)/Aggressive!$D$25,0)&lt;3,0.75,IF(ROUNDDOWN((M$35-$B41)/Aggressive!$D$25,0)&lt;4,0.875,0.9375)))))+HLOOKUP($B41,$C$35:$Q$36,2,FALSE)*Aggressive!$C$26*(1-IF(ROUNDDOWN((M$35-$B41)/Aggressive!$D$26,0)&lt;1,0,IF(ROUNDDOWN((M$35-$B41)/Aggressive!$D$26,0)&lt;2,0.5,IF(ROUNDDOWN((M$35-$B41)/Aggressive!$D$26,0)&lt;3,0.75,IF(ROUNDDOWN((M$35-$B41)/Aggressive!$D$26,0)&lt;4,0.875,0.9375)))))+HLOOKUP($B41,$C$35:$Q$36,2,FALSE)*Aggressive!$C$27*(1-IF(ROUNDDOWN((M$35-$B41)/Aggressive!$D$27,0)&lt;1,0,IF(ROUNDDOWN((M$35-$B41)/Aggressive!$D$27,0)&lt;2,0.5,IF(ROUNDDOWN((M$35-$B41)/Aggressive!$D$27,0)&lt;3,0.75,IF(ROUNDDOWN((M$35-$B41)/Aggressive!$D$27,0)&lt;4,0.875,0.9375)))))+HLOOKUP($B41,$C$35:$Q$36,2,FALSE)*Aggressive!$C$28*(1-IF(ROUNDDOWN((M$35-$B41)/Aggressive!$D$28,0)&lt;1,0,IF(ROUNDDOWN((M$35-$B41)/Aggressive!$D$28,0)&lt;2,0.5,IF(ROUNDDOWN((M$35-$B41)/Aggressive!$D$28,0)&lt;3,0.75,IF(ROUNDDOWN((M$35-$B41)/Aggressive!$D$28,0)&lt;4,0.875,0.9375)))))</f>
        <v>0</v>
      </c>
      <c r="N41" s="135">
        <f>HLOOKUP($B41,$C$35:$Q$36,2,FALSE)*Aggressive!$C$23*(1-IF(ROUNDDOWN((N$35-$B41)/Aggressive!$D$23,0)&lt;1,0,IF(ROUNDDOWN((N$35-$B41)/Aggressive!$D$23,0)&lt;2,0.5,IF(ROUNDDOWN((N$35-$B41)/Aggressive!$D$23,0)&lt;3,0.75,IF(ROUNDDOWN((N$35-$B41)/Aggressive!$D$23,0)&lt;4,0.875,0.9375)))))+HLOOKUP($B41,$C$35:$Q$36,2,FALSE)*Aggressive!$C$24*(1-IF(ROUNDDOWN((N$35-$B41)/Aggressive!$D$24,0)&lt;1,0,IF(ROUNDDOWN((N$35-$B41)/Aggressive!$D$24,0)&lt;2,0.5,IF(ROUNDDOWN((N$35-$B41)/Aggressive!$D$24,0)&lt;3,0.75,IF(ROUNDDOWN((N$35-$B41)/Aggressive!$D$24,0)&lt;4,0.875,0.9375)))))+HLOOKUP($B41,$C$35:$Q$36,2,FALSE)*Aggressive!$C$25*(1-IF(ROUNDDOWN((N$35-$B41)/Aggressive!$D$25,0)&lt;1,0,IF(ROUNDDOWN((N$35-$B41)/Aggressive!$D$25,0)&lt;2,0.5,IF(ROUNDDOWN((N$35-$B41)/Aggressive!$D$25,0)&lt;3,0.75,IF(ROUNDDOWN((N$35-$B41)/Aggressive!$D$25,0)&lt;4,0.875,0.9375)))))+HLOOKUP($B41,$C$35:$Q$36,2,FALSE)*Aggressive!$C$26*(1-IF(ROUNDDOWN((N$35-$B41)/Aggressive!$D$26,0)&lt;1,0,IF(ROUNDDOWN((N$35-$B41)/Aggressive!$D$26,0)&lt;2,0.5,IF(ROUNDDOWN((N$35-$B41)/Aggressive!$D$26,0)&lt;3,0.75,IF(ROUNDDOWN((N$35-$B41)/Aggressive!$D$26,0)&lt;4,0.875,0.9375)))))+HLOOKUP($B41,$C$35:$Q$36,2,FALSE)*Aggressive!$C$27*(1-IF(ROUNDDOWN((N$35-$B41)/Aggressive!$D$27,0)&lt;1,0,IF(ROUNDDOWN((N$35-$B41)/Aggressive!$D$27,0)&lt;2,0.5,IF(ROUNDDOWN((N$35-$B41)/Aggressive!$D$27,0)&lt;3,0.75,IF(ROUNDDOWN((N$35-$B41)/Aggressive!$D$27,0)&lt;4,0.875,0.9375)))))+HLOOKUP($B41,$C$35:$Q$36,2,FALSE)*Aggressive!$C$28*(1-IF(ROUNDDOWN((N$35-$B41)/Aggressive!$D$28,0)&lt;1,0,IF(ROUNDDOWN((N$35-$B41)/Aggressive!$D$28,0)&lt;2,0.5,IF(ROUNDDOWN((N$35-$B41)/Aggressive!$D$28,0)&lt;3,0.75,IF(ROUNDDOWN((N$35-$B41)/Aggressive!$D$28,0)&lt;4,0.875,0.9375)))))</f>
        <v>0</v>
      </c>
      <c r="O41" s="135">
        <f>HLOOKUP($B41,$C$35:$Q$36,2,FALSE)*Aggressive!$C$23*(1-IF(ROUNDDOWN((O$35-$B41)/Aggressive!$D$23,0)&lt;1,0,IF(ROUNDDOWN((O$35-$B41)/Aggressive!$D$23,0)&lt;2,0.5,IF(ROUNDDOWN((O$35-$B41)/Aggressive!$D$23,0)&lt;3,0.75,IF(ROUNDDOWN((O$35-$B41)/Aggressive!$D$23,0)&lt;4,0.875,0.9375)))))+HLOOKUP($B41,$C$35:$Q$36,2,FALSE)*Aggressive!$C$24*(1-IF(ROUNDDOWN((O$35-$B41)/Aggressive!$D$24,0)&lt;1,0,IF(ROUNDDOWN((O$35-$B41)/Aggressive!$D$24,0)&lt;2,0.5,IF(ROUNDDOWN((O$35-$B41)/Aggressive!$D$24,0)&lt;3,0.75,IF(ROUNDDOWN((O$35-$B41)/Aggressive!$D$24,0)&lt;4,0.875,0.9375)))))+HLOOKUP($B41,$C$35:$Q$36,2,FALSE)*Aggressive!$C$25*(1-IF(ROUNDDOWN((O$35-$B41)/Aggressive!$D$25,0)&lt;1,0,IF(ROUNDDOWN((O$35-$B41)/Aggressive!$D$25,0)&lt;2,0.5,IF(ROUNDDOWN((O$35-$B41)/Aggressive!$D$25,0)&lt;3,0.75,IF(ROUNDDOWN((O$35-$B41)/Aggressive!$D$25,0)&lt;4,0.875,0.9375)))))+HLOOKUP($B41,$C$35:$Q$36,2,FALSE)*Aggressive!$C$26*(1-IF(ROUNDDOWN((O$35-$B41)/Aggressive!$D$26,0)&lt;1,0,IF(ROUNDDOWN((O$35-$B41)/Aggressive!$D$26,0)&lt;2,0.5,IF(ROUNDDOWN((O$35-$B41)/Aggressive!$D$26,0)&lt;3,0.75,IF(ROUNDDOWN((O$35-$B41)/Aggressive!$D$26,0)&lt;4,0.875,0.9375)))))+HLOOKUP($B41,$C$35:$Q$36,2,FALSE)*Aggressive!$C$27*(1-IF(ROUNDDOWN((O$35-$B41)/Aggressive!$D$27,0)&lt;1,0,IF(ROUNDDOWN((O$35-$B41)/Aggressive!$D$27,0)&lt;2,0.5,IF(ROUNDDOWN((O$35-$B41)/Aggressive!$D$27,0)&lt;3,0.75,IF(ROUNDDOWN((O$35-$B41)/Aggressive!$D$27,0)&lt;4,0.875,0.9375)))))+HLOOKUP($B41,$C$35:$Q$36,2,FALSE)*Aggressive!$C$28*(1-IF(ROUNDDOWN((O$35-$B41)/Aggressive!$D$28,0)&lt;1,0,IF(ROUNDDOWN((O$35-$B41)/Aggressive!$D$28,0)&lt;2,0.5,IF(ROUNDDOWN((O$35-$B41)/Aggressive!$D$28,0)&lt;3,0.75,IF(ROUNDDOWN((O$35-$B41)/Aggressive!$D$28,0)&lt;4,0.875,0.9375)))))</f>
        <v>0</v>
      </c>
      <c r="P41" s="135">
        <f>HLOOKUP($B41,$C$35:$Q$36,2,FALSE)*Aggressive!$C$23*(1-IF(ROUNDDOWN((P$35-$B41)/Aggressive!$D$23,0)&lt;1,0,IF(ROUNDDOWN((P$35-$B41)/Aggressive!$D$23,0)&lt;2,0.5,IF(ROUNDDOWN((P$35-$B41)/Aggressive!$D$23,0)&lt;3,0.75,IF(ROUNDDOWN((P$35-$B41)/Aggressive!$D$23,0)&lt;4,0.875,0.9375)))))+HLOOKUP($B41,$C$35:$Q$36,2,FALSE)*Aggressive!$C$24*(1-IF(ROUNDDOWN((P$35-$B41)/Aggressive!$D$24,0)&lt;1,0,IF(ROUNDDOWN((P$35-$B41)/Aggressive!$D$24,0)&lt;2,0.5,IF(ROUNDDOWN((P$35-$B41)/Aggressive!$D$24,0)&lt;3,0.75,IF(ROUNDDOWN((P$35-$B41)/Aggressive!$D$24,0)&lt;4,0.875,0.9375)))))+HLOOKUP($B41,$C$35:$Q$36,2,FALSE)*Aggressive!$C$25*(1-IF(ROUNDDOWN((P$35-$B41)/Aggressive!$D$25,0)&lt;1,0,IF(ROUNDDOWN((P$35-$B41)/Aggressive!$D$25,0)&lt;2,0.5,IF(ROUNDDOWN((P$35-$B41)/Aggressive!$D$25,0)&lt;3,0.75,IF(ROUNDDOWN((P$35-$B41)/Aggressive!$D$25,0)&lt;4,0.875,0.9375)))))+HLOOKUP($B41,$C$35:$Q$36,2,FALSE)*Aggressive!$C$26*(1-IF(ROUNDDOWN((P$35-$B41)/Aggressive!$D$26,0)&lt;1,0,IF(ROUNDDOWN((P$35-$B41)/Aggressive!$D$26,0)&lt;2,0.5,IF(ROUNDDOWN((P$35-$B41)/Aggressive!$D$26,0)&lt;3,0.75,IF(ROUNDDOWN((P$35-$B41)/Aggressive!$D$26,0)&lt;4,0.875,0.9375)))))+HLOOKUP($B41,$C$35:$Q$36,2,FALSE)*Aggressive!$C$27*(1-IF(ROUNDDOWN((P$35-$B41)/Aggressive!$D$27,0)&lt;1,0,IF(ROUNDDOWN((P$35-$B41)/Aggressive!$D$27,0)&lt;2,0.5,IF(ROUNDDOWN((P$35-$B41)/Aggressive!$D$27,0)&lt;3,0.75,IF(ROUNDDOWN((P$35-$B41)/Aggressive!$D$27,0)&lt;4,0.875,0.9375)))))+HLOOKUP($B41,$C$35:$Q$36,2,FALSE)*Aggressive!$C$28*(1-IF(ROUNDDOWN((P$35-$B41)/Aggressive!$D$28,0)&lt;1,0,IF(ROUNDDOWN((P$35-$B41)/Aggressive!$D$28,0)&lt;2,0.5,IF(ROUNDDOWN((P$35-$B41)/Aggressive!$D$28,0)&lt;3,0.75,IF(ROUNDDOWN((P$35-$B41)/Aggressive!$D$28,0)&lt;4,0.875,0.9375)))))</f>
        <v>0</v>
      </c>
      <c r="Q41" s="135">
        <f>HLOOKUP($B41,$C$35:$Q$36,2,FALSE)*Aggressive!$C$23*(1-IF(ROUNDDOWN((Q$35-$B41)/Aggressive!$D$23,0)&lt;1,0,IF(ROUNDDOWN((Q$35-$B41)/Aggressive!$D$23,0)&lt;2,0.5,IF(ROUNDDOWN((Q$35-$B41)/Aggressive!$D$23,0)&lt;3,0.75,IF(ROUNDDOWN((Q$35-$B41)/Aggressive!$D$23,0)&lt;4,0.875,0.9375)))))+HLOOKUP($B41,$C$35:$Q$36,2,FALSE)*Aggressive!$C$24*(1-IF(ROUNDDOWN((Q$35-$B41)/Aggressive!$D$24,0)&lt;1,0,IF(ROUNDDOWN((Q$35-$B41)/Aggressive!$D$24,0)&lt;2,0.5,IF(ROUNDDOWN((Q$35-$B41)/Aggressive!$D$24,0)&lt;3,0.75,IF(ROUNDDOWN((Q$35-$B41)/Aggressive!$D$24,0)&lt;4,0.875,0.9375)))))+HLOOKUP($B41,$C$35:$Q$36,2,FALSE)*Aggressive!$C$25*(1-IF(ROUNDDOWN((Q$35-$B41)/Aggressive!$D$25,0)&lt;1,0,IF(ROUNDDOWN((Q$35-$B41)/Aggressive!$D$25,0)&lt;2,0.5,IF(ROUNDDOWN((Q$35-$B41)/Aggressive!$D$25,0)&lt;3,0.75,IF(ROUNDDOWN((Q$35-$B41)/Aggressive!$D$25,0)&lt;4,0.875,0.9375)))))+HLOOKUP($B41,$C$35:$Q$36,2,FALSE)*Aggressive!$C$26*(1-IF(ROUNDDOWN((Q$35-$B41)/Aggressive!$D$26,0)&lt;1,0,IF(ROUNDDOWN((Q$35-$B41)/Aggressive!$D$26,0)&lt;2,0.5,IF(ROUNDDOWN((Q$35-$B41)/Aggressive!$D$26,0)&lt;3,0.75,IF(ROUNDDOWN((Q$35-$B41)/Aggressive!$D$26,0)&lt;4,0.875,0.9375)))))+HLOOKUP($B41,$C$35:$Q$36,2,FALSE)*Aggressive!$C$27*(1-IF(ROUNDDOWN((Q$35-$B41)/Aggressive!$D$27,0)&lt;1,0,IF(ROUNDDOWN((Q$35-$B41)/Aggressive!$D$27,0)&lt;2,0.5,IF(ROUNDDOWN((Q$35-$B41)/Aggressive!$D$27,0)&lt;3,0.75,IF(ROUNDDOWN((Q$35-$B41)/Aggressive!$D$27,0)&lt;4,0.875,0.9375)))))+HLOOKUP($B41,$C$35:$Q$36,2,FALSE)*Aggressive!$C$28*(1-IF(ROUNDDOWN((Q$35-$B41)/Aggressive!$D$28,0)&lt;1,0,IF(ROUNDDOWN((Q$35-$B41)/Aggressive!$D$28,0)&lt;2,0.5,IF(ROUNDDOWN((Q$35-$B41)/Aggressive!$D$28,0)&lt;3,0.75,IF(ROUNDDOWN((Q$35-$B41)/Aggressive!$D$28,0)&lt;4,0.875,0.9375)))))</f>
        <v>0</v>
      </c>
      <c r="R41" s="50"/>
    </row>
    <row r="42" spans="2:18" x14ac:dyDescent="0.3">
      <c r="B42" s="237">
        <f t="shared" si="9"/>
        <v>2018</v>
      </c>
      <c r="C42" s="135"/>
      <c r="D42" s="135"/>
      <c r="E42" s="135"/>
      <c r="F42" s="135">
        <f>HLOOKUP($B42,$C$35:$Q$36,2,FALSE)*Aggressive!$C$23*(1-IF(ROUNDDOWN((F$35-$B42)/Aggressive!$D$23,0)&lt;1,0,IF(ROUNDDOWN((F$35-$B42)/Aggressive!$D$23,0)&lt;2,0.5,IF(ROUNDDOWN((F$35-$B42)/Aggressive!$D$23,0)&lt;3,0.75,IF(ROUNDDOWN((F$35-$B42)/Aggressive!$D$23,0)&lt;4,0.875,0.9375)))))+HLOOKUP($B42,$C$35:$Q$36,2,FALSE)*Aggressive!$C$24*(1-IF(ROUNDDOWN((F$35-$B42)/Aggressive!$D$24,0)&lt;1,0,IF(ROUNDDOWN((F$35-$B42)/Aggressive!$D$24,0)&lt;2,0.5,IF(ROUNDDOWN((F$35-$B42)/Aggressive!$D$24,0)&lt;3,0.75,IF(ROUNDDOWN((F$35-$B42)/Aggressive!$D$24,0)&lt;4,0.875,0.9375)))))+HLOOKUP($B42,$C$35:$Q$36,2,FALSE)*Aggressive!$C$25*(1-IF(ROUNDDOWN((F$35-$B42)/Aggressive!$D$25,0)&lt;1,0,IF(ROUNDDOWN((F$35-$B42)/Aggressive!$D$25,0)&lt;2,0.5,IF(ROUNDDOWN((F$35-$B42)/Aggressive!$D$25,0)&lt;3,0.75,IF(ROUNDDOWN((F$35-$B42)/Aggressive!$D$25,0)&lt;4,0.875,0.9375)))))+HLOOKUP($B42,$C$35:$Q$36,2,FALSE)*Aggressive!$C$26*(1-IF(ROUNDDOWN((F$35-$B42)/Aggressive!$D$26,0)&lt;1,0,IF(ROUNDDOWN((F$35-$B42)/Aggressive!$D$26,0)&lt;2,0.5,IF(ROUNDDOWN((F$35-$B42)/Aggressive!$D$26,0)&lt;3,0.75,IF(ROUNDDOWN((F$35-$B42)/Aggressive!$D$26,0)&lt;4,0.875,0.9375)))))+HLOOKUP($B42,$C$35:$Q$36,2,FALSE)*Aggressive!$C$27*(1-IF(ROUNDDOWN((F$35-$B42)/Aggressive!$D$27,0)&lt;1,0,IF(ROUNDDOWN((F$35-$B42)/Aggressive!$D$27,0)&lt;2,0.5,IF(ROUNDDOWN((F$35-$B42)/Aggressive!$D$27,0)&lt;3,0.75,IF(ROUNDDOWN((F$35-$B42)/Aggressive!$D$27,0)&lt;4,0.875,0.9375)))))+HLOOKUP($B42,$C$35:$Q$36,2,FALSE)*Aggressive!$C$28*(1-IF(ROUNDDOWN((F$35-$B42)/Aggressive!$D$28,0)&lt;1,0,IF(ROUNDDOWN((F$35-$B42)/Aggressive!$D$28,0)&lt;2,0.5,IF(ROUNDDOWN((F$35-$B42)/Aggressive!$D$28,0)&lt;3,0.75,IF(ROUNDDOWN((F$35-$B42)/Aggressive!$D$28,0)&lt;4,0.875,0.9375)))))</f>
        <v>0</v>
      </c>
      <c r="G42" s="135">
        <f>HLOOKUP($B42,$C$35:$Q$36,2,FALSE)*Aggressive!$C$23*(1-IF(ROUNDDOWN((G$35-$B42)/Aggressive!$D$23,0)&lt;1,0,IF(ROUNDDOWN((G$35-$B42)/Aggressive!$D$23,0)&lt;2,0.5,IF(ROUNDDOWN((G$35-$B42)/Aggressive!$D$23,0)&lt;3,0.75,IF(ROUNDDOWN((G$35-$B42)/Aggressive!$D$23,0)&lt;4,0.875,0.9375)))))+HLOOKUP($B42,$C$35:$Q$36,2,FALSE)*Aggressive!$C$24*(1-IF(ROUNDDOWN((G$35-$B42)/Aggressive!$D$24,0)&lt;1,0,IF(ROUNDDOWN((G$35-$B42)/Aggressive!$D$24,0)&lt;2,0.5,IF(ROUNDDOWN((G$35-$B42)/Aggressive!$D$24,0)&lt;3,0.75,IF(ROUNDDOWN((G$35-$B42)/Aggressive!$D$24,0)&lt;4,0.875,0.9375)))))+HLOOKUP($B42,$C$35:$Q$36,2,FALSE)*Aggressive!$C$25*(1-IF(ROUNDDOWN((G$35-$B42)/Aggressive!$D$25,0)&lt;1,0,IF(ROUNDDOWN((G$35-$B42)/Aggressive!$D$25,0)&lt;2,0.5,IF(ROUNDDOWN((G$35-$B42)/Aggressive!$D$25,0)&lt;3,0.75,IF(ROUNDDOWN((G$35-$B42)/Aggressive!$D$25,0)&lt;4,0.875,0.9375)))))+HLOOKUP($B42,$C$35:$Q$36,2,FALSE)*Aggressive!$C$26*(1-IF(ROUNDDOWN((G$35-$B42)/Aggressive!$D$26,0)&lt;1,0,IF(ROUNDDOWN((G$35-$B42)/Aggressive!$D$26,0)&lt;2,0.5,IF(ROUNDDOWN((G$35-$B42)/Aggressive!$D$26,0)&lt;3,0.75,IF(ROUNDDOWN((G$35-$B42)/Aggressive!$D$26,0)&lt;4,0.875,0.9375)))))+HLOOKUP($B42,$C$35:$Q$36,2,FALSE)*Aggressive!$C$27*(1-IF(ROUNDDOWN((G$35-$B42)/Aggressive!$D$27,0)&lt;1,0,IF(ROUNDDOWN((G$35-$B42)/Aggressive!$D$27,0)&lt;2,0.5,IF(ROUNDDOWN((G$35-$B42)/Aggressive!$D$27,0)&lt;3,0.75,IF(ROUNDDOWN((G$35-$B42)/Aggressive!$D$27,0)&lt;4,0.875,0.9375)))))+HLOOKUP($B42,$C$35:$Q$36,2,FALSE)*Aggressive!$C$28*(1-IF(ROUNDDOWN((G$35-$B42)/Aggressive!$D$28,0)&lt;1,0,IF(ROUNDDOWN((G$35-$B42)/Aggressive!$D$28,0)&lt;2,0.5,IF(ROUNDDOWN((G$35-$B42)/Aggressive!$D$28,0)&lt;3,0.75,IF(ROUNDDOWN((G$35-$B42)/Aggressive!$D$28,0)&lt;4,0.875,0.9375)))))</f>
        <v>0</v>
      </c>
      <c r="H42" s="135">
        <f>HLOOKUP($B42,$C$35:$Q$36,2,FALSE)*Aggressive!$C$23*(1-IF(ROUNDDOWN((H$35-$B42)/Aggressive!$D$23,0)&lt;1,0,IF(ROUNDDOWN((H$35-$B42)/Aggressive!$D$23,0)&lt;2,0.5,IF(ROUNDDOWN((H$35-$B42)/Aggressive!$D$23,0)&lt;3,0.75,IF(ROUNDDOWN((H$35-$B42)/Aggressive!$D$23,0)&lt;4,0.875,0.9375)))))+HLOOKUP($B42,$C$35:$Q$36,2,FALSE)*Aggressive!$C$24*(1-IF(ROUNDDOWN((H$35-$B42)/Aggressive!$D$24,0)&lt;1,0,IF(ROUNDDOWN((H$35-$B42)/Aggressive!$D$24,0)&lt;2,0.5,IF(ROUNDDOWN((H$35-$B42)/Aggressive!$D$24,0)&lt;3,0.75,IF(ROUNDDOWN((H$35-$B42)/Aggressive!$D$24,0)&lt;4,0.875,0.9375)))))+HLOOKUP($B42,$C$35:$Q$36,2,FALSE)*Aggressive!$C$25*(1-IF(ROUNDDOWN((H$35-$B42)/Aggressive!$D$25,0)&lt;1,0,IF(ROUNDDOWN((H$35-$B42)/Aggressive!$D$25,0)&lt;2,0.5,IF(ROUNDDOWN((H$35-$B42)/Aggressive!$D$25,0)&lt;3,0.75,IF(ROUNDDOWN((H$35-$B42)/Aggressive!$D$25,0)&lt;4,0.875,0.9375)))))+HLOOKUP($B42,$C$35:$Q$36,2,FALSE)*Aggressive!$C$26*(1-IF(ROUNDDOWN((H$35-$B42)/Aggressive!$D$26,0)&lt;1,0,IF(ROUNDDOWN((H$35-$B42)/Aggressive!$D$26,0)&lt;2,0.5,IF(ROUNDDOWN((H$35-$B42)/Aggressive!$D$26,0)&lt;3,0.75,IF(ROUNDDOWN((H$35-$B42)/Aggressive!$D$26,0)&lt;4,0.875,0.9375)))))+HLOOKUP($B42,$C$35:$Q$36,2,FALSE)*Aggressive!$C$27*(1-IF(ROUNDDOWN((H$35-$B42)/Aggressive!$D$27,0)&lt;1,0,IF(ROUNDDOWN((H$35-$B42)/Aggressive!$D$27,0)&lt;2,0.5,IF(ROUNDDOWN((H$35-$B42)/Aggressive!$D$27,0)&lt;3,0.75,IF(ROUNDDOWN((H$35-$B42)/Aggressive!$D$27,0)&lt;4,0.875,0.9375)))))+HLOOKUP($B42,$C$35:$Q$36,2,FALSE)*Aggressive!$C$28*(1-IF(ROUNDDOWN((H$35-$B42)/Aggressive!$D$28,0)&lt;1,0,IF(ROUNDDOWN((H$35-$B42)/Aggressive!$D$28,0)&lt;2,0.5,IF(ROUNDDOWN((H$35-$B42)/Aggressive!$D$28,0)&lt;3,0.75,IF(ROUNDDOWN((H$35-$B42)/Aggressive!$D$28,0)&lt;4,0.875,0.9375)))))</f>
        <v>0</v>
      </c>
      <c r="I42" s="135">
        <f>HLOOKUP($B42,$C$35:$Q$36,2,FALSE)*Aggressive!$C$23*(1-IF(ROUNDDOWN((I$35-$B42)/Aggressive!$D$23,0)&lt;1,0,IF(ROUNDDOWN((I$35-$B42)/Aggressive!$D$23,0)&lt;2,0.5,IF(ROUNDDOWN((I$35-$B42)/Aggressive!$D$23,0)&lt;3,0.75,IF(ROUNDDOWN((I$35-$B42)/Aggressive!$D$23,0)&lt;4,0.875,0.9375)))))+HLOOKUP($B42,$C$35:$Q$36,2,FALSE)*Aggressive!$C$24*(1-IF(ROUNDDOWN((I$35-$B42)/Aggressive!$D$24,0)&lt;1,0,IF(ROUNDDOWN((I$35-$B42)/Aggressive!$D$24,0)&lt;2,0.5,IF(ROUNDDOWN((I$35-$B42)/Aggressive!$D$24,0)&lt;3,0.75,IF(ROUNDDOWN((I$35-$B42)/Aggressive!$D$24,0)&lt;4,0.875,0.9375)))))+HLOOKUP($B42,$C$35:$Q$36,2,FALSE)*Aggressive!$C$25*(1-IF(ROUNDDOWN((I$35-$B42)/Aggressive!$D$25,0)&lt;1,0,IF(ROUNDDOWN((I$35-$B42)/Aggressive!$D$25,0)&lt;2,0.5,IF(ROUNDDOWN((I$35-$B42)/Aggressive!$D$25,0)&lt;3,0.75,IF(ROUNDDOWN((I$35-$B42)/Aggressive!$D$25,0)&lt;4,0.875,0.9375)))))+HLOOKUP($B42,$C$35:$Q$36,2,FALSE)*Aggressive!$C$26*(1-IF(ROUNDDOWN((I$35-$B42)/Aggressive!$D$26,0)&lt;1,0,IF(ROUNDDOWN((I$35-$B42)/Aggressive!$D$26,0)&lt;2,0.5,IF(ROUNDDOWN((I$35-$B42)/Aggressive!$D$26,0)&lt;3,0.75,IF(ROUNDDOWN((I$35-$B42)/Aggressive!$D$26,0)&lt;4,0.875,0.9375)))))+HLOOKUP($B42,$C$35:$Q$36,2,FALSE)*Aggressive!$C$27*(1-IF(ROUNDDOWN((I$35-$B42)/Aggressive!$D$27,0)&lt;1,0,IF(ROUNDDOWN((I$35-$B42)/Aggressive!$D$27,0)&lt;2,0.5,IF(ROUNDDOWN((I$35-$B42)/Aggressive!$D$27,0)&lt;3,0.75,IF(ROUNDDOWN((I$35-$B42)/Aggressive!$D$27,0)&lt;4,0.875,0.9375)))))+HLOOKUP($B42,$C$35:$Q$36,2,FALSE)*Aggressive!$C$28*(1-IF(ROUNDDOWN((I$35-$B42)/Aggressive!$D$28,0)&lt;1,0,IF(ROUNDDOWN((I$35-$B42)/Aggressive!$D$28,0)&lt;2,0.5,IF(ROUNDDOWN((I$35-$B42)/Aggressive!$D$28,0)&lt;3,0.75,IF(ROUNDDOWN((I$35-$B42)/Aggressive!$D$28,0)&lt;4,0.875,0.9375)))))</f>
        <v>0</v>
      </c>
      <c r="J42" s="135">
        <f>HLOOKUP($B42,$C$35:$Q$36,2,FALSE)*Aggressive!$C$23*(1-IF(ROUNDDOWN((J$35-$B42)/Aggressive!$D$23,0)&lt;1,0,IF(ROUNDDOWN((J$35-$B42)/Aggressive!$D$23,0)&lt;2,0.5,IF(ROUNDDOWN((J$35-$B42)/Aggressive!$D$23,0)&lt;3,0.75,IF(ROUNDDOWN((J$35-$B42)/Aggressive!$D$23,0)&lt;4,0.875,0.9375)))))+HLOOKUP($B42,$C$35:$Q$36,2,FALSE)*Aggressive!$C$24*(1-IF(ROUNDDOWN((J$35-$B42)/Aggressive!$D$24,0)&lt;1,0,IF(ROUNDDOWN((J$35-$B42)/Aggressive!$D$24,0)&lt;2,0.5,IF(ROUNDDOWN((J$35-$B42)/Aggressive!$D$24,0)&lt;3,0.75,IF(ROUNDDOWN((J$35-$B42)/Aggressive!$D$24,0)&lt;4,0.875,0.9375)))))+HLOOKUP($B42,$C$35:$Q$36,2,FALSE)*Aggressive!$C$25*(1-IF(ROUNDDOWN((J$35-$B42)/Aggressive!$D$25,0)&lt;1,0,IF(ROUNDDOWN((J$35-$B42)/Aggressive!$D$25,0)&lt;2,0.5,IF(ROUNDDOWN((J$35-$B42)/Aggressive!$D$25,0)&lt;3,0.75,IF(ROUNDDOWN((J$35-$B42)/Aggressive!$D$25,0)&lt;4,0.875,0.9375)))))+HLOOKUP($B42,$C$35:$Q$36,2,FALSE)*Aggressive!$C$26*(1-IF(ROUNDDOWN((J$35-$B42)/Aggressive!$D$26,0)&lt;1,0,IF(ROUNDDOWN((J$35-$B42)/Aggressive!$D$26,0)&lt;2,0.5,IF(ROUNDDOWN((J$35-$B42)/Aggressive!$D$26,0)&lt;3,0.75,IF(ROUNDDOWN((J$35-$B42)/Aggressive!$D$26,0)&lt;4,0.875,0.9375)))))+HLOOKUP($B42,$C$35:$Q$36,2,FALSE)*Aggressive!$C$27*(1-IF(ROUNDDOWN((J$35-$B42)/Aggressive!$D$27,0)&lt;1,0,IF(ROUNDDOWN((J$35-$B42)/Aggressive!$D$27,0)&lt;2,0.5,IF(ROUNDDOWN((J$35-$B42)/Aggressive!$D$27,0)&lt;3,0.75,IF(ROUNDDOWN((J$35-$B42)/Aggressive!$D$27,0)&lt;4,0.875,0.9375)))))+HLOOKUP($B42,$C$35:$Q$36,2,FALSE)*Aggressive!$C$28*(1-IF(ROUNDDOWN((J$35-$B42)/Aggressive!$D$28,0)&lt;1,0,IF(ROUNDDOWN((J$35-$B42)/Aggressive!$D$28,0)&lt;2,0.5,IF(ROUNDDOWN((J$35-$B42)/Aggressive!$D$28,0)&lt;3,0.75,IF(ROUNDDOWN((J$35-$B42)/Aggressive!$D$28,0)&lt;4,0.875,0.9375)))))</f>
        <v>0</v>
      </c>
      <c r="K42" s="135">
        <f>HLOOKUP($B42,$C$35:$Q$36,2,FALSE)*Aggressive!$C$23*(1-IF(ROUNDDOWN((K$35-$B42)/Aggressive!$D$23,0)&lt;1,0,IF(ROUNDDOWN((K$35-$B42)/Aggressive!$D$23,0)&lt;2,0.5,IF(ROUNDDOWN((K$35-$B42)/Aggressive!$D$23,0)&lt;3,0.75,IF(ROUNDDOWN((K$35-$B42)/Aggressive!$D$23,0)&lt;4,0.875,0.9375)))))+HLOOKUP($B42,$C$35:$Q$36,2,FALSE)*Aggressive!$C$24*(1-IF(ROUNDDOWN((K$35-$B42)/Aggressive!$D$24,0)&lt;1,0,IF(ROUNDDOWN((K$35-$B42)/Aggressive!$D$24,0)&lt;2,0.5,IF(ROUNDDOWN((K$35-$B42)/Aggressive!$D$24,0)&lt;3,0.75,IF(ROUNDDOWN((K$35-$B42)/Aggressive!$D$24,0)&lt;4,0.875,0.9375)))))+HLOOKUP($B42,$C$35:$Q$36,2,FALSE)*Aggressive!$C$25*(1-IF(ROUNDDOWN((K$35-$B42)/Aggressive!$D$25,0)&lt;1,0,IF(ROUNDDOWN((K$35-$B42)/Aggressive!$D$25,0)&lt;2,0.5,IF(ROUNDDOWN((K$35-$B42)/Aggressive!$D$25,0)&lt;3,0.75,IF(ROUNDDOWN((K$35-$B42)/Aggressive!$D$25,0)&lt;4,0.875,0.9375)))))+HLOOKUP($B42,$C$35:$Q$36,2,FALSE)*Aggressive!$C$26*(1-IF(ROUNDDOWN((K$35-$B42)/Aggressive!$D$26,0)&lt;1,0,IF(ROUNDDOWN((K$35-$B42)/Aggressive!$D$26,0)&lt;2,0.5,IF(ROUNDDOWN((K$35-$B42)/Aggressive!$D$26,0)&lt;3,0.75,IF(ROUNDDOWN((K$35-$B42)/Aggressive!$D$26,0)&lt;4,0.875,0.9375)))))+HLOOKUP($B42,$C$35:$Q$36,2,FALSE)*Aggressive!$C$27*(1-IF(ROUNDDOWN((K$35-$B42)/Aggressive!$D$27,0)&lt;1,0,IF(ROUNDDOWN((K$35-$B42)/Aggressive!$D$27,0)&lt;2,0.5,IF(ROUNDDOWN((K$35-$B42)/Aggressive!$D$27,0)&lt;3,0.75,IF(ROUNDDOWN((K$35-$B42)/Aggressive!$D$27,0)&lt;4,0.875,0.9375)))))+HLOOKUP($B42,$C$35:$Q$36,2,FALSE)*Aggressive!$C$28*(1-IF(ROUNDDOWN((K$35-$B42)/Aggressive!$D$28,0)&lt;1,0,IF(ROUNDDOWN((K$35-$B42)/Aggressive!$D$28,0)&lt;2,0.5,IF(ROUNDDOWN((K$35-$B42)/Aggressive!$D$28,0)&lt;3,0.75,IF(ROUNDDOWN((K$35-$B42)/Aggressive!$D$28,0)&lt;4,0.875,0.9375)))))</f>
        <v>0</v>
      </c>
      <c r="L42" s="135">
        <f>HLOOKUP($B42,$C$35:$Q$36,2,FALSE)*Aggressive!$C$23*(1-IF(ROUNDDOWN((L$35-$B42)/Aggressive!$D$23,0)&lt;1,0,IF(ROUNDDOWN((L$35-$B42)/Aggressive!$D$23,0)&lt;2,0.5,IF(ROUNDDOWN((L$35-$B42)/Aggressive!$D$23,0)&lt;3,0.75,IF(ROUNDDOWN((L$35-$B42)/Aggressive!$D$23,0)&lt;4,0.875,0.9375)))))+HLOOKUP($B42,$C$35:$Q$36,2,FALSE)*Aggressive!$C$24*(1-IF(ROUNDDOWN((L$35-$B42)/Aggressive!$D$24,0)&lt;1,0,IF(ROUNDDOWN((L$35-$B42)/Aggressive!$D$24,0)&lt;2,0.5,IF(ROUNDDOWN((L$35-$B42)/Aggressive!$D$24,0)&lt;3,0.75,IF(ROUNDDOWN((L$35-$B42)/Aggressive!$D$24,0)&lt;4,0.875,0.9375)))))+HLOOKUP($B42,$C$35:$Q$36,2,FALSE)*Aggressive!$C$25*(1-IF(ROUNDDOWN((L$35-$B42)/Aggressive!$D$25,0)&lt;1,0,IF(ROUNDDOWN((L$35-$B42)/Aggressive!$D$25,0)&lt;2,0.5,IF(ROUNDDOWN((L$35-$B42)/Aggressive!$D$25,0)&lt;3,0.75,IF(ROUNDDOWN((L$35-$B42)/Aggressive!$D$25,0)&lt;4,0.875,0.9375)))))+HLOOKUP($B42,$C$35:$Q$36,2,FALSE)*Aggressive!$C$26*(1-IF(ROUNDDOWN((L$35-$B42)/Aggressive!$D$26,0)&lt;1,0,IF(ROUNDDOWN((L$35-$B42)/Aggressive!$D$26,0)&lt;2,0.5,IF(ROUNDDOWN((L$35-$B42)/Aggressive!$D$26,0)&lt;3,0.75,IF(ROUNDDOWN((L$35-$B42)/Aggressive!$D$26,0)&lt;4,0.875,0.9375)))))+HLOOKUP($B42,$C$35:$Q$36,2,FALSE)*Aggressive!$C$27*(1-IF(ROUNDDOWN((L$35-$B42)/Aggressive!$D$27,0)&lt;1,0,IF(ROUNDDOWN((L$35-$B42)/Aggressive!$D$27,0)&lt;2,0.5,IF(ROUNDDOWN((L$35-$B42)/Aggressive!$D$27,0)&lt;3,0.75,IF(ROUNDDOWN((L$35-$B42)/Aggressive!$D$27,0)&lt;4,0.875,0.9375)))))+HLOOKUP($B42,$C$35:$Q$36,2,FALSE)*Aggressive!$C$28*(1-IF(ROUNDDOWN((L$35-$B42)/Aggressive!$D$28,0)&lt;1,0,IF(ROUNDDOWN((L$35-$B42)/Aggressive!$D$28,0)&lt;2,0.5,IF(ROUNDDOWN((L$35-$B42)/Aggressive!$D$28,0)&lt;3,0.75,IF(ROUNDDOWN((L$35-$B42)/Aggressive!$D$28,0)&lt;4,0.875,0.9375)))))</f>
        <v>0</v>
      </c>
      <c r="M42" s="135">
        <f>HLOOKUP($B42,$C$35:$Q$36,2,FALSE)*Aggressive!$C$23*(1-IF(ROUNDDOWN((M$35-$B42)/Aggressive!$D$23,0)&lt;1,0,IF(ROUNDDOWN((M$35-$B42)/Aggressive!$D$23,0)&lt;2,0.5,IF(ROUNDDOWN((M$35-$B42)/Aggressive!$D$23,0)&lt;3,0.75,IF(ROUNDDOWN((M$35-$B42)/Aggressive!$D$23,0)&lt;4,0.875,0.9375)))))+HLOOKUP($B42,$C$35:$Q$36,2,FALSE)*Aggressive!$C$24*(1-IF(ROUNDDOWN((M$35-$B42)/Aggressive!$D$24,0)&lt;1,0,IF(ROUNDDOWN((M$35-$B42)/Aggressive!$D$24,0)&lt;2,0.5,IF(ROUNDDOWN((M$35-$B42)/Aggressive!$D$24,0)&lt;3,0.75,IF(ROUNDDOWN((M$35-$B42)/Aggressive!$D$24,0)&lt;4,0.875,0.9375)))))+HLOOKUP($B42,$C$35:$Q$36,2,FALSE)*Aggressive!$C$25*(1-IF(ROUNDDOWN((M$35-$B42)/Aggressive!$D$25,0)&lt;1,0,IF(ROUNDDOWN((M$35-$B42)/Aggressive!$D$25,0)&lt;2,0.5,IF(ROUNDDOWN((M$35-$B42)/Aggressive!$D$25,0)&lt;3,0.75,IF(ROUNDDOWN((M$35-$B42)/Aggressive!$D$25,0)&lt;4,0.875,0.9375)))))+HLOOKUP($B42,$C$35:$Q$36,2,FALSE)*Aggressive!$C$26*(1-IF(ROUNDDOWN((M$35-$B42)/Aggressive!$D$26,0)&lt;1,0,IF(ROUNDDOWN((M$35-$B42)/Aggressive!$D$26,0)&lt;2,0.5,IF(ROUNDDOWN((M$35-$B42)/Aggressive!$D$26,0)&lt;3,0.75,IF(ROUNDDOWN((M$35-$B42)/Aggressive!$D$26,0)&lt;4,0.875,0.9375)))))+HLOOKUP($B42,$C$35:$Q$36,2,FALSE)*Aggressive!$C$27*(1-IF(ROUNDDOWN((M$35-$B42)/Aggressive!$D$27,0)&lt;1,0,IF(ROUNDDOWN((M$35-$B42)/Aggressive!$D$27,0)&lt;2,0.5,IF(ROUNDDOWN((M$35-$B42)/Aggressive!$D$27,0)&lt;3,0.75,IF(ROUNDDOWN((M$35-$B42)/Aggressive!$D$27,0)&lt;4,0.875,0.9375)))))+HLOOKUP($B42,$C$35:$Q$36,2,FALSE)*Aggressive!$C$28*(1-IF(ROUNDDOWN((M$35-$B42)/Aggressive!$D$28,0)&lt;1,0,IF(ROUNDDOWN((M$35-$B42)/Aggressive!$D$28,0)&lt;2,0.5,IF(ROUNDDOWN((M$35-$B42)/Aggressive!$D$28,0)&lt;3,0.75,IF(ROUNDDOWN((M$35-$B42)/Aggressive!$D$28,0)&lt;4,0.875,0.9375)))))</f>
        <v>0</v>
      </c>
      <c r="N42" s="135">
        <f>HLOOKUP($B42,$C$35:$Q$36,2,FALSE)*Aggressive!$C$23*(1-IF(ROUNDDOWN((N$35-$B42)/Aggressive!$D$23,0)&lt;1,0,IF(ROUNDDOWN((N$35-$B42)/Aggressive!$D$23,0)&lt;2,0.5,IF(ROUNDDOWN((N$35-$B42)/Aggressive!$D$23,0)&lt;3,0.75,IF(ROUNDDOWN((N$35-$B42)/Aggressive!$D$23,0)&lt;4,0.875,0.9375)))))+HLOOKUP($B42,$C$35:$Q$36,2,FALSE)*Aggressive!$C$24*(1-IF(ROUNDDOWN((N$35-$B42)/Aggressive!$D$24,0)&lt;1,0,IF(ROUNDDOWN((N$35-$B42)/Aggressive!$D$24,0)&lt;2,0.5,IF(ROUNDDOWN((N$35-$B42)/Aggressive!$D$24,0)&lt;3,0.75,IF(ROUNDDOWN((N$35-$B42)/Aggressive!$D$24,0)&lt;4,0.875,0.9375)))))+HLOOKUP($B42,$C$35:$Q$36,2,FALSE)*Aggressive!$C$25*(1-IF(ROUNDDOWN((N$35-$B42)/Aggressive!$D$25,0)&lt;1,0,IF(ROUNDDOWN((N$35-$B42)/Aggressive!$D$25,0)&lt;2,0.5,IF(ROUNDDOWN((N$35-$B42)/Aggressive!$D$25,0)&lt;3,0.75,IF(ROUNDDOWN((N$35-$B42)/Aggressive!$D$25,0)&lt;4,0.875,0.9375)))))+HLOOKUP($B42,$C$35:$Q$36,2,FALSE)*Aggressive!$C$26*(1-IF(ROUNDDOWN((N$35-$B42)/Aggressive!$D$26,0)&lt;1,0,IF(ROUNDDOWN((N$35-$B42)/Aggressive!$D$26,0)&lt;2,0.5,IF(ROUNDDOWN((N$35-$B42)/Aggressive!$D$26,0)&lt;3,0.75,IF(ROUNDDOWN((N$35-$B42)/Aggressive!$D$26,0)&lt;4,0.875,0.9375)))))+HLOOKUP($B42,$C$35:$Q$36,2,FALSE)*Aggressive!$C$27*(1-IF(ROUNDDOWN((N$35-$B42)/Aggressive!$D$27,0)&lt;1,0,IF(ROUNDDOWN((N$35-$B42)/Aggressive!$D$27,0)&lt;2,0.5,IF(ROUNDDOWN((N$35-$B42)/Aggressive!$D$27,0)&lt;3,0.75,IF(ROUNDDOWN((N$35-$B42)/Aggressive!$D$27,0)&lt;4,0.875,0.9375)))))+HLOOKUP($B42,$C$35:$Q$36,2,FALSE)*Aggressive!$C$28*(1-IF(ROUNDDOWN((N$35-$B42)/Aggressive!$D$28,0)&lt;1,0,IF(ROUNDDOWN((N$35-$B42)/Aggressive!$D$28,0)&lt;2,0.5,IF(ROUNDDOWN((N$35-$B42)/Aggressive!$D$28,0)&lt;3,0.75,IF(ROUNDDOWN((N$35-$B42)/Aggressive!$D$28,0)&lt;4,0.875,0.9375)))))</f>
        <v>0</v>
      </c>
      <c r="O42" s="135">
        <f>HLOOKUP($B42,$C$35:$Q$36,2,FALSE)*Aggressive!$C$23*(1-IF(ROUNDDOWN((O$35-$B42)/Aggressive!$D$23,0)&lt;1,0,IF(ROUNDDOWN((O$35-$B42)/Aggressive!$D$23,0)&lt;2,0.5,IF(ROUNDDOWN((O$35-$B42)/Aggressive!$D$23,0)&lt;3,0.75,IF(ROUNDDOWN((O$35-$B42)/Aggressive!$D$23,0)&lt;4,0.875,0.9375)))))+HLOOKUP($B42,$C$35:$Q$36,2,FALSE)*Aggressive!$C$24*(1-IF(ROUNDDOWN((O$35-$B42)/Aggressive!$D$24,0)&lt;1,0,IF(ROUNDDOWN((O$35-$B42)/Aggressive!$D$24,0)&lt;2,0.5,IF(ROUNDDOWN((O$35-$B42)/Aggressive!$D$24,0)&lt;3,0.75,IF(ROUNDDOWN((O$35-$B42)/Aggressive!$D$24,0)&lt;4,0.875,0.9375)))))+HLOOKUP($B42,$C$35:$Q$36,2,FALSE)*Aggressive!$C$25*(1-IF(ROUNDDOWN((O$35-$B42)/Aggressive!$D$25,0)&lt;1,0,IF(ROUNDDOWN((O$35-$B42)/Aggressive!$D$25,0)&lt;2,0.5,IF(ROUNDDOWN((O$35-$B42)/Aggressive!$D$25,0)&lt;3,0.75,IF(ROUNDDOWN((O$35-$B42)/Aggressive!$D$25,0)&lt;4,0.875,0.9375)))))+HLOOKUP($B42,$C$35:$Q$36,2,FALSE)*Aggressive!$C$26*(1-IF(ROUNDDOWN((O$35-$B42)/Aggressive!$D$26,0)&lt;1,0,IF(ROUNDDOWN((O$35-$B42)/Aggressive!$D$26,0)&lt;2,0.5,IF(ROUNDDOWN((O$35-$B42)/Aggressive!$D$26,0)&lt;3,0.75,IF(ROUNDDOWN((O$35-$B42)/Aggressive!$D$26,0)&lt;4,0.875,0.9375)))))+HLOOKUP($B42,$C$35:$Q$36,2,FALSE)*Aggressive!$C$27*(1-IF(ROUNDDOWN((O$35-$B42)/Aggressive!$D$27,0)&lt;1,0,IF(ROUNDDOWN((O$35-$B42)/Aggressive!$D$27,0)&lt;2,0.5,IF(ROUNDDOWN((O$35-$B42)/Aggressive!$D$27,0)&lt;3,0.75,IF(ROUNDDOWN((O$35-$B42)/Aggressive!$D$27,0)&lt;4,0.875,0.9375)))))+HLOOKUP($B42,$C$35:$Q$36,2,FALSE)*Aggressive!$C$28*(1-IF(ROUNDDOWN((O$35-$B42)/Aggressive!$D$28,0)&lt;1,0,IF(ROUNDDOWN((O$35-$B42)/Aggressive!$D$28,0)&lt;2,0.5,IF(ROUNDDOWN((O$35-$B42)/Aggressive!$D$28,0)&lt;3,0.75,IF(ROUNDDOWN((O$35-$B42)/Aggressive!$D$28,0)&lt;4,0.875,0.9375)))))</f>
        <v>0</v>
      </c>
      <c r="P42" s="135">
        <f>HLOOKUP($B42,$C$35:$Q$36,2,FALSE)*Aggressive!$C$23*(1-IF(ROUNDDOWN((P$35-$B42)/Aggressive!$D$23,0)&lt;1,0,IF(ROUNDDOWN((P$35-$B42)/Aggressive!$D$23,0)&lt;2,0.5,IF(ROUNDDOWN((P$35-$B42)/Aggressive!$D$23,0)&lt;3,0.75,IF(ROUNDDOWN((P$35-$B42)/Aggressive!$D$23,0)&lt;4,0.875,0.9375)))))+HLOOKUP($B42,$C$35:$Q$36,2,FALSE)*Aggressive!$C$24*(1-IF(ROUNDDOWN((P$35-$B42)/Aggressive!$D$24,0)&lt;1,0,IF(ROUNDDOWN((P$35-$B42)/Aggressive!$D$24,0)&lt;2,0.5,IF(ROUNDDOWN((P$35-$B42)/Aggressive!$D$24,0)&lt;3,0.75,IF(ROUNDDOWN((P$35-$B42)/Aggressive!$D$24,0)&lt;4,0.875,0.9375)))))+HLOOKUP($B42,$C$35:$Q$36,2,FALSE)*Aggressive!$C$25*(1-IF(ROUNDDOWN((P$35-$B42)/Aggressive!$D$25,0)&lt;1,0,IF(ROUNDDOWN((P$35-$B42)/Aggressive!$D$25,0)&lt;2,0.5,IF(ROUNDDOWN((P$35-$B42)/Aggressive!$D$25,0)&lt;3,0.75,IF(ROUNDDOWN((P$35-$B42)/Aggressive!$D$25,0)&lt;4,0.875,0.9375)))))+HLOOKUP($B42,$C$35:$Q$36,2,FALSE)*Aggressive!$C$26*(1-IF(ROUNDDOWN((P$35-$B42)/Aggressive!$D$26,0)&lt;1,0,IF(ROUNDDOWN((P$35-$B42)/Aggressive!$D$26,0)&lt;2,0.5,IF(ROUNDDOWN((P$35-$B42)/Aggressive!$D$26,0)&lt;3,0.75,IF(ROUNDDOWN((P$35-$B42)/Aggressive!$D$26,0)&lt;4,0.875,0.9375)))))+HLOOKUP($B42,$C$35:$Q$36,2,FALSE)*Aggressive!$C$27*(1-IF(ROUNDDOWN((P$35-$B42)/Aggressive!$D$27,0)&lt;1,0,IF(ROUNDDOWN((P$35-$B42)/Aggressive!$D$27,0)&lt;2,0.5,IF(ROUNDDOWN((P$35-$B42)/Aggressive!$D$27,0)&lt;3,0.75,IF(ROUNDDOWN((P$35-$B42)/Aggressive!$D$27,0)&lt;4,0.875,0.9375)))))+HLOOKUP($B42,$C$35:$Q$36,2,FALSE)*Aggressive!$C$28*(1-IF(ROUNDDOWN((P$35-$B42)/Aggressive!$D$28,0)&lt;1,0,IF(ROUNDDOWN((P$35-$B42)/Aggressive!$D$28,0)&lt;2,0.5,IF(ROUNDDOWN((P$35-$B42)/Aggressive!$D$28,0)&lt;3,0.75,IF(ROUNDDOWN((P$35-$B42)/Aggressive!$D$28,0)&lt;4,0.875,0.9375)))))</f>
        <v>0</v>
      </c>
      <c r="Q42" s="135">
        <f>HLOOKUP($B42,$C$35:$Q$36,2,FALSE)*Aggressive!$C$23*(1-IF(ROUNDDOWN((Q$35-$B42)/Aggressive!$D$23,0)&lt;1,0,IF(ROUNDDOWN((Q$35-$B42)/Aggressive!$D$23,0)&lt;2,0.5,IF(ROUNDDOWN((Q$35-$B42)/Aggressive!$D$23,0)&lt;3,0.75,IF(ROUNDDOWN((Q$35-$B42)/Aggressive!$D$23,0)&lt;4,0.875,0.9375)))))+HLOOKUP($B42,$C$35:$Q$36,2,FALSE)*Aggressive!$C$24*(1-IF(ROUNDDOWN((Q$35-$B42)/Aggressive!$D$24,0)&lt;1,0,IF(ROUNDDOWN((Q$35-$B42)/Aggressive!$D$24,0)&lt;2,0.5,IF(ROUNDDOWN((Q$35-$B42)/Aggressive!$D$24,0)&lt;3,0.75,IF(ROUNDDOWN((Q$35-$B42)/Aggressive!$D$24,0)&lt;4,0.875,0.9375)))))+HLOOKUP($B42,$C$35:$Q$36,2,FALSE)*Aggressive!$C$25*(1-IF(ROUNDDOWN((Q$35-$B42)/Aggressive!$D$25,0)&lt;1,0,IF(ROUNDDOWN((Q$35-$B42)/Aggressive!$D$25,0)&lt;2,0.5,IF(ROUNDDOWN((Q$35-$B42)/Aggressive!$D$25,0)&lt;3,0.75,IF(ROUNDDOWN((Q$35-$B42)/Aggressive!$D$25,0)&lt;4,0.875,0.9375)))))+HLOOKUP($B42,$C$35:$Q$36,2,FALSE)*Aggressive!$C$26*(1-IF(ROUNDDOWN((Q$35-$B42)/Aggressive!$D$26,0)&lt;1,0,IF(ROUNDDOWN((Q$35-$B42)/Aggressive!$D$26,0)&lt;2,0.5,IF(ROUNDDOWN((Q$35-$B42)/Aggressive!$D$26,0)&lt;3,0.75,IF(ROUNDDOWN((Q$35-$B42)/Aggressive!$D$26,0)&lt;4,0.875,0.9375)))))+HLOOKUP($B42,$C$35:$Q$36,2,FALSE)*Aggressive!$C$27*(1-IF(ROUNDDOWN((Q$35-$B42)/Aggressive!$D$27,0)&lt;1,0,IF(ROUNDDOWN((Q$35-$B42)/Aggressive!$D$27,0)&lt;2,0.5,IF(ROUNDDOWN((Q$35-$B42)/Aggressive!$D$27,0)&lt;3,0.75,IF(ROUNDDOWN((Q$35-$B42)/Aggressive!$D$27,0)&lt;4,0.875,0.9375)))))+HLOOKUP($B42,$C$35:$Q$36,2,FALSE)*Aggressive!$C$28*(1-IF(ROUNDDOWN((Q$35-$B42)/Aggressive!$D$28,0)&lt;1,0,IF(ROUNDDOWN((Q$35-$B42)/Aggressive!$D$28,0)&lt;2,0.5,IF(ROUNDDOWN((Q$35-$B42)/Aggressive!$D$28,0)&lt;3,0.75,IF(ROUNDDOWN((Q$35-$B42)/Aggressive!$D$28,0)&lt;4,0.875,0.9375)))))</f>
        <v>0</v>
      </c>
      <c r="R42" s="50"/>
    </row>
    <row r="43" spans="2:18" x14ac:dyDescent="0.3">
      <c r="B43" s="237">
        <f t="shared" si="9"/>
        <v>2019</v>
      </c>
      <c r="C43" s="135"/>
      <c r="D43" s="135"/>
      <c r="E43" s="135"/>
      <c r="F43" s="135"/>
      <c r="G43" s="135">
        <f>HLOOKUP($B43,$C$35:$Q$36,2,FALSE)*Aggressive!$C$23*(1-IF(ROUNDDOWN((G$35-$B43)/Aggressive!$D$23,0)&lt;1,0,IF(ROUNDDOWN((G$35-$B43)/Aggressive!$D$23,0)&lt;2,0.5,IF(ROUNDDOWN((G$35-$B43)/Aggressive!$D$23,0)&lt;3,0.75,IF(ROUNDDOWN((G$35-$B43)/Aggressive!$D$23,0)&lt;4,0.875,0.9375)))))+HLOOKUP($B43,$C$35:$Q$36,2,FALSE)*Aggressive!$C$24*(1-IF(ROUNDDOWN((G$35-$B43)/Aggressive!$D$24,0)&lt;1,0,IF(ROUNDDOWN((G$35-$B43)/Aggressive!$D$24,0)&lt;2,0.5,IF(ROUNDDOWN((G$35-$B43)/Aggressive!$D$24,0)&lt;3,0.75,IF(ROUNDDOWN((G$35-$B43)/Aggressive!$D$24,0)&lt;4,0.875,0.9375)))))+HLOOKUP($B43,$C$35:$Q$36,2,FALSE)*Aggressive!$C$25*(1-IF(ROUNDDOWN((G$35-$B43)/Aggressive!$D$25,0)&lt;1,0,IF(ROUNDDOWN((G$35-$B43)/Aggressive!$D$25,0)&lt;2,0.5,IF(ROUNDDOWN((G$35-$B43)/Aggressive!$D$25,0)&lt;3,0.75,IF(ROUNDDOWN((G$35-$B43)/Aggressive!$D$25,0)&lt;4,0.875,0.9375)))))+HLOOKUP($B43,$C$35:$Q$36,2,FALSE)*Aggressive!$C$26*(1-IF(ROUNDDOWN((G$35-$B43)/Aggressive!$D$26,0)&lt;1,0,IF(ROUNDDOWN((G$35-$B43)/Aggressive!$D$26,0)&lt;2,0.5,IF(ROUNDDOWN((G$35-$B43)/Aggressive!$D$26,0)&lt;3,0.75,IF(ROUNDDOWN((G$35-$B43)/Aggressive!$D$26,0)&lt;4,0.875,0.9375)))))+HLOOKUP($B43,$C$35:$Q$36,2,FALSE)*Aggressive!$C$27*(1-IF(ROUNDDOWN((G$35-$B43)/Aggressive!$D$27,0)&lt;1,0,IF(ROUNDDOWN((G$35-$B43)/Aggressive!$D$27,0)&lt;2,0.5,IF(ROUNDDOWN((G$35-$B43)/Aggressive!$D$27,0)&lt;3,0.75,IF(ROUNDDOWN((G$35-$B43)/Aggressive!$D$27,0)&lt;4,0.875,0.9375)))))+HLOOKUP($B43,$C$35:$Q$36,2,FALSE)*Aggressive!$C$28*(1-IF(ROUNDDOWN((G$35-$B43)/Aggressive!$D$28,0)&lt;1,0,IF(ROUNDDOWN((G$35-$B43)/Aggressive!$D$28,0)&lt;2,0.5,IF(ROUNDDOWN((G$35-$B43)/Aggressive!$D$28,0)&lt;3,0.75,IF(ROUNDDOWN((G$35-$B43)/Aggressive!$D$28,0)&lt;4,0.875,0.9375)))))</f>
        <v>0</v>
      </c>
      <c r="H43" s="135">
        <f>HLOOKUP($B43,$C$35:$Q$36,2,FALSE)*Aggressive!$C$23*(1-IF(ROUNDDOWN((H$35-$B43)/Aggressive!$D$23,0)&lt;1,0,IF(ROUNDDOWN((H$35-$B43)/Aggressive!$D$23,0)&lt;2,0.5,IF(ROUNDDOWN((H$35-$B43)/Aggressive!$D$23,0)&lt;3,0.75,IF(ROUNDDOWN((H$35-$B43)/Aggressive!$D$23,0)&lt;4,0.875,0.9375)))))+HLOOKUP($B43,$C$35:$Q$36,2,FALSE)*Aggressive!$C$24*(1-IF(ROUNDDOWN((H$35-$B43)/Aggressive!$D$24,0)&lt;1,0,IF(ROUNDDOWN((H$35-$B43)/Aggressive!$D$24,0)&lt;2,0.5,IF(ROUNDDOWN((H$35-$B43)/Aggressive!$D$24,0)&lt;3,0.75,IF(ROUNDDOWN((H$35-$B43)/Aggressive!$D$24,0)&lt;4,0.875,0.9375)))))+HLOOKUP($B43,$C$35:$Q$36,2,FALSE)*Aggressive!$C$25*(1-IF(ROUNDDOWN((H$35-$B43)/Aggressive!$D$25,0)&lt;1,0,IF(ROUNDDOWN((H$35-$B43)/Aggressive!$D$25,0)&lt;2,0.5,IF(ROUNDDOWN((H$35-$B43)/Aggressive!$D$25,0)&lt;3,0.75,IF(ROUNDDOWN((H$35-$B43)/Aggressive!$D$25,0)&lt;4,0.875,0.9375)))))+HLOOKUP($B43,$C$35:$Q$36,2,FALSE)*Aggressive!$C$26*(1-IF(ROUNDDOWN((H$35-$B43)/Aggressive!$D$26,0)&lt;1,0,IF(ROUNDDOWN((H$35-$B43)/Aggressive!$D$26,0)&lt;2,0.5,IF(ROUNDDOWN((H$35-$B43)/Aggressive!$D$26,0)&lt;3,0.75,IF(ROUNDDOWN((H$35-$B43)/Aggressive!$D$26,0)&lt;4,0.875,0.9375)))))+HLOOKUP($B43,$C$35:$Q$36,2,FALSE)*Aggressive!$C$27*(1-IF(ROUNDDOWN((H$35-$B43)/Aggressive!$D$27,0)&lt;1,0,IF(ROUNDDOWN((H$35-$B43)/Aggressive!$D$27,0)&lt;2,0.5,IF(ROUNDDOWN((H$35-$B43)/Aggressive!$D$27,0)&lt;3,0.75,IF(ROUNDDOWN((H$35-$B43)/Aggressive!$D$27,0)&lt;4,0.875,0.9375)))))+HLOOKUP($B43,$C$35:$Q$36,2,FALSE)*Aggressive!$C$28*(1-IF(ROUNDDOWN((H$35-$B43)/Aggressive!$D$28,0)&lt;1,0,IF(ROUNDDOWN((H$35-$B43)/Aggressive!$D$28,0)&lt;2,0.5,IF(ROUNDDOWN((H$35-$B43)/Aggressive!$D$28,0)&lt;3,0.75,IF(ROUNDDOWN((H$35-$B43)/Aggressive!$D$28,0)&lt;4,0.875,0.9375)))))</f>
        <v>0</v>
      </c>
      <c r="I43" s="135">
        <f>HLOOKUP($B43,$C$35:$Q$36,2,FALSE)*Aggressive!$C$23*(1-IF(ROUNDDOWN((I$35-$B43)/Aggressive!$D$23,0)&lt;1,0,IF(ROUNDDOWN((I$35-$B43)/Aggressive!$D$23,0)&lt;2,0.5,IF(ROUNDDOWN((I$35-$B43)/Aggressive!$D$23,0)&lt;3,0.75,IF(ROUNDDOWN((I$35-$B43)/Aggressive!$D$23,0)&lt;4,0.875,0.9375)))))+HLOOKUP($B43,$C$35:$Q$36,2,FALSE)*Aggressive!$C$24*(1-IF(ROUNDDOWN((I$35-$B43)/Aggressive!$D$24,0)&lt;1,0,IF(ROUNDDOWN((I$35-$B43)/Aggressive!$D$24,0)&lt;2,0.5,IF(ROUNDDOWN((I$35-$B43)/Aggressive!$D$24,0)&lt;3,0.75,IF(ROUNDDOWN((I$35-$B43)/Aggressive!$D$24,0)&lt;4,0.875,0.9375)))))+HLOOKUP($B43,$C$35:$Q$36,2,FALSE)*Aggressive!$C$25*(1-IF(ROUNDDOWN((I$35-$B43)/Aggressive!$D$25,0)&lt;1,0,IF(ROUNDDOWN((I$35-$B43)/Aggressive!$D$25,0)&lt;2,0.5,IF(ROUNDDOWN((I$35-$B43)/Aggressive!$D$25,0)&lt;3,0.75,IF(ROUNDDOWN((I$35-$B43)/Aggressive!$D$25,0)&lt;4,0.875,0.9375)))))+HLOOKUP($B43,$C$35:$Q$36,2,FALSE)*Aggressive!$C$26*(1-IF(ROUNDDOWN((I$35-$B43)/Aggressive!$D$26,0)&lt;1,0,IF(ROUNDDOWN((I$35-$B43)/Aggressive!$D$26,0)&lt;2,0.5,IF(ROUNDDOWN((I$35-$B43)/Aggressive!$D$26,0)&lt;3,0.75,IF(ROUNDDOWN((I$35-$B43)/Aggressive!$D$26,0)&lt;4,0.875,0.9375)))))+HLOOKUP($B43,$C$35:$Q$36,2,FALSE)*Aggressive!$C$27*(1-IF(ROUNDDOWN((I$35-$B43)/Aggressive!$D$27,0)&lt;1,0,IF(ROUNDDOWN((I$35-$B43)/Aggressive!$D$27,0)&lt;2,0.5,IF(ROUNDDOWN((I$35-$B43)/Aggressive!$D$27,0)&lt;3,0.75,IF(ROUNDDOWN((I$35-$B43)/Aggressive!$D$27,0)&lt;4,0.875,0.9375)))))+HLOOKUP($B43,$C$35:$Q$36,2,FALSE)*Aggressive!$C$28*(1-IF(ROUNDDOWN((I$35-$B43)/Aggressive!$D$28,0)&lt;1,0,IF(ROUNDDOWN((I$35-$B43)/Aggressive!$D$28,0)&lt;2,0.5,IF(ROUNDDOWN((I$35-$B43)/Aggressive!$D$28,0)&lt;3,0.75,IF(ROUNDDOWN((I$35-$B43)/Aggressive!$D$28,0)&lt;4,0.875,0.9375)))))</f>
        <v>0</v>
      </c>
      <c r="J43" s="135">
        <f>HLOOKUP($B43,$C$35:$Q$36,2,FALSE)*Aggressive!$C$23*(1-IF(ROUNDDOWN((J$35-$B43)/Aggressive!$D$23,0)&lt;1,0,IF(ROUNDDOWN((J$35-$B43)/Aggressive!$D$23,0)&lt;2,0.5,IF(ROUNDDOWN((J$35-$B43)/Aggressive!$D$23,0)&lt;3,0.75,IF(ROUNDDOWN((J$35-$B43)/Aggressive!$D$23,0)&lt;4,0.875,0.9375)))))+HLOOKUP($B43,$C$35:$Q$36,2,FALSE)*Aggressive!$C$24*(1-IF(ROUNDDOWN((J$35-$B43)/Aggressive!$D$24,0)&lt;1,0,IF(ROUNDDOWN((J$35-$B43)/Aggressive!$D$24,0)&lt;2,0.5,IF(ROUNDDOWN((J$35-$B43)/Aggressive!$D$24,0)&lt;3,0.75,IF(ROUNDDOWN((J$35-$B43)/Aggressive!$D$24,0)&lt;4,0.875,0.9375)))))+HLOOKUP($B43,$C$35:$Q$36,2,FALSE)*Aggressive!$C$25*(1-IF(ROUNDDOWN((J$35-$B43)/Aggressive!$D$25,0)&lt;1,0,IF(ROUNDDOWN((J$35-$B43)/Aggressive!$D$25,0)&lt;2,0.5,IF(ROUNDDOWN((J$35-$B43)/Aggressive!$D$25,0)&lt;3,0.75,IF(ROUNDDOWN((J$35-$B43)/Aggressive!$D$25,0)&lt;4,0.875,0.9375)))))+HLOOKUP($B43,$C$35:$Q$36,2,FALSE)*Aggressive!$C$26*(1-IF(ROUNDDOWN((J$35-$B43)/Aggressive!$D$26,0)&lt;1,0,IF(ROUNDDOWN((J$35-$B43)/Aggressive!$D$26,0)&lt;2,0.5,IF(ROUNDDOWN((J$35-$B43)/Aggressive!$D$26,0)&lt;3,0.75,IF(ROUNDDOWN((J$35-$B43)/Aggressive!$D$26,0)&lt;4,0.875,0.9375)))))+HLOOKUP($B43,$C$35:$Q$36,2,FALSE)*Aggressive!$C$27*(1-IF(ROUNDDOWN((J$35-$B43)/Aggressive!$D$27,0)&lt;1,0,IF(ROUNDDOWN((J$35-$B43)/Aggressive!$D$27,0)&lt;2,0.5,IF(ROUNDDOWN((J$35-$B43)/Aggressive!$D$27,0)&lt;3,0.75,IF(ROUNDDOWN((J$35-$B43)/Aggressive!$D$27,0)&lt;4,0.875,0.9375)))))+HLOOKUP($B43,$C$35:$Q$36,2,FALSE)*Aggressive!$C$28*(1-IF(ROUNDDOWN((J$35-$B43)/Aggressive!$D$28,0)&lt;1,0,IF(ROUNDDOWN((J$35-$B43)/Aggressive!$D$28,0)&lt;2,0.5,IF(ROUNDDOWN((J$35-$B43)/Aggressive!$D$28,0)&lt;3,0.75,IF(ROUNDDOWN((J$35-$B43)/Aggressive!$D$28,0)&lt;4,0.875,0.9375)))))</f>
        <v>0</v>
      </c>
      <c r="K43" s="135">
        <f>HLOOKUP($B43,$C$35:$Q$36,2,FALSE)*Aggressive!$C$23*(1-IF(ROUNDDOWN((K$35-$B43)/Aggressive!$D$23,0)&lt;1,0,IF(ROUNDDOWN((K$35-$B43)/Aggressive!$D$23,0)&lt;2,0.5,IF(ROUNDDOWN((K$35-$B43)/Aggressive!$D$23,0)&lt;3,0.75,IF(ROUNDDOWN((K$35-$B43)/Aggressive!$D$23,0)&lt;4,0.875,0.9375)))))+HLOOKUP($B43,$C$35:$Q$36,2,FALSE)*Aggressive!$C$24*(1-IF(ROUNDDOWN((K$35-$B43)/Aggressive!$D$24,0)&lt;1,0,IF(ROUNDDOWN((K$35-$B43)/Aggressive!$D$24,0)&lt;2,0.5,IF(ROUNDDOWN((K$35-$B43)/Aggressive!$D$24,0)&lt;3,0.75,IF(ROUNDDOWN((K$35-$B43)/Aggressive!$D$24,0)&lt;4,0.875,0.9375)))))+HLOOKUP($B43,$C$35:$Q$36,2,FALSE)*Aggressive!$C$25*(1-IF(ROUNDDOWN((K$35-$B43)/Aggressive!$D$25,0)&lt;1,0,IF(ROUNDDOWN((K$35-$B43)/Aggressive!$D$25,0)&lt;2,0.5,IF(ROUNDDOWN((K$35-$B43)/Aggressive!$D$25,0)&lt;3,0.75,IF(ROUNDDOWN((K$35-$B43)/Aggressive!$D$25,0)&lt;4,0.875,0.9375)))))+HLOOKUP($B43,$C$35:$Q$36,2,FALSE)*Aggressive!$C$26*(1-IF(ROUNDDOWN((K$35-$B43)/Aggressive!$D$26,0)&lt;1,0,IF(ROUNDDOWN((K$35-$B43)/Aggressive!$D$26,0)&lt;2,0.5,IF(ROUNDDOWN((K$35-$B43)/Aggressive!$D$26,0)&lt;3,0.75,IF(ROUNDDOWN((K$35-$B43)/Aggressive!$D$26,0)&lt;4,0.875,0.9375)))))+HLOOKUP($B43,$C$35:$Q$36,2,FALSE)*Aggressive!$C$27*(1-IF(ROUNDDOWN((K$35-$B43)/Aggressive!$D$27,0)&lt;1,0,IF(ROUNDDOWN((K$35-$B43)/Aggressive!$D$27,0)&lt;2,0.5,IF(ROUNDDOWN((K$35-$B43)/Aggressive!$D$27,0)&lt;3,0.75,IF(ROUNDDOWN((K$35-$B43)/Aggressive!$D$27,0)&lt;4,0.875,0.9375)))))+HLOOKUP($B43,$C$35:$Q$36,2,FALSE)*Aggressive!$C$28*(1-IF(ROUNDDOWN((K$35-$B43)/Aggressive!$D$28,0)&lt;1,0,IF(ROUNDDOWN((K$35-$B43)/Aggressive!$D$28,0)&lt;2,0.5,IF(ROUNDDOWN((K$35-$B43)/Aggressive!$D$28,0)&lt;3,0.75,IF(ROUNDDOWN((K$35-$B43)/Aggressive!$D$28,0)&lt;4,0.875,0.9375)))))</f>
        <v>0</v>
      </c>
      <c r="L43" s="135">
        <f>HLOOKUP($B43,$C$35:$Q$36,2,FALSE)*Aggressive!$C$23*(1-IF(ROUNDDOWN((L$35-$B43)/Aggressive!$D$23,0)&lt;1,0,IF(ROUNDDOWN((L$35-$B43)/Aggressive!$D$23,0)&lt;2,0.5,IF(ROUNDDOWN((L$35-$B43)/Aggressive!$D$23,0)&lt;3,0.75,IF(ROUNDDOWN((L$35-$B43)/Aggressive!$D$23,0)&lt;4,0.875,0.9375)))))+HLOOKUP($B43,$C$35:$Q$36,2,FALSE)*Aggressive!$C$24*(1-IF(ROUNDDOWN((L$35-$B43)/Aggressive!$D$24,0)&lt;1,0,IF(ROUNDDOWN((L$35-$B43)/Aggressive!$D$24,0)&lt;2,0.5,IF(ROUNDDOWN((L$35-$B43)/Aggressive!$D$24,0)&lt;3,0.75,IF(ROUNDDOWN((L$35-$B43)/Aggressive!$D$24,0)&lt;4,0.875,0.9375)))))+HLOOKUP($B43,$C$35:$Q$36,2,FALSE)*Aggressive!$C$25*(1-IF(ROUNDDOWN((L$35-$B43)/Aggressive!$D$25,0)&lt;1,0,IF(ROUNDDOWN((L$35-$B43)/Aggressive!$D$25,0)&lt;2,0.5,IF(ROUNDDOWN((L$35-$B43)/Aggressive!$D$25,0)&lt;3,0.75,IF(ROUNDDOWN((L$35-$B43)/Aggressive!$D$25,0)&lt;4,0.875,0.9375)))))+HLOOKUP($B43,$C$35:$Q$36,2,FALSE)*Aggressive!$C$26*(1-IF(ROUNDDOWN((L$35-$B43)/Aggressive!$D$26,0)&lt;1,0,IF(ROUNDDOWN((L$35-$B43)/Aggressive!$D$26,0)&lt;2,0.5,IF(ROUNDDOWN((L$35-$B43)/Aggressive!$D$26,0)&lt;3,0.75,IF(ROUNDDOWN((L$35-$B43)/Aggressive!$D$26,0)&lt;4,0.875,0.9375)))))+HLOOKUP($B43,$C$35:$Q$36,2,FALSE)*Aggressive!$C$27*(1-IF(ROUNDDOWN((L$35-$B43)/Aggressive!$D$27,0)&lt;1,0,IF(ROUNDDOWN((L$35-$B43)/Aggressive!$D$27,0)&lt;2,0.5,IF(ROUNDDOWN((L$35-$B43)/Aggressive!$D$27,0)&lt;3,0.75,IF(ROUNDDOWN((L$35-$B43)/Aggressive!$D$27,0)&lt;4,0.875,0.9375)))))+HLOOKUP($B43,$C$35:$Q$36,2,FALSE)*Aggressive!$C$28*(1-IF(ROUNDDOWN((L$35-$B43)/Aggressive!$D$28,0)&lt;1,0,IF(ROUNDDOWN((L$35-$B43)/Aggressive!$D$28,0)&lt;2,0.5,IF(ROUNDDOWN((L$35-$B43)/Aggressive!$D$28,0)&lt;3,0.75,IF(ROUNDDOWN((L$35-$B43)/Aggressive!$D$28,0)&lt;4,0.875,0.9375)))))</f>
        <v>0</v>
      </c>
      <c r="M43" s="135">
        <f>HLOOKUP($B43,$C$35:$Q$36,2,FALSE)*Aggressive!$C$23*(1-IF(ROUNDDOWN((M$35-$B43)/Aggressive!$D$23,0)&lt;1,0,IF(ROUNDDOWN((M$35-$B43)/Aggressive!$D$23,0)&lt;2,0.5,IF(ROUNDDOWN((M$35-$B43)/Aggressive!$D$23,0)&lt;3,0.75,IF(ROUNDDOWN((M$35-$B43)/Aggressive!$D$23,0)&lt;4,0.875,0.9375)))))+HLOOKUP($B43,$C$35:$Q$36,2,FALSE)*Aggressive!$C$24*(1-IF(ROUNDDOWN((M$35-$B43)/Aggressive!$D$24,0)&lt;1,0,IF(ROUNDDOWN((M$35-$B43)/Aggressive!$D$24,0)&lt;2,0.5,IF(ROUNDDOWN((M$35-$B43)/Aggressive!$D$24,0)&lt;3,0.75,IF(ROUNDDOWN((M$35-$B43)/Aggressive!$D$24,0)&lt;4,0.875,0.9375)))))+HLOOKUP($B43,$C$35:$Q$36,2,FALSE)*Aggressive!$C$25*(1-IF(ROUNDDOWN((M$35-$B43)/Aggressive!$D$25,0)&lt;1,0,IF(ROUNDDOWN((M$35-$B43)/Aggressive!$D$25,0)&lt;2,0.5,IF(ROUNDDOWN((M$35-$B43)/Aggressive!$D$25,0)&lt;3,0.75,IF(ROUNDDOWN((M$35-$B43)/Aggressive!$D$25,0)&lt;4,0.875,0.9375)))))+HLOOKUP($B43,$C$35:$Q$36,2,FALSE)*Aggressive!$C$26*(1-IF(ROUNDDOWN((M$35-$B43)/Aggressive!$D$26,0)&lt;1,0,IF(ROUNDDOWN((M$35-$B43)/Aggressive!$D$26,0)&lt;2,0.5,IF(ROUNDDOWN((M$35-$B43)/Aggressive!$D$26,0)&lt;3,0.75,IF(ROUNDDOWN((M$35-$B43)/Aggressive!$D$26,0)&lt;4,0.875,0.9375)))))+HLOOKUP($B43,$C$35:$Q$36,2,FALSE)*Aggressive!$C$27*(1-IF(ROUNDDOWN((M$35-$B43)/Aggressive!$D$27,0)&lt;1,0,IF(ROUNDDOWN((M$35-$B43)/Aggressive!$D$27,0)&lt;2,0.5,IF(ROUNDDOWN((M$35-$B43)/Aggressive!$D$27,0)&lt;3,0.75,IF(ROUNDDOWN((M$35-$B43)/Aggressive!$D$27,0)&lt;4,0.875,0.9375)))))+HLOOKUP($B43,$C$35:$Q$36,2,FALSE)*Aggressive!$C$28*(1-IF(ROUNDDOWN((M$35-$B43)/Aggressive!$D$28,0)&lt;1,0,IF(ROUNDDOWN((M$35-$B43)/Aggressive!$D$28,0)&lt;2,0.5,IF(ROUNDDOWN((M$35-$B43)/Aggressive!$D$28,0)&lt;3,0.75,IF(ROUNDDOWN((M$35-$B43)/Aggressive!$D$28,0)&lt;4,0.875,0.9375)))))</f>
        <v>0</v>
      </c>
      <c r="N43" s="135">
        <f>HLOOKUP($B43,$C$35:$Q$36,2,FALSE)*Aggressive!$C$23*(1-IF(ROUNDDOWN((N$35-$B43)/Aggressive!$D$23,0)&lt;1,0,IF(ROUNDDOWN((N$35-$B43)/Aggressive!$D$23,0)&lt;2,0.5,IF(ROUNDDOWN((N$35-$B43)/Aggressive!$D$23,0)&lt;3,0.75,IF(ROUNDDOWN((N$35-$B43)/Aggressive!$D$23,0)&lt;4,0.875,0.9375)))))+HLOOKUP($B43,$C$35:$Q$36,2,FALSE)*Aggressive!$C$24*(1-IF(ROUNDDOWN((N$35-$B43)/Aggressive!$D$24,0)&lt;1,0,IF(ROUNDDOWN((N$35-$B43)/Aggressive!$D$24,0)&lt;2,0.5,IF(ROUNDDOWN((N$35-$B43)/Aggressive!$D$24,0)&lt;3,0.75,IF(ROUNDDOWN((N$35-$B43)/Aggressive!$D$24,0)&lt;4,0.875,0.9375)))))+HLOOKUP($B43,$C$35:$Q$36,2,FALSE)*Aggressive!$C$25*(1-IF(ROUNDDOWN((N$35-$B43)/Aggressive!$D$25,0)&lt;1,0,IF(ROUNDDOWN((N$35-$B43)/Aggressive!$D$25,0)&lt;2,0.5,IF(ROUNDDOWN((N$35-$B43)/Aggressive!$D$25,0)&lt;3,0.75,IF(ROUNDDOWN((N$35-$B43)/Aggressive!$D$25,0)&lt;4,0.875,0.9375)))))+HLOOKUP($B43,$C$35:$Q$36,2,FALSE)*Aggressive!$C$26*(1-IF(ROUNDDOWN((N$35-$B43)/Aggressive!$D$26,0)&lt;1,0,IF(ROUNDDOWN((N$35-$B43)/Aggressive!$D$26,0)&lt;2,0.5,IF(ROUNDDOWN((N$35-$B43)/Aggressive!$D$26,0)&lt;3,0.75,IF(ROUNDDOWN((N$35-$B43)/Aggressive!$D$26,0)&lt;4,0.875,0.9375)))))+HLOOKUP($B43,$C$35:$Q$36,2,FALSE)*Aggressive!$C$27*(1-IF(ROUNDDOWN((N$35-$B43)/Aggressive!$D$27,0)&lt;1,0,IF(ROUNDDOWN((N$35-$B43)/Aggressive!$D$27,0)&lt;2,0.5,IF(ROUNDDOWN((N$35-$B43)/Aggressive!$D$27,0)&lt;3,0.75,IF(ROUNDDOWN((N$35-$B43)/Aggressive!$D$27,0)&lt;4,0.875,0.9375)))))+HLOOKUP($B43,$C$35:$Q$36,2,FALSE)*Aggressive!$C$28*(1-IF(ROUNDDOWN((N$35-$B43)/Aggressive!$D$28,0)&lt;1,0,IF(ROUNDDOWN((N$35-$B43)/Aggressive!$D$28,0)&lt;2,0.5,IF(ROUNDDOWN((N$35-$B43)/Aggressive!$D$28,0)&lt;3,0.75,IF(ROUNDDOWN((N$35-$B43)/Aggressive!$D$28,0)&lt;4,0.875,0.9375)))))</f>
        <v>0</v>
      </c>
      <c r="O43" s="135">
        <f>HLOOKUP($B43,$C$35:$Q$36,2,FALSE)*Aggressive!$C$23*(1-IF(ROUNDDOWN((O$35-$B43)/Aggressive!$D$23,0)&lt;1,0,IF(ROUNDDOWN((O$35-$B43)/Aggressive!$D$23,0)&lt;2,0.5,IF(ROUNDDOWN((O$35-$B43)/Aggressive!$D$23,0)&lt;3,0.75,IF(ROUNDDOWN((O$35-$B43)/Aggressive!$D$23,0)&lt;4,0.875,0.9375)))))+HLOOKUP($B43,$C$35:$Q$36,2,FALSE)*Aggressive!$C$24*(1-IF(ROUNDDOWN((O$35-$B43)/Aggressive!$D$24,0)&lt;1,0,IF(ROUNDDOWN((O$35-$B43)/Aggressive!$D$24,0)&lt;2,0.5,IF(ROUNDDOWN((O$35-$B43)/Aggressive!$D$24,0)&lt;3,0.75,IF(ROUNDDOWN((O$35-$B43)/Aggressive!$D$24,0)&lt;4,0.875,0.9375)))))+HLOOKUP($B43,$C$35:$Q$36,2,FALSE)*Aggressive!$C$25*(1-IF(ROUNDDOWN((O$35-$B43)/Aggressive!$D$25,0)&lt;1,0,IF(ROUNDDOWN((O$35-$B43)/Aggressive!$D$25,0)&lt;2,0.5,IF(ROUNDDOWN((O$35-$B43)/Aggressive!$D$25,0)&lt;3,0.75,IF(ROUNDDOWN((O$35-$B43)/Aggressive!$D$25,0)&lt;4,0.875,0.9375)))))+HLOOKUP($B43,$C$35:$Q$36,2,FALSE)*Aggressive!$C$26*(1-IF(ROUNDDOWN((O$35-$B43)/Aggressive!$D$26,0)&lt;1,0,IF(ROUNDDOWN((O$35-$B43)/Aggressive!$D$26,0)&lt;2,0.5,IF(ROUNDDOWN((O$35-$B43)/Aggressive!$D$26,0)&lt;3,0.75,IF(ROUNDDOWN((O$35-$B43)/Aggressive!$D$26,0)&lt;4,0.875,0.9375)))))+HLOOKUP($B43,$C$35:$Q$36,2,FALSE)*Aggressive!$C$27*(1-IF(ROUNDDOWN((O$35-$B43)/Aggressive!$D$27,0)&lt;1,0,IF(ROUNDDOWN((O$35-$B43)/Aggressive!$D$27,0)&lt;2,0.5,IF(ROUNDDOWN((O$35-$B43)/Aggressive!$D$27,0)&lt;3,0.75,IF(ROUNDDOWN((O$35-$B43)/Aggressive!$D$27,0)&lt;4,0.875,0.9375)))))+HLOOKUP($B43,$C$35:$Q$36,2,FALSE)*Aggressive!$C$28*(1-IF(ROUNDDOWN((O$35-$B43)/Aggressive!$D$28,0)&lt;1,0,IF(ROUNDDOWN((O$35-$B43)/Aggressive!$D$28,0)&lt;2,0.5,IF(ROUNDDOWN((O$35-$B43)/Aggressive!$D$28,0)&lt;3,0.75,IF(ROUNDDOWN((O$35-$B43)/Aggressive!$D$28,0)&lt;4,0.875,0.9375)))))</f>
        <v>0</v>
      </c>
      <c r="P43" s="135">
        <f>HLOOKUP($B43,$C$35:$Q$36,2,FALSE)*Aggressive!$C$23*(1-IF(ROUNDDOWN((P$35-$B43)/Aggressive!$D$23,0)&lt;1,0,IF(ROUNDDOWN((P$35-$B43)/Aggressive!$D$23,0)&lt;2,0.5,IF(ROUNDDOWN((P$35-$B43)/Aggressive!$D$23,0)&lt;3,0.75,IF(ROUNDDOWN((P$35-$B43)/Aggressive!$D$23,0)&lt;4,0.875,0.9375)))))+HLOOKUP($B43,$C$35:$Q$36,2,FALSE)*Aggressive!$C$24*(1-IF(ROUNDDOWN((P$35-$B43)/Aggressive!$D$24,0)&lt;1,0,IF(ROUNDDOWN((P$35-$B43)/Aggressive!$D$24,0)&lt;2,0.5,IF(ROUNDDOWN((P$35-$B43)/Aggressive!$D$24,0)&lt;3,0.75,IF(ROUNDDOWN((P$35-$B43)/Aggressive!$D$24,0)&lt;4,0.875,0.9375)))))+HLOOKUP($B43,$C$35:$Q$36,2,FALSE)*Aggressive!$C$25*(1-IF(ROUNDDOWN((P$35-$B43)/Aggressive!$D$25,0)&lt;1,0,IF(ROUNDDOWN((P$35-$B43)/Aggressive!$D$25,0)&lt;2,0.5,IF(ROUNDDOWN((P$35-$B43)/Aggressive!$D$25,0)&lt;3,0.75,IF(ROUNDDOWN((P$35-$B43)/Aggressive!$D$25,0)&lt;4,0.875,0.9375)))))+HLOOKUP($B43,$C$35:$Q$36,2,FALSE)*Aggressive!$C$26*(1-IF(ROUNDDOWN((P$35-$B43)/Aggressive!$D$26,0)&lt;1,0,IF(ROUNDDOWN((P$35-$B43)/Aggressive!$D$26,0)&lt;2,0.5,IF(ROUNDDOWN((P$35-$B43)/Aggressive!$D$26,0)&lt;3,0.75,IF(ROUNDDOWN((P$35-$B43)/Aggressive!$D$26,0)&lt;4,0.875,0.9375)))))+HLOOKUP($B43,$C$35:$Q$36,2,FALSE)*Aggressive!$C$27*(1-IF(ROUNDDOWN((P$35-$B43)/Aggressive!$D$27,0)&lt;1,0,IF(ROUNDDOWN((P$35-$B43)/Aggressive!$D$27,0)&lt;2,0.5,IF(ROUNDDOWN((P$35-$B43)/Aggressive!$D$27,0)&lt;3,0.75,IF(ROUNDDOWN((P$35-$B43)/Aggressive!$D$27,0)&lt;4,0.875,0.9375)))))+HLOOKUP($B43,$C$35:$Q$36,2,FALSE)*Aggressive!$C$28*(1-IF(ROUNDDOWN((P$35-$B43)/Aggressive!$D$28,0)&lt;1,0,IF(ROUNDDOWN((P$35-$B43)/Aggressive!$D$28,0)&lt;2,0.5,IF(ROUNDDOWN((P$35-$B43)/Aggressive!$D$28,0)&lt;3,0.75,IF(ROUNDDOWN((P$35-$B43)/Aggressive!$D$28,0)&lt;4,0.875,0.9375)))))</f>
        <v>0</v>
      </c>
      <c r="Q43" s="135">
        <f>HLOOKUP($B43,$C$35:$Q$36,2,FALSE)*Aggressive!$C$23*(1-IF(ROUNDDOWN((Q$35-$B43)/Aggressive!$D$23,0)&lt;1,0,IF(ROUNDDOWN((Q$35-$B43)/Aggressive!$D$23,0)&lt;2,0.5,IF(ROUNDDOWN((Q$35-$B43)/Aggressive!$D$23,0)&lt;3,0.75,IF(ROUNDDOWN((Q$35-$B43)/Aggressive!$D$23,0)&lt;4,0.875,0.9375)))))+HLOOKUP($B43,$C$35:$Q$36,2,FALSE)*Aggressive!$C$24*(1-IF(ROUNDDOWN((Q$35-$B43)/Aggressive!$D$24,0)&lt;1,0,IF(ROUNDDOWN((Q$35-$B43)/Aggressive!$D$24,0)&lt;2,0.5,IF(ROUNDDOWN((Q$35-$B43)/Aggressive!$D$24,0)&lt;3,0.75,IF(ROUNDDOWN((Q$35-$B43)/Aggressive!$D$24,0)&lt;4,0.875,0.9375)))))+HLOOKUP($B43,$C$35:$Q$36,2,FALSE)*Aggressive!$C$25*(1-IF(ROUNDDOWN((Q$35-$B43)/Aggressive!$D$25,0)&lt;1,0,IF(ROUNDDOWN((Q$35-$B43)/Aggressive!$D$25,0)&lt;2,0.5,IF(ROUNDDOWN((Q$35-$B43)/Aggressive!$D$25,0)&lt;3,0.75,IF(ROUNDDOWN((Q$35-$B43)/Aggressive!$D$25,0)&lt;4,0.875,0.9375)))))+HLOOKUP($B43,$C$35:$Q$36,2,FALSE)*Aggressive!$C$26*(1-IF(ROUNDDOWN((Q$35-$B43)/Aggressive!$D$26,0)&lt;1,0,IF(ROUNDDOWN((Q$35-$B43)/Aggressive!$D$26,0)&lt;2,0.5,IF(ROUNDDOWN((Q$35-$B43)/Aggressive!$D$26,0)&lt;3,0.75,IF(ROUNDDOWN((Q$35-$B43)/Aggressive!$D$26,0)&lt;4,0.875,0.9375)))))+HLOOKUP($B43,$C$35:$Q$36,2,FALSE)*Aggressive!$C$27*(1-IF(ROUNDDOWN((Q$35-$B43)/Aggressive!$D$27,0)&lt;1,0,IF(ROUNDDOWN((Q$35-$B43)/Aggressive!$D$27,0)&lt;2,0.5,IF(ROUNDDOWN((Q$35-$B43)/Aggressive!$D$27,0)&lt;3,0.75,IF(ROUNDDOWN((Q$35-$B43)/Aggressive!$D$27,0)&lt;4,0.875,0.9375)))))+HLOOKUP($B43,$C$35:$Q$36,2,FALSE)*Aggressive!$C$28*(1-IF(ROUNDDOWN((Q$35-$B43)/Aggressive!$D$28,0)&lt;1,0,IF(ROUNDDOWN((Q$35-$B43)/Aggressive!$D$28,0)&lt;2,0.5,IF(ROUNDDOWN((Q$35-$B43)/Aggressive!$D$28,0)&lt;3,0.75,IF(ROUNDDOWN((Q$35-$B43)/Aggressive!$D$28,0)&lt;4,0.875,0.9375)))))</f>
        <v>0</v>
      </c>
      <c r="R43" s="50"/>
    </row>
    <row r="44" spans="2:18" x14ac:dyDescent="0.3">
      <c r="B44" s="237">
        <f t="shared" si="9"/>
        <v>2020</v>
      </c>
      <c r="C44" s="135"/>
      <c r="D44" s="135"/>
      <c r="E44" s="135"/>
      <c r="F44" s="135"/>
      <c r="G44" s="135"/>
      <c r="H44" s="135">
        <f>HLOOKUP($B44,$C$35:$Q$36,2,FALSE)*Aggressive!$C$23*(1-IF(ROUNDDOWN((H$35-$B44)/Aggressive!$D$23,0)&lt;1,0,IF(ROUNDDOWN((H$35-$B44)/Aggressive!$D$23,0)&lt;2,0.5,IF(ROUNDDOWN((H$35-$B44)/Aggressive!$D$23,0)&lt;3,0.75,IF(ROUNDDOWN((H$35-$B44)/Aggressive!$D$23,0)&lt;4,0.875,0.9375)))))+HLOOKUP($B44,$C$35:$Q$36,2,FALSE)*Aggressive!$C$24*(1-IF(ROUNDDOWN((H$35-$B44)/Aggressive!$D$24,0)&lt;1,0,IF(ROUNDDOWN((H$35-$B44)/Aggressive!$D$24,0)&lt;2,0.5,IF(ROUNDDOWN((H$35-$B44)/Aggressive!$D$24,0)&lt;3,0.75,IF(ROUNDDOWN((H$35-$B44)/Aggressive!$D$24,0)&lt;4,0.875,0.9375)))))+HLOOKUP($B44,$C$35:$Q$36,2,FALSE)*Aggressive!$C$25*(1-IF(ROUNDDOWN((H$35-$B44)/Aggressive!$D$25,0)&lt;1,0,IF(ROUNDDOWN((H$35-$B44)/Aggressive!$D$25,0)&lt;2,0.5,IF(ROUNDDOWN((H$35-$B44)/Aggressive!$D$25,0)&lt;3,0.75,IF(ROUNDDOWN((H$35-$B44)/Aggressive!$D$25,0)&lt;4,0.875,0.9375)))))+HLOOKUP($B44,$C$35:$Q$36,2,FALSE)*Aggressive!$C$26*(1-IF(ROUNDDOWN((H$35-$B44)/Aggressive!$D$26,0)&lt;1,0,IF(ROUNDDOWN((H$35-$B44)/Aggressive!$D$26,0)&lt;2,0.5,IF(ROUNDDOWN((H$35-$B44)/Aggressive!$D$26,0)&lt;3,0.75,IF(ROUNDDOWN((H$35-$B44)/Aggressive!$D$26,0)&lt;4,0.875,0.9375)))))+HLOOKUP($B44,$C$35:$Q$36,2,FALSE)*Aggressive!$C$27*(1-IF(ROUNDDOWN((H$35-$B44)/Aggressive!$D$27,0)&lt;1,0,IF(ROUNDDOWN((H$35-$B44)/Aggressive!$D$27,0)&lt;2,0.5,IF(ROUNDDOWN((H$35-$B44)/Aggressive!$D$27,0)&lt;3,0.75,IF(ROUNDDOWN((H$35-$B44)/Aggressive!$D$27,0)&lt;4,0.875,0.9375)))))+HLOOKUP($B44,$C$35:$Q$36,2,FALSE)*Aggressive!$C$28*(1-IF(ROUNDDOWN((H$35-$B44)/Aggressive!$D$28,0)&lt;1,0,IF(ROUNDDOWN((H$35-$B44)/Aggressive!$D$28,0)&lt;2,0.5,IF(ROUNDDOWN((H$35-$B44)/Aggressive!$D$28,0)&lt;3,0.75,IF(ROUNDDOWN((H$35-$B44)/Aggressive!$D$28,0)&lt;4,0.875,0.9375)))))</f>
        <v>0</v>
      </c>
      <c r="I44" s="135">
        <f>HLOOKUP($B44,$C$35:$Q$36,2,FALSE)*Aggressive!$C$23*(1-IF(ROUNDDOWN((I$35-$B44)/Aggressive!$D$23,0)&lt;1,0,IF(ROUNDDOWN((I$35-$B44)/Aggressive!$D$23,0)&lt;2,0.5,IF(ROUNDDOWN((I$35-$B44)/Aggressive!$D$23,0)&lt;3,0.75,IF(ROUNDDOWN((I$35-$B44)/Aggressive!$D$23,0)&lt;4,0.875,0.9375)))))+HLOOKUP($B44,$C$35:$Q$36,2,FALSE)*Aggressive!$C$24*(1-IF(ROUNDDOWN((I$35-$B44)/Aggressive!$D$24,0)&lt;1,0,IF(ROUNDDOWN((I$35-$B44)/Aggressive!$D$24,0)&lt;2,0.5,IF(ROUNDDOWN((I$35-$B44)/Aggressive!$D$24,0)&lt;3,0.75,IF(ROUNDDOWN((I$35-$B44)/Aggressive!$D$24,0)&lt;4,0.875,0.9375)))))+HLOOKUP($B44,$C$35:$Q$36,2,FALSE)*Aggressive!$C$25*(1-IF(ROUNDDOWN((I$35-$B44)/Aggressive!$D$25,0)&lt;1,0,IF(ROUNDDOWN((I$35-$B44)/Aggressive!$D$25,0)&lt;2,0.5,IF(ROUNDDOWN((I$35-$B44)/Aggressive!$D$25,0)&lt;3,0.75,IF(ROUNDDOWN((I$35-$B44)/Aggressive!$D$25,0)&lt;4,0.875,0.9375)))))+HLOOKUP($B44,$C$35:$Q$36,2,FALSE)*Aggressive!$C$26*(1-IF(ROUNDDOWN((I$35-$B44)/Aggressive!$D$26,0)&lt;1,0,IF(ROUNDDOWN((I$35-$B44)/Aggressive!$D$26,0)&lt;2,0.5,IF(ROUNDDOWN((I$35-$B44)/Aggressive!$D$26,0)&lt;3,0.75,IF(ROUNDDOWN((I$35-$B44)/Aggressive!$D$26,0)&lt;4,0.875,0.9375)))))+HLOOKUP($B44,$C$35:$Q$36,2,FALSE)*Aggressive!$C$27*(1-IF(ROUNDDOWN((I$35-$B44)/Aggressive!$D$27,0)&lt;1,0,IF(ROUNDDOWN((I$35-$B44)/Aggressive!$D$27,0)&lt;2,0.5,IF(ROUNDDOWN((I$35-$B44)/Aggressive!$D$27,0)&lt;3,0.75,IF(ROUNDDOWN((I$35-$B44)/Aggressive!$D$27,0)&lt;4,0.875,0.9375)))))+HLOOKUP($B44,$C$35:$Q$36,2,FALSE)*Aggressive!$C$28*(1-IF(ROUNDDOWN((I$35-$B44)/Aggressive!$D$28,0)&lt;1,0,IF(ROUNDDOWN((I$35-$B44)/Aggressive!$D$28,0)&lt;2,0.5,IF(ROUNDDOWN((I$35-$B44)/Aggressive!$D$28,0)&lt;3,0.75,IF(ROUNDDOWN((I$35-$B44)/Aggressive!$D$28,0)&lt;4,0.875,0.9375)))))</f>
        <v>0</v>
      </c>
      <c r="J44" s="135">
        <f>HLOOKUP($B44,$C$35:$Q$36,2,FALSE)*Aggressive!$C$23*(1-IF(ROUNDDOWN((J$35-$B44)/Aggressive!$D$23,0)&lt;1,0,IF(ROUNDDOWN((J$35-$B44)/Aggressive!$D$23,0)&lt;2,0.5,IF(ROUNDDOWN((J$35-$B44)/Aggressive!$D$23,0)&lt;3,0.75,IF(ROUNDDOWN((J$35-$B44)/Aggressive!$D$23,0)&lt;4,0.875,0.9375)))))+HLOOKUP($B44,$C$35:$Q$36,2,FALSE)*Aggressive!$C$24*(1-IF(ROUNDDOWN((J$35-$B44)/Aggressive!$D$24,0)&lt;1,0,IF(ROUNDDOWN((J$35-$B44)/Aggressive!$D$24,0)&lt;2,0.5,IF(ROUNDDOWN((J$35-$B44)/Aggressive!$D$24,0)&lt;3,0.75,IF(ROUNDDOWN((J$35-$B44)/Aggressive!$D$24,0)&lt;4,0.875,0.9375)))))+HLOOKUP($B44,$C$35:$Q$36,2,FALSE)*Aggressive!$C$25*(1-IF(ROUNDDOWN((J$35-$B44)/Aggressive!$D$25,0)&lt;1,0,IF(ROUNDDOWN((J$35-$B44)/Aggressive!$D$25,0)&lt;2,0.5,IF(ROUNDDOWN((J$35-$B44)/Aggressive!$D$25,0)&lt;3,0.75,IF(ROUNDDOWN((J$35-$B44)/Aggressive!$D$25,0)&lt;4,0.875,0.9375)))))+HLOOKUP($B44,$C$35:$Q$36,2,FALSE)*Aggressive!$C$26*(1-IF(ROUNDDOWN((J$35-$B44)/Aggressive!$D$26,0)&lt;1,0,IF(ROUNDDOWN((J$35-$B44)/Aggressive!$D$26,0)&lt;2,0.5,IF(ROUNDDOWN((J$35-$B44)/Aggressive!$D$26,0)&lt;3,0.75,IF(ROUNDDOWN((J$35-$B44)/Aggressive!$D$26,0)&lt;4,0.875,0.9375)))))+HLOOKUP($B44,$C$35:$Q$36,2,FALSE)*Aggressive!$C$27*(1-IF(ROUNDDOWN((J$35-$B44)/Aggressive!$D$27,0)&lt;1,0,IF(ROUNDDOWN((J$35-$B44)/Aggressive!$D$27,0)&lt;2,0.5,IF(ROUNDDOWN((J$35-$B44)/Aggressive!$D$27,0)&lt;3,0.75,IF(ROUNDDOWN((J$35-$B44)/Aggressive!$D$27,0)&lt;4,0.875,0.9375)))))+HLOOKUP($B44,$C$35:$Q$36,2,FALSE)*Aggressive!$C$28*(1-IF(ROUNDDOWN((J$35-$B44)/Aggressive!$D$28,0)&lt;1,0,IF(ROUNDDOWN((J$35-$B44)/Aggressive!$D$28,0)&lt;2,0.5,IF(ROUNDDOWN((J$35-$B44)/Aggressive!$D$28,0)&lt;3,0.75,IF(ROUNDDOWN((J$35-$B44)/Aggressive!$D$28,0)&lt;4,0.875,0.9375)))))</f>
        <v>0</v>
      </c>
      <c r="K44" s="135">
        <f>HLOOKUP($B44,$C$35:$Q$36,2,FALSE)*Aggressive!$C$23*(1-IF(ROUNDDOWN((K$35-$B44)/Aggressive!$D$23,0)&lt;1,0,IF(ROUNDDOWN((K$35-$B44)/Aggressive!$D$23,0)&lt;2,0.5,IF(ROUNDDOWN((K$35-$B44)/Aggressive!$D$23,0)&lt;3,0.75,IF(ROUNDDOWN((K$35-$B44)/Aggressive!$D$23,0)&lt;4,0.875,0.9375)))))+HLOOKUP($B44,$C$35:$Q$36,2,FALSE)*Aggressive!$C$24*(1-IF(ROUNDDOWN((K$35-$B44)/Aggressive!$D$24,0)&lt;1,0,IF(ROUNDDOWN((K$35-$B44)/Aggressive!$D$24,0)&lt;2,0.5,IF(ROUNDDOWN((K$35-$B44)/Aggressive!$D$24,0)&lt;3,0.75,IF(ROUNDDOWN((K$35-$B44)/Aggressive!$D$24,0)&lt;4,0.875,0.9375)))))+HLOOKUP($B44,$C$35:$Q$36,2,FALSE)*Aggressive!$C$25*(1-IF(ROUNDDOWN((K$35-$B44)/Aggressive!$D$25,0)&lt;1,0,IF(ROUNDDOWN((K$35-$B44)/Aggressive!$D$25,0)&lt;2,0.5,IF(ROUNDDOWN((K$35-$B44)/Aggressive!$D$25,0)&lt;3,0.75,IF(ROUNDDOWN((K$35-$B44)/Aggressive!$D$25,0)&lt;4,0.875,0.9375)))))+HLOOKUP($B44,$C$35:$Q$36,2,FALSE)*Aggressive!$C$26*(1-IF(ROUNDDOWN((K$35-$B44)/Aggressive!$D$26,0)&lt;1,0,IF(ROUNDDOWN((K$35-$B44)/Aggressive!$D$26,0)&lt;2,0.5,IF(ROUNDDOWN((K$35-$B44)/Aggressive!$D$26,0)&lt;3,0.75,IF(ROUNDDOWN((K$35-$B44)/Aggressive!$D$26,0)&lt;4,0.875,0.9375)))))+HLOOKUP($B44,$C$35:$Q$36,2,FALSE)*Aggressive!$C$27*(1-IF(ROUNDDOWN((K$35-$B44)/Aggressive!$D$27,0)&lt;1,0,IF(ROUNDDOWN((K$35-$B44)/Aggressive!$D$27,0)&lt;2,0.5,IF(ROUNDDOWN((K$35-$B44)/Aggressive!$D$27,0)&lt;3,0.75,IF(ROUNDDOWN((K$35-$B44)/Aggressive!$D$27,0)&lt;4,0.875,0.9375)))))+HLOOKUP($B44,$C$35:$Q$36,2,FALSE)*Aggressive!$C$28*(1-IF(ROUNDDOWN((K$35-$B44)/Aggressive!$D$28,0)&lt;1,0,IF(ROUNDDOWN((K$35-$B44)/Aggressive!$D$28,0)&lt;2,0.5,IF(ROUNDDOWN((K$35-$B44)/Aggressive!$D$28,0)&lt;3,0.75,IF(ROUNDDOWN((K$35-$B44)/Aggressive!$D$28,0)&lt;4,0.875,0.9375)))))</f>
        <v>0</v>
      </c>
      <c r="L44" s="135">
        <f>HLOOKUP($B44,$C$35:$Q$36,2,FALSE)*Aggressive!$C$23*(1-IF(ROUNDDOWN((L$35-$B44)/Aggressive!$D$23,0)&lt;1,0,IF(ROUNDDOWN((L$35-$B44)/Aggressive!$D$23,0)&lt;2,0.5,IF(ROUNDDOWN((L$35-$B44)/Aggressive!$D$23,0)&lt;3,0.75,IF(ROUNDDOWN((L$35-$B44)/Aggressive!$D$23,0)&lt;4,0.875,0.9375)))))+HLOOKUP($B44,$C$35:$Q$36,2,FALSE)*Aggressive!$C$24*(1-IF(ROUNDDOWN((L$35-$B44)/Aggressive!$D$24,0)&lt;1,0,IF(ROUNDDOWN((L$35-$B44)/Aggressive!$D$24,0)&lt;2,0.5,IF(ROUNDDOWN((L$35-$B44)/Aggressive!$D$24,0)&lt;3,0.75,IF(ROUNDDOWN((L$35-$B44)/Aggressive!$D$24,0)&lt;4,0.875,0.9375)))))+HLOOKUP($B44,$C$35:$Q$36,2,FALSE)*Aggressive!$C$25*(1-IF(ROUNDDOWN((L$35-$B44)/Aggressive!$D$25,0)&lt;1,0,IF(ROUNDDOWN((L$35-$B44)/Aggressive!$D$25,0)&lt;2,0.5,IF(ROUNDDOWN((L$35-$B44)/Aggressive!$D$25,0)&lt;3,0.75,IF(ROUNDDOWN((L$35-$B44)/Aggressive!$D$25,0)&lt;4,0.875,0.9375)))))+HLOOKUP($B44,$C$35:$Q$36,2,FALSE)*Aggressive!$C$26*(1-IF(ROUNDDOWN((L$35-$B44)/Aggressive!$D$26,0)&lt;1,0,IF(ROUNDDOWN((L$35-$B44)/Aggressive!$D$26,0)&lt;2,0.5,IF(ROUNDDOWN((L$35-$B44)/Aggressive!$D$26,0)&lt;3,0.75,IF(ROUNDDOWN((L$35-$B44)/Aggressive!$D$26,0)&lt;4,0.875,0.9375)))))+HLOOKUP($B44,$C$35:$Q$36,2,FALSE)*Aggressive!$C$27*(1-IF(ROUNDDOWN((L$35-$B44)/Aggressive!$D$27,0)&lt;1,0,IF(ROUNDDOWN((L$35-$B44)/Aggressive!$D$27,0)&lt;2,0.5,IF(ROUNDDOWN((L$35-$B44)/Aggressive!$D$27,0)&lt;3,0.75,IF(ROUNDDOWN((L$35-$B44)/Aggressive!$D$27,0)&lt;4,0.875,0.9375)))))+HLOOKUP($B44,$C$35:$Q$36,2,FALSE)*Aggressive!$C$28*(1-IF(ROUNDDOWN((L$35-$B44)/Aggressive!$D$28,0)&lt;1,0,IF(ROUNDDOWN((L$35-$B44)/Aggressive!$D$28,0)&lt;2,0.5,IF(ROUNDDOWN((L$35-$B44)/Aggressive!$D$28,0)&lt;3,0.75,IF(ROUNDDOWN((L$35-$B44)/Aggressive!$D$28,0)&lt;4,0.875,0.9375)))))</f>
        <v>0</v>
      </c>
      <c r="M44" s="135">
        <f>HLOOKUP($B44,$C$35:$Q$36,2,FALSE)*Aggressive!$C$23*(1-IF(ROUNDDOWN((M$35-$B44)/Aggressive!$D$23,0)&lt;1,0,IF(ROUNDDOWN((M$35-$B44)/Aggressive!$D$23,0)&lt;2,0.5,IF(ROUNDDOWN((M$35-$B44)/Aggressive!$D$23,0)&lt;3,0.75,IF(ROUNDDOWN((M$35-$B44)/Aggressive!$D$23,0)&lt;4,0.875,0.9375)))))+HLOOKUP($B44,$C$35:$Q$36,2,FALSE)*Aggressive!$C$24*(1-IF(ROUNDDOWN((M$35-$B44)/Aggressive!$D$24,0)&lt;1,0,IF(ROUNDDOWN((M$35-$B44)/Aggressive!$D$24,0)&lt;2,0.5,IF(ROUNDDOWN((M$35-$B44)/Aggressive!$D$24,0)&lt;3,0.75,IF(ROUNDDOWN((M$35-$B44)/Aggressive!$D$24,0)&lt;4,0.875,0.9375)))))+HLOOKUP($B44,$C$35:$Q$36,2,FALSE)*Aggressive!$C$25*(1-IF(ROUNDDOWN((M$35-$B44)/Aggressive!$D$25,0)&lt;1,0,IF(ROUNDDOWN((M$35-$B44)/Aggressive!$D$25,0)&lt;2,0.5,IF(ROUNDDOWN((M$35-$B44)/Aggressive!$D$25,0)&lt;3,0.75,IF(ROUNDDOWN((M$35-$B44)/Aggressive!$D$25,0)&lt;4,0.875,0.9375)))))+HLOOKUP($B44,$C$35:$Q$36,2,FALSE)*Aggressive!$C$26*(1-IF(ROUNDDOWN((M$35-$B44)/Aggressive!$D$26,0)&lt;1,0,IF(ROUNDDOWN((M$35-$B44)/Aggressive!$D$26,0)&lt;2,0.5,IF(ROUNDDOWN((M$35-$B44)/Aggressive!$D$26,0)&lt;3,0.75,IF(ROUNDDOWN((M$35-$B44)/Aggressive!$D$26,0)&lt;4,0.875,0.9375)))))+HLOOKUP($B44,$C$35:$Q$36,2,FALSE)*Aggressive!$C$27*(1-IF(ROUNDDOWN((M$35-$B44)/Aggressive!$D$27,0)&lt;1,0,IF(ROUNDDOWN((M$35-$B44)/Aggressive!$D$27,0)&lt;2,0.5,IF(ROUNDDOWN((M$35-$B44)/Aggressive!$D$27,0)&lt;3,0.75,IF(ROUNDDOWN((M$35-$B44)/Aggressive!$D$27,0)&lt;4,0.875,0.9375)))))+HLOOKUP($B44,$C$35:$Q$36,2,FALSE)*Aggressive!$C$28*(1-IF(ROUNDDOWN((M$35-$B44)/Aggressive!$D$28,0)&lt;1,0,IF(ROUNDDOWN((M$35-$B44)/Aggressive!$D$28,0)&lt;2,0.5,IF(ROUNDDOWN((M$35-$B44)/Aggressive!$D$28,0)&lt;3,0.75,IF(ROUNDDOWN((M$35-$B44)/Aggressive!$D$28,0)&lt;4,0.875,0.9375)))))</f>
        <v>0</v>
      </c>
      <c r="N44" s="135">
        <f>HLOOKUP($B44,$C$35:$Q$36,2,FALSE)*Aggressive!$C$23*(1-IF(ROUNDDOWN((N$35-$B44)/Aggressive!$D$23,0)&lt;1,0,IF(ROUNDDOWN((N$35-$B44)/Aggressive!$D$23,0)&lt;2,0.5,IF(ROUNDDOWN((N$35-$B44)/Aggressive!$D$23,0)&lt;3,0.75,IF(ROUNDDOWN((N$35-$B44)/Aggressive!$D$23,0)&lt;4,0.875,0.9375)))))+HLOOKUP($B44,$C$35:$Q$36,2,FALSE)*Aggressive!$C$24*(1-IF(ROUNDDOWN((N$35-$B44)/Aggressive!$D$24,0)&lt;1,0,IF(ROUNDDOWN((N$35-$B44)/Aggressive!$D$24,0)&lt;2,0.5,IF(ROUNDDOWN((N$35-$B44)/Aggressive!$D$24,0)&lt;3,0.75,IF(ROUNDDOWN((N$35-$B44)/Aggressive!$D$24,0)&lt;4,0.875,0.9375)))))+HLOOKUP($B44,$C$35:$Q$36,2,FALSE)*Aggressive!$C$25*(1-IF(ROUNDDOWN((N$35-$B44)/Aggressive!$D$25,0)&lt;1,0,IF(ROUNDDOWN((N$35-$B44)/Aggressive!$D$25,0)&lt;2,0.5,IF(ROUNDDOWN((N$35-$B44)/Aggressive!$D$25,0)&lt;3,0.75,IF(ROUNDDOWN((N$35-$B44)/Aggressive!$D$25,0)&lt;4,0.875,0.9375)))))+HLOOKUP($B44,$C$35:$Q$36,2,FALSE)*Aggressive!$C$26*(1-IF(ROUNDDOWN((N$35-$B44)/Aggressive!$D$26,0)&lt;1,0,IF(ROUNDDOWN((N$35-$B44)/Aggressive!$D$26,0)&lt;2,0.5,IF(ROUNDDOWN((N$35-$B44)/Aggressive!$D$26,0)&lt;3,0.75,IF(ROUNDDOWN((N$35-$B44)/Aggressive!$D$26,0)&lt;4,0.875,0.9375)))))+HLOOKUP($B44,$C$35:$Q$36,2,FALSE)*Aggressive!$C$27*(1-IF(ROUNDDOWN((N$35-$B44)/Aggressive!$D$27,0)&lt;1,0,IF(ROUNDDOWN((N$35-$B44)/Aggressive!$D$27,0)&lt;2,0.5,IF(ROUNDDOWN((N$35-$B44)/Aggressive!$D$27,0)&lt;3,0.75,IF(ROUNDDOWN((N$35-$B44)/Aggressive!$D$27,0)&lt;4,0.875,0.9375)))))+HLOOKUP($B44,$C$35:$Q$36,2,FALSE)*Aggressive!$C$28*(1-IF(ROUNDDOWN((N$35-$B44)/Aggressive!$D$28,0)&lt;1,0,IF(ROUNDDOWN((N$35-$B44)/Aggressive!$D$28,0)&lt;2,0.5,IF(ROUNDDOWN((N$35-$B44)/Aggressive!$D$28,0)&lt;3,0.75,IF(ROUNDDOWN((N$35-$B44)/Aggressive!$D$28,0)&lt;4,0.875,0.9375)))))</f>
        <v>0</v>
      </c>
      <c r="O44" s="135">
        <f>HLOOKUP($B44,$C$35:$Q$36,2,FALSE)*Aggressive!$C$23*(1-IF(ROUNDDOWN((O$35-$B44)/Aggressive!$D$23,0)&lt;1,0,IF(ROUNDDOWN((O$35-$B44)/Aggressive!$D$23,0)&lt;2,0.5,IF(ROUNDDOWN((O$35-$B44)/Aggressive!$D$23,0)&lt;3,0.75,IF(ROUNDDOWN((O$35-$B44)/Aggressive!$D$23,0)&lt;4,0.875,0.9375)))))+HLOOKUP($B44,$C$35:$Q$36,2,FALSE)*Aggressive!$C$24*(1-IF(ROUNDDOWN((O$35-$B44)/Aggressive!$D$24,0)&lt;1,0,IF(ROUNDDOWN((O$35-$B44)/Aggressive!$D$24,0)&lt;2,0.5,IF(ROUNDDOWN((O$35-$B44)/Aggressive!$D$24,0)&lt;3,0.75,IF(ROUNDDOWN((O$35-$B44)/Aggressive!$D$24,0)&lt;4,0.875,0.9375)))))+HLOOKUP($B44,$C$35:$Q$36,2,FALSE)*Aggressive!$C$25*(1-IF(ROUNDDOWN((O$35-$B44)/Aggressive!$D$25,0)&lt;1,0,IF(ROUNDDOWN((O$35-$B44)/Aggressive!$D$25,0)&lt;2,0.5,IF(ROUNDDOWN((O$35-$B44)/Aggressive!$D$25,0)&lt;3,0.75,IF(ROUNDDOWN((O$35-$B44)/Aggressive!$D$25,0)&lt;4,0.875,0.9375)))))+HLOOKUP($B44,$C$35:$Q$36,2,FALSE)*Aggressive!$C$26*(1-IF(ROUNDDOWN((O$35-$B44)/Aggressive!$D$26,0)&lt;1,0,IF(ROUNDDOWN((O$35-$B44)/Aggressive!$D$26,0)&lt;2,0.5,IF(ROUNDDOWN((O$35-$B44)/Aggressive!$D$26,0)&lt;3,0.75,IF(ROUNDDOWN((O$35-$B44)/Aggressive!$D$26,0)&lt;4,0.875,0.9375)))))+HLOOKUP($B44,$C$35:$Q$36,2,FALSE)*Aggressive!$C$27*(1-IF(ROUNDDOWN((O$35-$B44)/Aggressive!$D$27,0)&lt;1,0,IF(ROUNDDOWN((O$35-$B44)/Aggressive!$D$27,0)&lt;2,0.5,IF(ROUNDDOWN((O$35-$B44)/Aggressive!$D$27,0)&lt;3,0.75,IF(ROUNDDOWN((O$35-$B44)/Aggressive!$D$27,0)&lt;4,0.875,0.9375)))))+HLOOKUP($B44,$C$35:$Q$36,2,FALSE)*Aggressive!$C$28*(1-IF(ROUNDDOWN((O$35-$B44)/Aggressive!$D$28,0)&lt;1,0,IF(ROUNDDOWN((O$35-$B44)/Aggressive!$D$28,0)&lt;2,0.5,IF(ROUNDDOWN((O$35-$B44)/Aggressive!$D$28,0)&lt;3,0.75,IF(ROUNDDOWN((O$35-$B44)/Aggressive!$D$28,0)&lt;4,0.875,0.9375)))))</f>
        <v>0</v>
      </c>
      <c r="P44" s="135">
        <f>HLOOKUP($B44,$C$35:$Q$36,2,FALSE)*Aggressive!$C$23*(1-IF(ROUNDDOWN((P$35-$B44)/Aggressive!$D$23,0)&lt;1,0,IF(ROUNDDOWN((P$35-$B44)/Aggressive!$D$23,0)&lt;2,0.5,IF(ROUNDDOWN((P$35-$B44)/Aggressive!$D$23,0)&lt;3,0.75,IF(ROUNDDOWN((P$35-$B44)/Aggressive!$D$23,0)&lt;4,0.875,0.9375)))))+HLOOKUP($B44,$C$35:$Q$36,2,FALSE)*Aggressive!$C$24*(1-IF(ROUNDDOWN((P$35-$B44)/Aggressive!$D$24,0)&lt;1,0,IF(ROUNDDOWN((P$35-$B44)/Aggressive!$D$24,0)&lt;2,0.5,IF(ROUNDDOWN((P$35-$B44)/Aggressive!$D$24,0)&lt;3,0.75,IF(ROUNDDOWN((P$35-$B44)/Aggressive!$D$24,0)&lt;4,0.875,0.9375)))))+HLOOKUP($B44,$C$35:$Q$36,2,FALSE)*Aggressive!$C$25*(1-IF(ROUNDDOWN((P$35-$B44)/Aggressive!$D$25,0)&lt;1,0,IF(ROUNDDOWN((P$35-$B44)/Aggressive!$D$25,0)&lt;2,0.5,IF(ROUNDDOWN((P$35-$B44)/Aggressive!$D$25,0)&lt;3,0.75,IF(ROUNDDOWN((P$35-$B44)/Aggressive!$D$25,0)&lt;4,0.875,0.9375)))))+HLOOKUP($B44,$C$35:$Q$36,2,FALSE)*Aggressive!$C$26*(1-IF(ROUNDDOWN((P$35-$B44)/Aggressive!$D$26,0)&lt;1,0,IF(ROUNDDOWN((P$35-$B44)/Aggressive!$D$26,0)&lt;2,0.5,IF(ROUNDDOWN((P$35-$B44)/Aggressive!$D$26,0)&lt;3,0.75,IF(ROUNDDOWN((P$35-$B44)/Aggressive!$D$26,0)&lt;4,0.875,0.9375)))))+HLOOKUP($B44,$C$35:$Q$36,2,FALSE)*Aggressive!$C$27*(1-IF(ROUNDDOWN((P$35-$B44)/Aggressive!$D$27,0)&lt;1,0,IF(ROUNDDOWN((P$35-$B44)/Aggressive!$D$27,0)&lt;2,0.5,IF(ROUNDDOWN((P$35-$B44)/Aggressive!$D$27,0)&lt;3,0.75,IF(ROUNDDOWN((P$35-$B44)/Aggressive!$D$27,0)&lt;4,0.875,0.9375)))))+HLOOKUP($B44,$C$35:$Q$36,2,FALSE)*Aggressive!$C$28*(1-IF(ROUNDDOWN((P$35-$B44)/Aggressive!$D$28,0)&lt;1,0,IF(ROUNDDOWN((P$35-$B44)/Aggressive!$D$28,0)&lt;2,0.5,IF(ROUNDDOWN((P$35-$B44)/Aggressive!$D$28,0)&lt;3,0.75,IF(ROUNDDOWN((P$35-$B44)/Aggressive!$D$28,0)&lt;4,0.875,0.9375)))))</f>
        <v>0</v>
      </c>
      <c r="Q44" s="135">
        <f>HLOOKUP($B44,$C$35:$Q$36,2,FALSE)*Aggressive!$C$23*(1-IF(ROUNDDOWN((Q$35-$B44)/Aggressive!$D$23,0)&lt;1,0,IF(ROUNDDOWN((Q$35-$B44)/Aggressive!$D$23,0)&lt;2,0.5,IF(ROUNDDOWN((Q$35-$B44)/Aggressive!$D$23,0)&lt;3,0.75,IF(ROUNDDOWN((Q$35-$B44)/Aggressive!$D$23,0)&lt;4,0.875,0.9375)))))+HLOOKUP($B44,$C$35:$Q$36,2,FALSE)*Aggressive!$C$24*(1-IF(ROUNDDOWN((Q$35-$B44)/Aggressive!$D$24,0)&lt;1,0,IF(ROUNDDOWN((Q$35-$B44)/Aggressive!$D$24,0)&lt;2,0.5,IF(ROUNDDOWN((Q$35-$B44)/Aggressive!$D$24,0)&lt;3,0.75,IF(ROUNDDOWN((Q$35-$B44)/Aggressive!$D$24,0)&lt;4,0.875,0.9375)))))+HLOOKUP($B44,$C$35:$Q$36,2,FALSE)*Aggressive!$C$25*(1-IF(ROUNDDOWN((Q$35-$B44)/Aggressive!$D$25,0)&lt;1,0,IF(ROUNDDOWN((Q$35-$B44)/Aggressive!$D$25,0)&lt;2,0.5,IF(ROUNDDOWN((Q$35-$B44)/Aggressive!$D$25,0)&lt;3,0.75,IF(ROUNDDOWN((Q$35-$B44)/Aggressive!$D$25,0)&lt;4,0.875,0.9375)))))+HLOOKUP($B44,$C$35:$Q$36,2,FALSE)*Aggressive!$C$26*(1-IF(ROUNDDOWN((Q$35-$B44)/Aggressive!$D$26,0)&lt;1,0,IF(ROUNDDOWN((Q$35-$B44)/Aggressive!$D$26,0)&lt;2,0.5,IF(ROUNDDOWN((Q$35-$B44)/Aggressive!$D$26,0)&lt;3,0.75,IF(ROUNDDOWN((Q$35-$B44)/Aggressive!$D$26,0)&lt;4,0.875,0.9375)))))+HLOOKUP($B44,$C$35:$Q$36,2,FALSE)*Aggressive!$C$27*(1-IF(ROUNDDOWN((Q$35-$B44)/Aggressive!$D$27,0)&lt;1,0,IF(ROUNDDOWN((Q$35-$B44)/Aggressive!$D$27,0)&lt;2,0.5,IF(ROUNDDOWN((Q$35-$B44)/Aggressive!$D$27,0)&lt;3,0.75,IF(ROUNDDOWN((Q$35-$B44)/Aggressive!$D$27,0)&lt;4,0.875,0.9375)))))+HLOOKUP($B44,$C$35:$Q$36,2,FALSE)*Aggressive!$C$28*(1-IF(ROUNDDOWN((Q$35-$B44)/Aggressive!$D$28,0)&lt;1,0,IF(ROUNDDOWN((Q$35-$B44)/Aggressive!$D$28,0)&lt;2,0.5,IF(ROUNDDOWN((Q$35-$B44)/Aggressive!$D$28,0)&lt;3,0.75,IF(ROUNDDOWN((Q$35-$B44)/Aggressive!$D$28,0)&lt;4,0.875,0.9375)))))</f>
        <v>0</v>
      </c>
      <c r="R44" s="50"/>
    </row>
    <row r="45" spans="2:18" x14ac:dyDescent="0.3">
      <c r="B45" s="237">
        <f t="shared" si="9"/>
        <v>2021</v>
      </c>
      <c r="C45" s="135"/>
      <c r="D45" s="135"/>
      <c r="E45" s="135"/>
      <c r="F45" s="135"/>
      <c r="G45" s="135"/>
      <c r="H45" s="135"/>
      <c r="I45" s="135">
        <f>HLOOKUP($B45,$C$35:$Q$36,2,FALSE)*Aggressive!$C$23*(1-IF(ROUNDDOWN((I$35-$B45)/Aggressive!$D$23,0)&lt;1,0,IF(ROUNDDOWN((I$35-$B45)/Aggressive!$D$23,0)&lt;2,0.5,IF(ROUNDDOWN((I$35-$B45)/Aggressive!$D$23,0)&lt;3,0.75,IF(ROUNDDOWN((I$35-$B45)/Aggressive!$D$23,0)&lt;4,0.875,0.9375)))))+HLOOKUP($B45,$C$35:$Q$36,2,FALSE)*Aggressive!$C$24*(1-IF(ROUNDDOWN((I$35-$B45)/Aggressive!$D$24,0)&lt;1,0,IF(ROUNDDOWN((I$35-$B45)/Aggressive!$D$24,0)&lt;2,0.5,IF(ROUNDDOWN((I$35-$B45)/Aggressive!$D$24,0)&lt;3,0.75,IF(ROUNDDOWN((I$35-$B45)/Aggressive!$D$24,0)&lt;4,0.875,0.9375)))))+HLOOKUP($B45,$C$35:$Q$36,2,FALSE)*Aggressive!$C$25*(1-IF(ROUNDDOWN((I$35-$B45)/Aggressive!$D$25,0)&lt;1,0,IF(ROUNDDOWN((I$35-$B45)/Aggressive!$D$25,0)&lt;2,0.5,IF(ROUNDDOWN((I$35-$B45)/Aggressive!$D$25,0)&lt;3,0.75,IF(ROUNDDOWN((I$35-$B45)/Aggressive!$D$25,0)&lt;4,0.875,0.9375)))))+HLOOKUP($B45,$C$35:$Q$36,2,FALSE)*Aggressive!$C$26*(1-IF(ROUNDDOWN((I$35-$B45)/Aggressive!$D$26,0)&lt;1,0,IF(ROUNDDOWN((I$35-$B45)/Aggressive!$D$26,0)&lt;2,0.5,IF(ROUNDDOWN((I$35-$B45)/Aggressive!$D$26,0)&lt;3,0.75,IF(ROUNDDOWN((I$35-$B45)/Aggressive!$D$26,0)&lt;4,0.875,0.9375)))))+HLOOKUP($B45,$C$35:$Q$36,2,FALSE)*Aggressive!$C$27*(1-IF(ROUNDDOWN((I$35-$B45)/Aggressive!$D$27,0)&lt;1,0,IF(ROUNDDOWN((I$35-$B45)/Aggressive!$D$27,0)&lt;2,0.5,IF(ROUNDDOWN((I$35-$B45)/Aggressive!$D$27,0)&lt;3,0.75,IF(ROUNDDOWN((I$35-$B45)/Aggressive!$D$27,0)&lt;4,0.875,0.9375)))))+HLOOKUP($B45,$C$35:$Q$36,2,FALSE)*Aggressive!$C$28*(1-IF(ROUNDDOWN((I$35-$B45)/Aggressive!$D$28,0)&lt;1,0,IF(ROUNDDOWN((I$35-$B45)/Aggressive!$D$28,0)&lt;2,0.5,IF(ROUNDDOWN((I$35-$B45)/Aggressive!$D$28,0)&lt;3,0.75,IF(ROUNDDOWN((I$35-$B45)/Aggressive!$D$28,0)&lt;4,0.875,0.9375)))))</f>
        <v>4.4373115401321046</v>
      </c>
      <c r="J45" s="135">
        <f>HLOOKUP($B45,$C$35:$Q$36,2,FALSE)*Aggressive!$C$23*(1-IF(ROUNDDOWN((J$35-$B45)/Aggressive!$D$23,0)&lt;1,0,IF(ROUNDDOWN((J$35-$B45)/Aggressive!$D$23,0)&lt;2,0.5,IF(ROUNDDOWN((J$35-$B45)/Aggressive!$D$23,0)&lt;3,0.75,IF(ROUNDDOWN((J$35-$B45)/Aggressive!$D$23,0)&lt;4,0.875,0.9375)))))+HLOOKUP($B45,$C$35:$Q$36,2,FALSE)*Aggressive!$C$24*(1-IF(ROUNDDOWN((J$35-$B45)/Aggressive!$D$24,0)&lt;1,0,IF(ROUNDDOWN((J$35-$B45)/Aggressive!$D$24,0)&lt;2,0.5,IF(ROUNDDOWN((J$35-$B45)/Aggressive!$D$24,0)&lt;3,0.75,IF(ROUNDDOWN((J$35-$B45)/Aggressive!$D$24,0)&lt;4,0.875,0.9375)))))+HLOOKUP($B45,$C$35:$Q$36,2,FALSE)*Aggressive!$C$25*(1-IF(ROUNDDOWN((J$35-$B45)/Aggressive!$D$25,0)&lt;1,0,IF(ROUNDDOWN((J$35-$B45)/Aggressive!$D$25,0)&lt;2,0.5,IF(ROUNDDOWN((J$35-$B45)/Aggressive!$D$25,0)&lt;3,0.75,IF(ROUNDDOWN((J$35-$B45)/Aggressive!$D$25,0)&lt;4,0.875,0.9375)))))+HLOOKUP($B45,$C$35:$Q$36,2,FALSE)*Aggressive!$C$26*(1-IF(ROUNDDOWN((J$35-$B45)/Aggressive!$D$26,0)&lt;1,0,IF(ROUNDDOWN((J$35-$B45)/Aggressive!$D$26,0)&lt;2,0.5,IF(ROUNDDOWN((J$35-$B45)/Aggressive!$D$26,0)&lt;3,0.75,IF(ROUNDDOWN((J$35-$B45)/Aggressive!$D$26,0)&lt;4,0.875,0.9375)))))+HLOOKUP($B45,$C$35:$Q$36,2,FALSE)*Aggressive!$C$27*(1-IF(ROUNDDOWN((J$35-$B45)/Aggressive!$D$27,0)&lt;1,0,IF(ROUNDDOWN((J$35-$B45)/Aggressive!$D$27,0)&lt;2,0.5,IF(ROUNDDOWN((J$35-$B45)/Aggressive!$D$27,0)&lt;3,0.75,IF(ROUNDDOWN((J$35-$B45)/Aggressive!$D$27,0)&lt;4,0.875,0.9375)))))+HLOOKUP($B45,$C$35:$Q$36,2,FALSE)*Aggressive!$C$28*(1-IF(ROUNDDOWN((J$35-$B45)/Aggressive!$D$28,0)&lt;1,0,IF(ROUNDDOWN((J$35-$B45)/Aggressive!$D$28,0)&lt;2,0.5,IF(ROUNDDOWN((J$35-$B45)/Aggressive!$D$28,0)&lt;3,0.75,IF(ROUNDDOWN((J$35-$B45)/Aggressive!$D$28,0)&lt;4,0.875,0.9375)))))</f>
        <v>4.4373115401321046</v>
      </c>
      <c r="K45" s="135">
        <f>HLOOKUP($B45,$C$35:$Q$36,2,FALSE)*Aggressive!$C$23*(1-IF(ROUNDDOWN((K$35-$B45)/Aggressive!$D$23,0)&lt;1,0,IF(ROUNDDOWN((K$35-$B45)/Aggressive!$D$23,0)&lt;2,0.5,IF(ROUNDDOWN((K$35-$B45)/Aggressive!$D$23,0)&lt;3,0.75,IF(ROUNDDOWN((K$35-$B45)/Aggressive!$D$23,0)&lt;4,0.875,0.9375)))))+HLOOKUP($B45,$C$35:$Q$36,2,FALSE)*Aggressive!$C$24*(1-IF(ROUNDDOWN((K$35-$B45)/Aggressive!$D$24,0)&lt;1,0,IF(ROUNDDOWN((K$35-$B45)/Aggressive!$D$24,0)&lt;2,0.5,IF(ROUNDDOWN((K$35-$B45)/Aggressive!$D$24,0)&lt;3,0.75,IF(ROUNDDOWN((K$35-$B45)/Aggressive!$D$24,0)&lt;4,0.875,0.9375)))))+HLOOKUP($B45,$C$35:$Q$36,2,FALSE)*Aggressive!$C$25*(1-IF(ROUNDDOWN((K$35-$B45)/Aggressive!$D$25,0)&lt;1,0,IF(ROUNDDOWN((K$35-$B45)/Aggressive!$D$25,0)&lt;2,0.5,IF(ROUNDDOWN((K$35-$B45)/Aggressive!$D$25,0)&lt;3,0.75,IF(ROUNDDOWN((K$35-$B45)/Aggressive!$D$25,0)&lt;4,0.875,0.9375)))))+HLOOKUP($B45,$C$35:$Q$36,2,FALSE)*Aggressive!$C$26*(1-IF(ROUNDDOWN((K$35-$B45)/Aggressive!$D$26,0)&lt;1,0,IF(ROUNDDOWN((K$35-$B45)/Aggressive!$D$26,0)&lt;2,0.5,IF(ROUNDDOWN((K$35-$B45)/Aggressive!$D$26,0)&lt;3,0.75,IF(ROUNDDOWN((K$35-$B45)/Aggressive!$D$26,0)&lt;4,0.875,0.9375)))))+HLOOKUP($B45,$C$35:$Q$36,2,FALSE)*Aggressive!$C$27*(1-IF(ROUNDDOWN((K$35-$B45)/Aggressive!$D$27,0)&lt;1,0,IF(ROUNDDOWN((K$35-$B45)/Aggressive!$D$27,0)&lt;2,0.5,IF(ROUNDDOWN((K$35-$B45)/Aggressive!$D$27,0)&lt;3,0.75,IF(ROUNDDOWN((K$35-$B45)/Aggressive!$D$27,0)&lt;4,0.875,0.9375)))))+HLOOKUP($B45,$C$35:$Q$36,2,FALSE)*Aggressive!$C$28*(1-IF(ROUNDDOWN((K$35-$B45)/Aggressive!$D$28,0)&lt;1,0,IF(ROUNDDOWN((K$35-$B45)/Aggressive!$D$28,0)&lt;2,0.5,IF(ROUNDDOWN((K$35-$B45)/Aggressive!$D$28,0)&lt;3,0.75,IF(ROUNDDOWN((K$35-$B45)/Aggressive!$D$28,0)&lt;4,0.875,0.9375)))))</f>
        <v>4.4373115401321046</v>
      </c>
      <c r="L45" s="135">
        <f>HLOOKUP($B45,$C$35:$Q$36,2,FALSE)*Aggressive!$C$23*(1-IF(ROUNDDOWN((L$35-$B45)/Aggressive!$D$23,0)&lt;1,0,IF(ROUNDDOWN((L$35-$B45)/Aggressive!$D$23,0)&lt;2,0.5,IF(ROUNDDOWN((L$35-$B45)/Aggressive!$D$23,0)&lt;3,0.75,IF(ROUNDDOWN((L$35-$B45)/Aggressive!$D$23,0)&lt;4,0.875,0.9375)))))+HLOOKUP($B45,$C$35:$Q$36,2,FALSE)*Aggressive!$C$24*(1-IF(ROUNDDOWN((L$35-$B45)/Aggressive!$D$24,0)&lt;1,0,IF(ROUNDDOWN((L$35-$B45)/Aggressive!$D$24,0)&lt;2,0.5,IF(ROUNDDOWN((L$35-$B45)/Aggressive!$D$24,0)&lt;3,0.75,IF(ROUNDDOWN((L$35-$B45)/Aggressive!$D$24,0)&lt;4,0.875,0.9375)))))+HLOOKUP($B45,$C$35:$Q$36,2,FALSE)*Aggressive!$C$25*(1-IF(ROUNDDOWN((L$35-$B45)/Aggressive!$D$25,0)&lt;1,0,IF(ROUNDDOWN((L$35-$B45)/Aggressive!$D$25,0)&lt;2,0.5,IF(ROUNDDOWN((L$35-$B45)/Aggressive!$D$25,0)&lt;3,0.75,IF(ROUNDDOWN((L$35-$B45)/Aggressive!$D$25,0)&lt;4,0.875,0.9375)))))+HLOOKUP($B45,$C$35:$Q$36,2,FALSE)*Aggressive!$C$26*(1-IF(ROUNDDOWN((L$35-$B45)/Aggressive!$D$26,0)&lt;1,0,IF(ROUNDDOWN((L$35-$B45)/Aggressive!$D$26,0)&lt;2,0.5,IF(ROUNDDOWN((L$35-$B45)/Aggressive!$D$26,0)&lt;3,0.75,IF(ROUNDDOWN((L$35-$B45)/Aggressive!$D$26,0)&lt;4,0.875,0.9375)))))+HLOOKUP($B45,$C$35:$Q$36,2,FALSE)*Aggressive!$C$27*(1-IF(ROUNDDOWN((L$35-$B45)/Aggressive!$D$27,0)&lt;1,0,IF(ROUNDDOWN((L$35-$B45)/Aggressive!$D$27,0)&lt;2,0.5,IF(ROUNDDOWN((L$35-$B45)/Aggressive!$D$27,0)&lt;3,0.75,IF(ROUNDDOWN((L$35-$B45)/Aggressive!$D$27,0)&lt;4,0.875,0.9375)))))+HLOOKUP($B45,$C$35:$Q$36,2,FALSE)*Aggressive!$C$28*(1-IF(ROUNDDOWN((L$35-$B45)/Aggressive!$D$28,0)&lt;1,0,IF(ROUNDDOWN((L$35-$B45)/Aggressive!$D$28,0)&lt;2,0.5,IF(ROUNDDOWN((L$35-$B45)/Aggressive!$D$28,0)&lt;3,0.75,IF(ROUNDDOWN((L$35-$B45)/Aggressive!$D$28,0)&lt;4,0.875,0.9375)))))</f>
        <v>4.2465071439064239</v>
      </c>
      <c r="M45" s="135">
        <f>HLOOKUP($B45,$C$35:$Q$36,2,FALSE)*Aggressive!$C$23*(1-IF(ROUNDDOWN((M$35-$B45)/Aggressive!$D$23,0)&lt;1,0,IF(ROUNDDOWN((M$35-$B45)/Aggressive!$D$23,0)&lt;2,0.5,IF(ROUNDDOWN((M$35-$B45)/Aggressive!$D$23,0)&lt;3,0.75,IF(ROUNDDOWN((M$35-$B45)/Aggressive!$D$23,0)&lt;4,0.875,0.9375)))))+HLOOKUP($B45,$C$35:$Q$36,2,FALSE)*Aggressive!$C$24*(1-IF(ROUNDDOWN((M$35-$B45)/Aggressive!$D$24,0)&lt;1,0,IF(ROUNDDOWN((M$35-$B45)/Aggressive!$D$24,0)&lt;2,0.5,IF(ROUNDDOWN((M$35-$B45)/Aggressive!$D$24,0)&lt;3,0.75,IF(ROUNDDOWN((M$35-$B45)/Aggressive!$D$24,0)&lt;4,0.875,0.9375)))))+HLOOKUP($B45,$C$35:$Q$36,2,FALSE)*Aggressive!$C$25*(1-IF(ROUNDDOWN((M$35-$B45)/Aggressive!$D$25,0)&lt;1,0,IF(ROUNDDOWN((M$35-$B45)/Aggressive!$D$25,0)&lt;2,0.5,IF(ROUNDDOWN((M$35-$B45)/Aggressive!$D$25,0)&lt;3,0.75,IF(ROUNDDOWN((M$35-$B45)/Aggressive!$D$25,0)&lt;4,0.875,0.9375)))))+HLOOKUP($B45,$C$35:$Q$36,2,FALSE)*Aggressive!$C$26*(1-IF(ROUNDDOWN((M$35-$B45)/Aggressive!$D$26,0)&lt;1,0,IF(ROUNDDOWN((M$35-$B45)/Aggressive!$D$26,0)&lt;2,0.5,IF(ROUNDDOWN((M$35-$B45)/Aggressive!$D$26,0)&lt;3,0.75,IF(ROUNDDOWN((M$35-$B45)/Aggressive!$D$26,0)&lt;4,0.875,0.9375)))))+HLOOKUP($B45,$C$35:$Q$36,2,FALSE)*Aggressive!$C$27*(1-IF(ROUNDDOWN((M$35-$B45)/Aggressive!$D$27,0)&lt;1,0,IF(ROUNDDOWN((M$35-$B45)/Aggressive!$D$27,0)&lt;2,0.5,IF(ROUNDDOWN((M$35-$B45)/Aggressive!$D$27,0)&lt;3,0.75,IF(ROUNDDOWN((M$35-$B45)/Aggressive!$D$27,0)&lt;4,0.875,0.9375)))))+HLOOKUP($B45,$C$35:$Q$36,2,FALSE)*Aggressive!$C$28*(1-IF(ROUNDDOWN((M$35-$B45)/Aggressive!$D$28,0)&lt;1,0,IF(ROUNDDOWN((M$35-$B45)/Aggressive!$D$28,0)&lt;2,0.5,IF(ROUNDDOWN((M$35-$B45)/Aggressive!$D$28,0)&lt;3,0.75,IF(ROUNDDOWN((M$35-$B45)/Aggressive!$D$28,0)&lt;4,0.875,0.9375)))))</f>
        <v>4.2465071439064239</v>
      </c>
      <c r="N45" s="135">
        <f>HLOOKUP($B45,$C$35:$Q$36,2,FALSE)*Aggressive!$C$23*(1-IF(ROUNDDOWN((N$35-$B45)/Aggressive!$D$23,0)&lt;1,0,IF(ROUNDDOWN((N$35-$B45)/Aggressive!$D$23,0)&lt;2,0.5,IF(ROUNDDOWN((N$35-$B45)/Aggressive!$D$23,0)&lt;3,0.75,IF(ROUNDDOWN((N$35-$B45)/Aggressive!$D$23,0)&lt;4,0.875,0.9375)))))+HLOOKUP($B45,$C$35:$Q$36,2,FALSE)*Aggressive!$C$24*(1-IF(ROUNDDOWN((N$35-$B45)/Aggressive!$D$24,0)&lt;1,0,IF(ROUNDDOWN((N$35-$B45)/Aggressive!$D$24,0)&lt;2,0.5,IF(ROUNDDOWN((N$35-$B45)/Aggressive!$D$24,0)&lt;3,0.75,IF(ROUNDDOWN((N$35-$B45)/Aggressive!$D$24,0)&lt;4,0.875,0.9375)))))+HLOOKUP($B45,$C$35:$Q$36,2,FALSE)*Aggressive!$C$25*(1-IF(ROUNDDOWN((N$35-$B45)/Aggressive!$D$25,0)&lt;1,0,IF(ROUNDDOWN((N$35-$B45)/Aggressive!$D$25,0)&lt;2,0.5,IF(ROUNDDOWN((N$35-$B45)/Aggressive!$D$25,0)&lt;3,0.75,IF(ROUNDDOWN((N$35-$B45)/Aggressive!$D$25,0)&lt;4,0.875,0.9375)))))+HLOOKUP($B45,$C$35:$Q$36,2,FALSE)*Aggressive!$C$26*(1-IF(ROUNDDOWN((N$35-$B45)/Aggressive!$D$26,0)&lt;1,0,IF(ROUNDDOWN((N$35-$B45)/Aggressive!$D$26,0)&lt;2,0.5,IF(ROUNDDOWN((N$35-$B45)/Aggressive!$D$26,0)&lt;3,0.75,IF(ROUNDDOWN((N$35-$B45)/Aggressive!$D$26,0)&lt;4,0.875,0.9375)))))+HLOOKUP($B45,$C$35:$Q$36,2,FALSE)*Aggressive!$C$27*(1-IF(ROUNDDOWN((N$35-$B45)/Aggressive!$D$27,0)&lt;1,0,IF(ROUNDDOWN((N$35-$B45)/Aggressive!$D$27,0)&lt;2,0.5,IF(ROUNDDOWN((N$35-$B45)/Aggressive!$D$27,0)&lt;3,0.75,IF(ROUNDDOWN((N$35-$B45)/Aggressive!$D$27,0)&lt;4,0.875,0.9375)))))+HLOOKUP($B45,$C$35:$Q$36,2,FALSE)*Aggressive!$C$28*(1-IF(ROUNDDOWN((N$35-$B45)/Aggressive!$D$28,0)&lt;1,0,IF(ROUNDDOWN((N$35-$B45)/Aggressive!$D$28,0)&lt;2,0.5,IF(ROUNDDOWN((N$35-$B45)/Aggressive!$D$28,0)&lt;3,0.75,IF(ROUNDDOWN((N$35-$B45)/Aggressive!$D$28,0)&lt;4,0.875,0.9375)))))</f>
        <v>4.2465071439064239</v>
      </c>
      <c r="O45" s="135">
        <f>HLOOKUP($B45,$C$35:$Q$36,2,FALSE)*Aggressive!$C$23*(1-IF(ROUNDDOWN((O$35-$B45)/Aggressive!$D$23,0)&lt;1,0,IF(ROUNDDOWN((O$35-$B45)/Aggressive!$D$23,0)&lt;2,0.5,IF(ROUNDDOWN((O$35-$B45)/Aggressive!$D$23,0)&lt;3,0.75,IF(ROUNDDOWN((O$35-$B45)/Aggressive!$D$23,0)&lt;4,0.875,0.9375)))))+HLOOKUP($B45,$C$35:$Q$36,2,FALSE)*Aggressive!$C$24*(1-IF(ROUNDDOWN((O$35-$B45)/Aggressive!$D$24,0)&lt;1,0,IF(ROUNDDOWN((O$35-$B45)/Aggressive!$D$24,0)&lt;2,0.5,IF(ROUNDDOWN((O$35-$B45)/Aggressive!$D$24,0)&lt;3,0.75,IF(ROUNDDOWN((O$35-$B45)/Aggressive!$D$24,0)&lt;4,0.875,0.9375)))))+HLOOKUP($B45,$C$35:$Q$36,2,FALSE)*Aggressive!$C$25*(1-IF(ROUNDDOWN((O$35-$B45)/Aggressive!$D$25,0)&lt;1,0,IF(ROUNDDOWN((O$35-$B45)/Aggressive!$D$25,0)&lt;2,0.5,IF(ROUNDDOWN((O$35-$B45)/Aggressive!$D$25,0)&lt;3,0.75,IF(ROUNDDOWN((O$35-$B45)/Aggressive!$D$25,0)&lt;4,0.875,0.9375)))))+HLOOKUP($B45,$C$35:$Q$36,2,FALSE)*Aggressive!$C$26*(1-IF(ROUNDDOWN((O$35-$B45)/Aggressive!$D$26,0)&lt;1,0,IF(ROUNDDOWN((O$35-$B45)/Aggressive!$D$26,0)&lt;2,0.5,IF(ROUNDDOWN((O$35-$B45)/Aggressive!$D$26,0)&lt;3,0.75,IF(ROUNDDOWN((O$35-$B45)/Aggressive!$D$26,0)&lt;4,0.875,0.9375)))))+HLOOKUP($B45,$C$35:$Q$36,2,FALSE)*Aggressive!$C$27*(1-IF(ROUNDDOWN((O$35-$B45)/Aggressive!$D$27,0)&lt;1,0,IF(ROUNDDOWN((O$35-$B45)/Aggressive!$D$27,0)&lt;2,0.5,IF(ROUNDDOWN((O$35-$B45)/Aggressive!$D$27,0)&lt;3,0.75,IF(ROUNDDOWN((O$35-$B45)/Aggressive!$D$27,0)&lt;4,0.875,0.9375)))))+HLOOKUP($B45,$C$35:$Q$36,2,FALSE)*Aggressive!$C$28*(1-IF(ROUNDDOWN((O$35-$B45)/Aggressive!$D$28,0)&lt;1,0,IF(ROUNDDOWN((O$35-$B45)/Aggressive!$D$28,0)&lt;2,0.5,IF(ROUNDDOWN((O$35-$B45)/Aggressive!$D$28,0)&lt;3,0.75,IF(ROUNDDOWN((O$35-$B45)/Aggressive!$D$28,0)&lt;4,0.875,0.9375)))))</f>
        <v>4.151104945793584</v>
      </c>
      <c r="P45" s="135">
        <f>HLOOKUP($B45,$C$35:$Q$36,2,FALSE)*Aggressive!$C$23*(1-IF(ROUNDDOWN((P$35-$B45)/Aggressive!$D$23,0)&lt;1,0,IF(ROUNDDOWN((P$35-$B45)/Aggressive!$D$23,0)&lt;2,0.5,IF(ROUNDDOWN((P$35-$B45)/Aggressive!$D$23,0)&lt;3,0.75,IF(ROUNDDOWN((P$35-$B45)/Aggressive!$D$23,0)&lt;4,0.875,0.9375)))))+HLOOKUP($B45,$C$35:$Q$36,2,FALSE)*Aggressive!$C$24*(1-IF(ROUNDDOWN((P$35-$B45)/Aggressive!$D$24,0)&lt;1,0,IF(ROUNDDOWN((P$35-$B45)/Aggressive!$D$24,0)&lt;2,0.5,IF(ROUNDDOWN((P$35-$B45)/Aggressive!$D$24,0)&lt;3,0.75,IF(ROUNDDOWN((P$35-$B45)/Aggressive!$D$24,0)&lt;4,0.875,0.9375)))))+HLOOKUP($B45,$C$35:$Q$36,2,FALSE)*Aggressive!$C$25*(1-IF(ROUNDDOWN((P$35-$B45)/Aggressive!$D$25,0)&lt;1,0,IF(ROUNDDOWN((P$35-$B45)/Aggressive!$D$25,0)&lt;2,0.5,IF(ROUNDDOWN((P$35-$B45)/Aggressive!$D$25,0)&lt;3,0.75,IF(ROUNDDOWN((P$35-$B45)/Aggressive!$D$25,0)&lt;4,0.875,0.9375)))))+HLOOKUP($B45,$C$35:$Q$36,2,FALSE)*Aggressive!$C$26*(1-IF(ROUNDDOWN((P$35-$B45)/Aggressive!$D$26,0)&lt;1,0,IF(ROUNDDOWN((P$35-$B45)/Aggressive!$D$26,0)&lt;2,0.5,IF(ROUNDDOWN((P$35-$B45)/Aggressive!$D$26,0)&lt;3,0.75,IF(ROUNDDOWN((P$35-$B45)/Aggressive!$D$26,0)&lt;4,0.875,0.9375)))))+HLOOKUP($B45,$C$35:$Q$36,2,FALSE)*Aggressive!$C$27*(1-IF(ROUNDDOWN((P$35-$B45)/Aggressive!$D$27,0)&lt;1,0,IF(ROUNDDOWN((P$35-$B45)/Aggressive!$D$27,0)&lt;2,0.5,IF(ROUNDDOWN((P$35-$B45)/Aggressive!$D$27,0)&lt;3,0.75,IF(ROUNDDOWN((P$35-$B45)/Aggressive!$D$27,0)&lt;4,0.875,0.9375)))))+HLOOKUP($B45,$C$35:$Q$36,2,FALSE)*Aggressive!$C$28*(1-IF(ROUNDDOWN((P$35-$B45)/Aggressive!$D$28,0)&lt;1,0,IF(ROUNDDOWN((P$35-$B45)/Aggressive!$D$28,0)&lt;2,0.5,IF(ROUNDDOWN((P$35-$B45)/Aggressive!$D$28,0)&lt;3,0.75,IF(ROUNDDOWN((P$35-$B45)/Aggressive!$D$28,0)&lt;4,0.875,0.9375)))))</f>
        <v>4.151104945793584</v>
      </c>
      <c r="Q45" s="135">
        <f>HLOOKUP($B45,$C$35:$Q$36,2,FALSE)*Aggressive!$C$23*(1-IF(ROUNDDOWN((Q$35-$B45)/Aggressive!$D$23,0)&lt;1,0,IF(ROUNDDOWN((Q$35-$B45)/Aggressive!$D$23,0)&lt;2,0.5,IF(ROUNDDOWN((Q$35-$B45)/Aggressive!$D$23,0)&lt;3,0.75,IF(ROUNDDOWN((Q$35-$B45)/Aggressive!$D$23,0)&lt;4,0.875,0.9375)))))+HLOOKUP($B45,$C$35:$Q$36,2,FALSE)*Aggressive!$C$24*(1-IF(ROUNDDOWN((Q$35-$B45)/Aggressive!$D$24,0)&lt;1,0,IF(ROUNDDOWN((Q$35-$B45)/Aggressive!$D$24,0)&lt;2,0.5,IF(ROUNDDOWN((Q$35-$B45)/Aggressive!$D$24,0)&lt;3,0.75,IF(ROUNDDOWN((Q$35-$B45)/Aggressive!$D$24,0)&lt;4,0.875,0.9375)))))+HLOOKUP($B45,$C$35:$Q$36,2,FALSE)*Aggressive!$C$25*(1-IF(ROUNDDOWN((Q$35-$B45)/Aggressive!$D$25,0)&lt;1,0,IF(ROUNDDOWN((Q$35-$B45)/Aggressive!$D$25,0)&lt;2,0.5,IF(ROUNDDOWN((Q$35-$B45)/Aggressive!$D$25,0)&lt;3,0.75,IF(ROUNDDOWN((Q$35-$B45)/Aggressive!$D$25,0)&lt;4,0.875,0.9375)))))+HLOOKUP($B45,$C$35:$Q$36,2,FALSE)*Aggressive!$C$26*(1-IF(ROUNDDOWN((Q$35-$B45)/Aggressive!$D$26,0)&lt;1,0,IF(ROUNDDOWN((Q$35-$B45)/Aggressive!$D$26,0)&lt;2,0.5,IF(ROUNDDOWN((Q$35-$B45)/Aggressive!$D$26,0)&lt;3,0.75,IF(ROUNDDOWN((Q$35-$B45)/Aggressive!$D$26,0)&lt;4,0.875,0.9375)))))+HLOOKUP($B45,$C$35:$Q$36,2,FALSE)*Aggressive!$C$27*(1-IF(ROUNDDOWN((Q$35-$B45)/Aggressive!$D$27,0)&lt;1,0,IF(ROUNDDOWN((Q$35-$B45)/Aggressive!$D$27,0)&lt;2,0.5,IF(ROUNDDOWN((Q$35-$B45)/Aggressive!$D$27,0)&lt;3,0.75,IF(ROUNDDOWN((Q$35-$B45)/Aggressive!$D$27,0)&lt;4,0.875,0.9375)))))+HLOOKUP($B45,$C$35:$Q$36,2,FALSE)*Aggressive!$C$28*(1-IF(ROUNDDOWN((Q$35-$B45)/Aggressive!$D$28,0)&lt;1,0,IF(ROUNDDOWN((Q$35-$B45)/Aggressive!$D$28,0)&lt;2,0.5,IF(ROUNDDOWN((Q$35-$B45)/Aggressive!$D$28,0)&lt;3,0.75,IF(ROUNDDOWN((Q$35-$B45)/Aggressive!$D$28,0)&lt;4,0.875,0.9375)))))</f>
        <v>3.9736124841882998</v>
      </c>
      <c r="R45" s="50"/>
    </row>
    <row r="46" spans="2:18" x14ac:dyDescent="0.3">
      <c r="B46" s="237">
        <f t="shared" si="9"/>
        <v>2022</v>
      </c>
      <c r="C46" s="135"/>
      <c r="D46" s="135"/>
      <c r="E46" s="135"/>
      <c r="F46" s="135"/>
      <c r="G46" s="135"/>
      <c r="H46" s="135"/>
      <c r="I46" s="135"/>
      <c r="J46" s="135">
        <f>HLOOKUP($B46,$C$35:$Q$36,2,FALSE)*Aggressive!$C$23*(1-IF(ROUNDDOWN((J$35-$B46)/Aggressive!$D$23,0)&lt;1,0,IF(ROUNDDOWN((J$35-$B46)/Aggressive!$D$23,0)&lt;2,0.5,IF(ROUNDDOWN((J$35-$B46)/Aggressive!$D$23,0)&lt;3,0.75,IF(ROUNDDOWN((J$35-$B46)/Aggressive!$D$23,0)&lt;4,0.875,0.9375)))))+HLOOKUP($B46,$C$35:$Q$36,2,FALSE)*Aggressive!$C$24*(1-IF(ROUNDDOWN((J$35-$B46)/Aggressive!$D$24,0)&lt;1,0,IF(ROUNDDOWN((J$35-$B46)/Aggressive!$D$24,0)&lt;2,0.5,IF(ROUNDDOWN((J$35-$B46)/Aggressive!$D$24,0)&lt;3,0.75,IF(ROUNDDOWN((J$35-$B46)/Aggressive!$D$24,0)&lt;4,0.875,0.9375)))))+HLOOKUP($B46,$C$35:$Q$36,2,FALSE)*Aggressive!$C$25*(1-IF(ROUNDDOWN((J$35-$B46)/Aggressive!$D$25,0)&lt;1,0,IF(ROUNDDOWN((J$35-$B46)/Aggressive!$D$25,0)&lt;2,0.5,IF(ROUNDDOWN((J$35-$B46)/Aggressive!$D$25,0)&lt;3,0.75,IF(ROUNDDOWN((J$35-$B46)/Aggressive!$D$25,0)&lt;4,0.875,0.9375)))))+HLOOKUP($B46,$C$35:$Q$36,2,FALSE)*Aggressive!$C$26*(1-IF(ROUNDDOWN((J$35-$B46)/Aggressive!$D$26,0)&lt;1,0,IF(ROUNDDOWN((J$35-$B46)/Aggressive!$D$26,0)&lt;2,0.5,IF(ROUNDDOWN((J$35-$B46)/Aggressive!$D$26,0)&lt;3,0.75,IF(ROUNDDOWN((J$35-$B46)/Aggressive!$D$26,0)&lt;4,0.875,0.9375)))))+HLOOKUP($B46,$C$35:$Q$36,2,FALSE)*Aggressive!$C$27*(1-IF(ROUNDDOWN((J$35-$B46)/Aggressive!$D$27,0)&lt;1,0,IF(ROUNDDOWN((J$35-$B46)/Aggressive!$D$27,0)&lt;2,0.5,IF(ROUNDDOWN((J$35-$B46)/Aggressive!$D$27,0)&lt;3,0.75,IF(ROUNDDOWN((J$35-$B46)/Aggressive!$D$27,0)&lt;4,0.875,0.9375)))))+HLOOKUP($B46,$C$35:$Q$36,2,FALSE)*Aggressive!$C$28*(1-IF(ROUNDDOWN((J$35-$B46)/Aggressive!$D$28,0)&lt;1,0,IF(ROUNDDOWN((J$35-$B46)/Aggressive!$D$28,0)&lt;2,0.5,IF(ROUNDDOWN((J$35-$B46)/Aggressive!$D$28,0)&lt;3,0.75,IF(ROUNDDOWN((J$35-$B46)/Aggressive!$D$28,0)&lt;4,0.875,0.9375)))))</f>
        <v>4.4373115401321046</v>
      </c>
      <c r="K46" s="135">
        <f>HLOOKUP($B46,$C$35:$Q$36,2,FALSE)*Aggressive!$C$23*(1-IF(ROUNDDOWN((K$35-$B46)/Aggressive!$D$23,0)&lt;1,0,IF(ROUNDDOWN((K$35-$B46)/Aggressive!$D$23,0)&lt;2,0.5,IF(ROUNDDOWN((K$35-$B46)/Aggressive!$D$23,0)&lt;3,0.75,IF(ROUNDDOWN((K$35-$B46)/Aggressive!$D$23,0)&lt;4,0.875,0.9375)))))+HLOOKUP($B46,$C$35:$Q$36,2,FALSE)*Aggressive!$C$24*(1-IF(ROUNDDOWN((K$35-$B46)/Aggressive!$D$24,0)&lt;1,0,IF(ROUNDDOWN((K$35-$B46)/Aggressive!$D$24,0)&lt;2,0.5,IF(ROUNDDOWN((K$35-$B46)/Aggressive!$D$24,0)&lt;3,0.75,IF(ROUNDDOWN((K$35-$B46)/Aggressive!$D$24,0)&lt;4,0.875,0.9375)))))+HLOOKUP($B46,$C$35:$Q$36,2,FALSE)*Aggressive!$C$25*(1-IF(ROUNDDOWN((K$35-$B46)/Aggressive!$D$25,0)&lt;1,0,IF(ROUNDDOWN((K$35-$B46)/Aggressive!$D$25,0)&lt;2,0.5,IF(ROUNDDOWN((K$35-$B46)/Aggressive!$D$25,0)&lt;3,0.75,IF(ROUNDDOWN((K$35-$B46)/Aggressive!$D$25,0)&lt;4,0.875,0.9375)))))+HLOOKUP($B46,$C$35:$Q$36,2,FALSE)*Aggressive!$C$26*(1-IF(ROUNDDOWN((K$35-$B46)/Aggressive!$D$26,0)&lt;1,0,IF(ROUNDDOWN((K$35-$B46)/Aggressive!$D$26,0)&lt;2,0.5,IF(ROUNDDOWN((K$35-$B46)/Aggressive!$D$26,0)&lt;3,0.75,IF(ROUNDDOWN((K$35-$B46)/Aggressive!$D$26,0)&lt;4,0.875,0.9375)))))+HLOOKUP($B46,$C$35:$Q$36,2,FALSE)*Aggressive!$C$27*(1-IF(ROUNDDOWN((K$35-$B46)/Aggressive!$D$27,0)&lt;1,0,IF(ROUNDDOWN((K$35-$B46)/Aggressive!$D$27,0)&lt;2,0.5,IF(ROUNDDOWN((K$35-$B46)/Aggressive!$D$27,0)&lt;3,0.75,IF(ROUNDDOWN((K$35-$B46)/Aggressive!$D$27,0)&lt;4,0.875,0.9375)))))+HLOOKUP($B46,$C$35:$Q$36,2,FALSE)*Aggressive!$C$28*(1-IF(ROUNDDOWN((K$35-$B46)/Aggressive!$D$28,0)&lt;1,0,IF(ROUNDDOWN((K$35-$B46)/Aggressive!$D$28,0)&lt;2,0.5,IF(ROUNDDOWN((K$35-$B46)/Aggressive!$D$28,0)&lt;3,0.75,IF(ROUNDDOWN((K$35-$B46)/Aggressive!$D$28,0)&lt;4,0.875,0.9375)))))</f>
        <v>4.4373115401321046</v>
      </c>
      <c r="L46" s="135">
        <f>HLOOKUP($B46,$C$35:$Q$36,2,FALSE)*Aggressive!$C$23*(1-IF(ROUNDDOWN((L$35-$B46)/Aggressive!$D$23,0)&lt;1,0,IF(ROUNDDOWN((L$35-$B46)/Aggressive!$D$23,0)&lt;2,0.5,IF(ROUNDDOWN((L$35-$B46)/Aggressive!$D$23,0)&lt;3,0.75,IF(ROUNDDOWN((L$35-$B46)/Aggressive!$D$23,0)&lt;4,0.875,0.9375)))))+HLOOKUP($B46,$C$35:$Q$36,2,FALSE)*Aggressive!$C$24*(1-IF(ROUNDDOWN((L$35-$B46)/Aggressive!$D$24,0)&lt;1,0,IF(ROUNDDOWN((L$35-$B46)/Aggressive!$D$24,0)&lt;2,0.5,IF(ROUNDDOWN((L$35-$B46)/Aggressive!$D$24,0)&lt;3,0.75,IF(ROUNDDOWN((L$35-$B46)/Aggressive!$D$24,0)&lt;4,0.875,0.9375)))))+HLOOKUP($B46,$C$35:$Q$36,2,FALSE)*Aggressive!$C$25*(1-IF(ROUNDDOWN((L$35-$B46)/Aggressive!$D$25,0)&lt;1,0,IF(ROUNDDOWN((L$35-$B46)/Aggressive!$D$25,0)&lt;2,0.5,IF(ROUNDDOWN((L$35-$B46)/Aggressive!$D$25,0)&lt;3,0.75,IF(ROUNDDOWN((L$35-$B46)/Aggressive!$D$25,0)&lt;4,0.875,0.9375)))))+HLOOKUP($B46,$C$35:$Q$36,2,FALSE)*Aggressive!$C$26*(1-IF(ROUNDDOWN((L$35-$B46)/Aggressive!$D$26,0)&lt;1,0,IF(ROUNDDOWN((L$35-$B46)/Aggressive!$D$26,0)&lt;2,0.5,IF(ROUNDDOWN((L$35-$B46)/Aggressive!$D$26,0)&lt;3,0.75,IF(ROUNDDOWN((L$35-$B46)/Aggressive!$D$26,0)&lt;4,0.875,0.9375)))))+HLOOKUP($B46,$C$35:$Q$36,2,FALSE)*Aggressive!$C$27*(1-IF(ROUNDDOWN((L$35-$B46)/Aggressive!$D$27,0)&lt;1,0,IF(ROUNDDOWN((L$35-$B46)/Aggressive!$D$27,0)&lt;2,0.5,IF(ROUNDDOWN((L$35-$B46)/Aggressive!$D$27,0)&lt;3,0.75,IF(ROUNDDOWN((L$35-$B46)/Aggressive!$D$27,0)&lt;4,0.875,0.9375)))))+HLOOKUP($B46,$C$35:$Q$36,2,FALSE)*Aggressive!$C$28*(1-IF(ROUNDDOWN((L$35-$B46)/Aggressive!$D$28,0)&lt;1,0,IF(ROUNDDOWN((L$35-$B46)/Aggressive!$D$28,0)&lt;2,0.5,IF(ROUNDDOWN((L$35-$B46)/Aggressive!$D$28,0)&lt;3,0.75,IF(ROUNDDOWN((L$35-$B46)/Aggressive!$D$28,0)&lt;4,0.875,0.9375)))))</f>
        <v>4.4373115401321046</v>
      </c>
      <c r="M46" s="135">
        <f>HLOOKUP($B46,$C$35:$Q$36,2,FALSE)*Aggressive!$C$23*(1-IF(ROUNDDOWN((M$35-$B46)/Aggressive!$D$23,0)&lt;1,0,IF(ROUNDDOWN((M$35-$B46)/Aggressive!$D$23,0)&lt;2,0.5,IF(ROUNDDOWN((M$35-$B46)/Aggressive!$D$23,0)&lt;3,0.75,IF(ROUNDDOWN((M$35-$B46)/Aggressive!$D$23,0)&lt;4,0.875,0.9375)))))+HLOOKUP($B46,$C$35:$Q$36,2,FALSE)*Aggressive!$C$24*(1-IF(ROUNDDOWN((M$35-$B46)/Aggressive!$D$24,0)&lt;1,0,IF(ROUNDDOWN((M$35-$B46)/Aggressive!$D$24,0)&lt;2,0.5,IF(ROUNDDOWN((M$35-$B46)/Aggressive!$D$24,0)&lt;3,0.75,IF(ROUNDDOWN((M$35-$B46)/Aggressive!$D$24,0)&lt;4,0.875,0.9375)))))+HLOOKUP($B46,$C$35:$Q$36,2,FALSE)*Aggressive!$C$25*(1-IF(ROUNDDOWN((M$35-$B46)/Aggressive!$D$25,0)&lt;1,0,IF(ROUNDDOWN((M$35-$B46)/Aggressive!$D$25,0)&lt;2,0.5,IF(ROUNDDOWN((M$35-$B46)/Aggressive!$D$25,0)&lt;3,0.75,IF(ROUNDDOWN((M$35-$B46)/Aggressive!$D$25,0)&lt;4,0.875,0.9375)))))+HLOOKUP($B46,$C$35:$Q$36,2,FALSE)*Aggressive!$C$26*(1-IF(ROUNDDOWN((M$35-$B46)/Aggressive!$D$26,0)&lt;1,0,IF(ROUNDDOWN((M$35-$B46)/Aggressive!$D$26,0)&lt;2,0.5,IF(ROUNDDOWN((M$35-$B46)/Aggressive!$D$26,0)&lt;3,0.75,IF(ROUNDDOWN((M$35-$B46)/Aggressive!$D$26,0)&lt;4,0.875,0.9375)))))+HLOOKUP($B46,$C$35:$Q$36,2,FALSE)*Aggressive!$C$27*(1-IF(ROUNDDOWN((M$35-$B46)/Aggressive!$D$27,0)&lt;1,0,IF(ROUNDDOWN((M$35-$B46)/Aggressive!$D$27,0)&lt;2,0.5,IF(ROUNDDOWN((M$35-$B46)/Aggressive!$D$27,0)&lt;3,0.75,IF(ROUNDDOWN((M$35-$B46)/Aggressive!$D$27,0)&lt;4,0.875,0.9375)))))+HLOOKUP($B46,$C$35:$Q$36,2,FALSE)*Aggressive!$C$28*(1-IF(ROUNDDOWN((M$35-$B46)/Aggressive!$D$28,0)&lt;1,0,IF(ROUNDDOWN((M$35-$B46)/Aggressive!$D$28,0)&lt;2,0.5,IF(ROUNDDOWN((M$35-$B46)/Aggressive!$D$28,0)&lt;3,0.75,IF(ROUNDDOWN((M$35-$B46)/Aggressive!$D$28,0)&lt;4,0.875,0.9375)))))</f>
        <v>4.2465071439064239</v>
      </c>
      <c r="N46" s="135">
        <f>HLOOKUP($B46,$C$35:$Q$36,2,FALSE)*Aggressive!$C$23*(1-IF(ROUNDDOWN((N$35-$B46)/Aggressive!$D$23,0)&lt;1,0,IF(ROUNDDOWN((N$35-$B46)/Aggressive!$D$23,0)&lt;2,0.5,IF(ROUNDDOWN((N$35-$B46)/Aggressive!$D$23,0)&lt;3,0.75,IF(ROUNDDOWN((N$35-$B46)/Aggressive!$D$23,0)&lt;4,0.875,0.9375)))))+HLOOKUP($B46,$C$35:$Q$36,2,FALSE)*Aggressive!$C$24*(1-IF(ROUNDDOWN((N$35-$B46)/Aggressive!$D$24,0)&lt;1,0,IF(ROUNDDOWN((N$35-$B46)/Aggressive!$D$24,0)&lt;2,0.5,IF(ROUNDDOWN((N$35-$B46)/Aggressive!$D$24,0)&lt;3,0.75,IF(ROUNDDOWN((N$35-$B46)/Aggressive!$D$24,0)&lt;4,0.875,0.9375)))))+HLOOKUP($B46,$C$35:$Q$36,2,FALSE)*Aggressive!$C$25*(1-IF(ROUNDDOWN((N$35-$B46)/Aggressive!$D$25,0)&lt;1,0,IF(ROUNDDOWN((N$35-$B46)/Aggressive!$D$25,0)&lt;2,0.5,IF(ROUNDDOWN((N$35-$B46)/Aggressive!$D$25,0)&lt;3,0.75,IF(ROUNDDOWN((N$35-$B46)/Aggressive!$D$25,0)&lt;4,0.875,0.9375)))))+HLOOKUP($B46,$C$35:$Q$36,2,FALSE)*Aggressive!$C$26*(1-IF(ROUNDDOWN((N$35-$B46)/Aggressive!$D$26,0)&lt;1,0,IF(ROUNDDOWN((N$35-$B46)/Aggressive!$D$26,0)&lt;2,0.5,IF(ROUNDDOWN((N$35-$B46)/Aggressive!$D$26,0)&lt;3,0.75,IF(ROUNDDOWN((N$35-$B46)/Aggressive!$D$26,0)&lt;4,0.875,0.9375)))))+HLOOKUP($B46,$C$35:$Q$36,2,FALSE)*Aggressive!$C$27*(1-IF(ROUNDDOWN((N$35-$B46)/Aggressive!$D$27,0)&lt;1,0,IF(ROUNDDOWN((N$35-$B46)/Aggressive!$D$27,0)&lt;2,0.5,IF(ROUNDDOWN((N$35-$B46)/Aggressive!$D$27,0)&lt;3,0.75,IF(ROUNDDOWN((N$35-$B46)/Aggressive!$D$27,0)&lt;4,0.875,0.9375)))))+HLOOKUP($B46,$C$35:$Q$36,2,FALSE)*Aggressive!$C$28*(1-IF(ROUNDDOWN((N$35-$B46)/Aggressive!$D$28,0)&lt;1,0,IF(ROUNDDOWN((N$35-$B46)/Aggressive!$D$28,0)&lt;2,0.5,IF(ROUNDDOWN((N$35-$B46)/Aggressive!$D$28,0)&lt;3,0.75,IF(ROUNDDOWN((N$35-$B46)/Aggressive!$D$28,0)&lt;4,0.875,0.9375)))))</f>
        <v>4.2465071439064239</v>
      </c>
      <c r="O46" s="135">
        <f>HLOOKUP($B46,$C$35:$Q$36,2,FALSE)*Aggressive!$C$23*(1-IF(ROUNDDOWN((O$35-$B46)/Aggressive!$D$23,0)&lt;1,0,IF(ROUNDDOWN((O$35-$B46)/Aggressive!$D$23,0)&lt;2,0.5,IF(ROUNDDOWN((O$35-$B46)/Aggressive!$D$23,0)&lt;3,0.75,IF(ROUNDDOWN((O$35-$B46)/Aggressive!$D$23,0)&lt;4,0.875,0.9375)))))+HLOOKUP($B46,$C$35:$Q$36,2,FALSE)*Aggressive!$C$24*(1-IF(ROUNDDOWN((O$35-$B46)/Aggressive!$D$24,0)&lt;1,0,IF(ROUNDDOWN((O$35-$B46)/Aggressive!$D$24,0)&lt;2,0.5,IF(ROUNDDOWN((O$35-$B46)/Aggressive!$D$24,0)&lt;3,0.75,IF(ROUNDDOWN((O$35-$B46)/Aggressive!$D$24,0)&lt;4,0.875,0.9375)))))+HLOOKUP($B46,$C$35:$Q$36,2,FALSE)*Aggressive!$C$25*(1-IF(ROUNDDOWN((O$35-$B46)/Aggressive!$D$25,0)&lt;1,0,IF(ROUNDDOWN((O$35-$B46)/Aggressive!$D$25,0)&lt;2,0.5,IF(ROUNDDOWN((O$35-$B46)/Aggressive!$D$25,0)&lt;3,0.75,IF(ROUNDDOWN((O$35-$B46)/Aggressive!$D$25,0)&lt;4,0.875,0.9375)))))+HLOOKUP($B46,$C$35:$Q$36,2,FALSE)*Aggressive!$C$26*(1-IF(ROUNDDOWN((O$35-$B46)/Aggressive!$D$26,0)&lt;1,0,IF(ROUNDDOWN((O$35-$B46)/Aggressive!$D$26,0)&lt;2,0.5,IF(ROUNDDOWN((O$35-$B46)/Aggressive!$D$26,0)&lt;3,0.75,IF(ROUNDDOWN((O$35-$B46)/Aggressive!$D$26,0)&lt;4,0.875,0.9375)))))+HLOOKUP($B46,$C$35:$Q$36,2,FALSE)*Aggressive!$C$27*(1-IF(ROUNDDOWN((O$35-$B46)/Aggressive!$D$27,0)&lt;1,0,IF(ROUNDDOWN((O$35-$B46)/Aggressive!$D$27,0)&lt;2,0.5,IF(ROUNDDOWN((O$35-$B46)/Aggressive!$D$27,0)&lt;3,0.75,IF(ROUNDDOWN((O$35-$B46)/Aggressive!$D$27,0)&lt;4,0.875,0.9375)))))+HLOOKUP($B46,$C$35:$Q$36,2,FALSE)*Aggressive!$C$28*(1-IF(ROUNDDOWN((O$35-$B46)/Aggressive!$D$28,0)&lt;1,0,IF(ROUNDDOWN((O$35-$B46)/Aggressive!$D$28,0)&lt;2,0.5,IF(ROUNDDOWN((O$35-$B46)/Aggressive!$D$28,0)&lt;3,0.75,IF(ROUNDDOWN((O$35-$B46)/Aggressive!$D$28,0)&lt;4,0.875,0.9375)))))</f>
        <v>4.2465071439064239</v>
      </c>
      <c r="P46" s="135">
        <f>HLOOKUP($B46,$C$35:$Q$36,2,FALSE)*Aggressive!$C$23*(1-IF(ROUNDDOWN((P$35-$B46)/Aggressive!$D$23,0)&lt;1,0,IF(ROUNDDOWN((P$35-$B46)/Aggressive!$D$23,0)&lt;2,0.5,IF(ROUNDDOWN((P$35-$B46)/Aggressive!$D$23,0)&lt;3,0.75,IF(ROUNDDOWN((P$35-$B46)/Aggressive!$D$23,0)&lt;4,0.875,0.9375)))))+HLOOKUP($B46,$C$35:$Q$36,2,FALSE)*Aggressive!$C$24*(1-IF(ROUNDDOWN((P$35-$B46)/Aggressive!$D$24,0)&lt;1,0,IF(ROUNDDOWN((P$35-$B46)/Aggressive!$D$24,0)&lt;2,0.5,IF(ROUNDDOWN((P$35-$B46)/Aggressive!$D$24,0)&lt;3,0.75,IF(ROUNDDOWN((P$35-$B46)/Aggressive!$D$24,0)&lt;4,0.875,0.9375)))))+HLOOKUP($B46,$C$35:$Q$36,2,FALSE)*Aggressive!$C$25*(1-IF(ROUNDDOWN((P$35-$B46)/Aggressive!$D$25,0)&lt;1,0,IF(ROUNDDOWN((P$35-$B46)/Aggressive!$D$25,0)&lt;2,0.5,IF(ROUNDDOWN((P$35-$B46)/Aggressive!$D$25,0)&lt;3,0.75,IF(ROUNDDOWN((P$35-$B46)/Aggressive!$D$25,0)&lt;4,0.875,0.9375)))))+HLOOKUP($B46,$C$35:$Q$36,2,FALSE)*Aggressive!$C$26*(1-IF(ROUNDDOWN((P$35-$B46)/Aggressive!$D$26,0)&lt;1,0,IF(ROUNDDOWN((P$35-$B46)/Aggressive!$D$26,0)&lt;2,0.5,IF(ROUNDDOWN((P$35-$B46)/Aggressive!$D$26,0)&lt;3,0.75,IF(ROUNDDOWN((P$35-$B46)/Aggressive!$D$26,0)&lt;4,0.875,0.9375)))))+HLOOKUP($B46,$C$35:$Q$36,2,FALSE)*Aggressive!$C$27*(1-IF(ROUNDDOWN((P$35-$B46)/Aggressive!$D$27,0)&lt;1,0,IF(ROUNDDOWN((P$35-$B46)/Aggressive!$D$27,0)&lt;2,0.5,IF(ROUNDDOWN((P$35-$B46)/Aggressive!$D$27,0)&lt;3,0.75,IF(ROUNDDOWN((P$35-$B46)/Aggressive!$D$27,0)&lt;4,0.875,0.9375)))))+HLOOKUP($B46,$C$35:$Q$36,2,FALSE)*Aggressive!$C$28*(1-IF(ROUNDDOWN((P$35-$B46)/Aggressive!$D$28,0)&lt;1,0,IF(ROUNDDOWN((P$35-$B46)/Aggressive!$D$28,0)&lt;2,0.5,IF(ROUNDDOWN((P$35-$B46)/Aggressive!$D$28,0)&lt;3,0.75,IF(ROUNDDOWN((P$35-$B46)/Aggressive!$D$28,0)&lt;4,0.875,0.9375)))))</f>
        <v>4.151104945793584</v>
      </c>
      <c r="Q46" s="135">
        <f>HLOOKUP($B46,$C$35:$Q$36,2,FALSE)*Aggressive!$C$23*(1-IF(ROUNDDOWN((Q$35-$B46)/Aggressive!$D$23,0)&lt;1,0,IF(ROUNDDOWN((Q$35-$B46)/Aggressive!$D$23,0)&lt;2,0.5,IF(ROUNDDOWN((Q$35-$B46)/Aggressive!$D$23,0)&lt;3,0.75,IF(ROUNDDOWN((Q$35-$B46)/Aggressive!$D$23,0)&lt;4,0.875,0.9375)))))+HLOOKUP($B46,$C$35:$Q$36,2,FALSE)*Aggressive!$C$24*(1-IF(ROUNDDOWN((Q$35-$B46)/Aggressive!$D$24,0)&lt;1,0,IF(ROUNDDOWN((Q$35-$B46)/Aggressive!$D$24,0)&lt;2,0.5,IF(ROUNDDOWN((Q$35-$B46)/Aggressive!$D$24,0)&lt;3,0.75,IF(ROUNDDOWN((Q$35-$B46)/Aggressive!$D$24,0)&lt;4,0.875,0.9375)))))+HLOOKUP($B46,$C$35:$Q$36,2,FALSE)*Aggressive!$C$25*(1-IF(ROUNDDOWN((Q$35-$B46)/Aggressive!$D$25,0)&lt;1,0,IF(ROUNDDOWN((Q$35-$B46)/Aggressive!$D$25,0)&lt;2,0.5,IF(ROUNDDOWN((Q$35-$B46)/Aggressive!$D$25,0)&lt;3,0.75,IF(ROUNDDOWN((Q$35-$B46)/Aggressive!$D$25,0)&lt;4,0.875,0.9375)))))+HLOOKUP($B46,$C$35:$Q$36,2,FALSE)*Aggressive!$C$26*(1-IF(ROUNDDOWN((Q$35-$B46)/Aggressive!$D$26,0)&lt;1,0,IF(ROUNDDOWN((Q$35-$B46)/Aggressive!$D$26,0)&lt;2,0.5,IF(ROUNDDOWN((Q$35-$B46)/Aggressive!$D$26,0)&lt;3,0.75,IF(ROUNDDOWN((Q$35-$B46)/Aggressive!$D$26,0)&lt;4,0.875,0.9375)))))+HLOOKUP($B46,$C$35:$Q$36,2,FALSE)*Aggressive!$C$27*(1-IF(ROUNDDOWN((Q$35-$B46)/Aggressive!$D$27,0)&lt;1,0,IF(ROUNDDOWN((Q$35-$B46)/Aggressive!$D$27,0)&lt;2,0.5,IF(ROUNDDOWN((Q$35-$B46)/Aggressive!$D$27,0)&lt;3,0.75,IF(ROUNDDOWN((Q$35-$B46)/Aggressive!$D$27,0)&lt;4,0.875,0.9375)))))+HLOOKUP($B46,$C$35:$Q$36,2,FALSE)*Aggressive!$C$28*(1-IF(ROUNDDOWN((Q$35-$B46)/Aggressive!$D$28,0)&lt;1,0,IF(ROUNDDOWN((Q$35-$B46)/Aggressive!$D$28,0)&lt;2,0.5,IF(ROUNDDOWN((Q$35-$B46)/Aggressive!$D$28,0)&lt;3,0.75,IF(ROUNDDOWN((Q$35-$B46)/Aggressive!$D$28,0)&lt;4,0.875,0.9375)))))</f>
        <v>4.151104945793584</v>
      </c>
      <c r="R46" s="50"/>
    </row>
    <row r="47" spans="2:18" x14ac:dyDescent="0.3">
      <c r="B47" s="237">
        <f t="shared" si="9"/>
        <v>2023</v>
      </c>
      <c r="C47" s="135"/>
      <c r="D47" s="135"/>
      <c r="E47" s="135"/>
      <c r="F47" s="135"/>
      <c r="G47" s="135"/>
      <c r="H47" s="135"/>
      <c r="I47" s="135"/>
      <c r="J47" s="135"/>
      <c r="K47" s="135">
        <f>HLOOKUP($B47,$C$35:$Q$36,2,FALSE)*Aggressive!$C$23*(1-IF(ROUNDDOWN((K$35-$B47)/Aggressive!$D$23,0)&lt;1,0,IF(ROUNDDOWN((K$35-$B47)/Aggressive!$D$23,0)&lt;2,0.5,IF(ROUNDDOWN((K$35-$B47)/Aggressive!$D$23,0)&lt;3,0.75,IF(ROUNDDOWN((K$35-$B47)/Aggressive!$D$23,0)&lt;4,0.875,0.9375)))))+HLOOKUP($B47,$C$35:$Q$36,2,FALSE)*Aggressive!$C$24*(1-IF(ROUNDDOWN((K$35-$B47)/Aggressive!$D$24,0)&lt;1,0,IF(ROUNDDOWN((K$35-$B47)/Aggressive!$D$24,0)&lt;2,0.5,IF(ROUNDDOWN((K$35-$B47)/Aggressive!$D$24,0)&lt;3,0.75,IF(ROUNDDOWN((K$35-$B47)/Aggressive!$D$24,0)&lt;4,0.875,0.9375)))))+HLOOKUP($B47,$C$35:$Q$36,2,FALSE)*Aggressive!$C$25*(1-IF(ROUNDDOWN((K$35-$B47)/Aggressive!$D$25,0)&lt;1,0,IF(ROUNDDOWN((K$35-$B47)/Aggressive!$D$25,0)&lt;2,0.5,IF(ROUNDDOWN((K$35-$B47)/Aggressive!$D$25,0)&lt;3,0.75,IF(ROUNDDOWN((K$35-$B47)/Aggressive!$D$25,0)&lt;4,0.875,0.9375)))))+HLOOKUP($B47,$C$35:$Q$36,2,FALSE)*Aggressive!$C$26*(1-IF(ROUNDDOWN((K$35-$B47)/Aggressive!$D$26,0)&lt;1,0,IF(ROUNDDOWN((K$35-$B47)/Aggressive!$D$26,0)&lt;2,0.5,IF(ROUNDDOWN((K$35-$B47)/Aggressive!$D$26,0)&lt;3,0.75,IF(ROUNDDOWN((K$35-$B47)/Aggressive!$D$26,0)&lt;4,0.875,0.9375)))))+HLOOKUP($B47,$C$35:$Q$36,2,FALSE)*Aggressive!$C$27*(1-IF(ROUNDDOWN((K$35-$B47)/Aggressive!$D$27,0)&lt;1,0,IF(ROUNDDOWN((K$35-$B47)/Aggressive!$D$27,0)&lt;2,0.5,IF(ROUNDDOWN((K$35-$B47)/Aggressive!$D$27,0)&lt;3,0.75,IF(ROUNDDOWN((K$35-$B47)/Aggressive!$D$27,0)&lt;4,0.875,0.9375)))))+HLOOKUP($B47,$C$35:$Q$36,2,FALSE)*Aggressive!$C$28*(1-IF(ROUNDDOWN((K$35-$B47)/Aggressive!$D$28,0)&lt;1,0,IF(ROUNDDOWN((K$35-$B47)/Aggressive!$D$28,0)&lt;2,0.5,IF(ROUNDDOWN((K$35-$B47)/Aggressive!$D$28,0)&lt;3,0.75,IF(ROUNDDOWN((K$35-$B47)/Aggressive!$D$28,0)&lt;4,0.875,0.9375)))))</f>
        <v>4.4373115401321046</v>
      </c>
      <c r="L47" s="135">
        <f>HLOOKUP($B47,$C$35:$Q$36,2,FALSE)*Aggressive!$C$23*(1-IF(ROUNDDOWN((L$35-$B47)/Aggressive!$D$23,0)&lt;1,0,IF(ROUNDDOWN((L$35-$B47)/Aggressive!$D$23,0)&lt;2,0.5,IF(ROUNDDOWN((L$35-$B47)/Aggressive!$D$23,0)&lt;3,0.75,IF(ROUNDDOWN((L$35-$B47)/Aggressive!$D$23,0)&lt;4,0.875,0.9375)))))+HLOOKUP($B47,$C$35:$Q$36,2,FALSE)*Aggressive!$C$24*(1-IF(ROUNDDOWN((L$35-$B47)/Aggressive!$D$24,0)&lt;1,0,IF(ROUNDDOWN((L$35-$B47)/Aggressive!$D$24,0)&lt;2,0.5,IF(ROUNDDOWN((L$35-$B47)/Aggressive!$D$24,0)&lt;3,0.75,IF(ROUNDDOWN((L$35-$B47)/Aggressive!$D$24,0)&lt;4,0.875,0.9375)))))+HLOOKUP($B47,$C$35:$Q$36,2,FALSE)*Aggressive!$C$25*(1-IF(ROUNDDOWN((L$35-$B47)/Aggressive!$D$25,0)&lt;1,0,IF(ROUNDDOWN((L$35-$B47)/Aggressive!$D$25,0)&lt;2,0.5,IF(ROUNDDOWN((L$35-$B47)/Aggressive!$D$25,0)&lt;3,0.75,IF(ROUNDDOWN((L$35-$B47)/Aggressive!$D$25,0)&lt;4,0.875,0.9375)))))+HLOOKUP($B47,$C$35:$Q$36,2,FALSE)*Aggressive!$C$26*(1-IF(ROUNDDOWN((L$35-$B47)/Aggressive!$D$26,0)&lt;1,0,IF(ROUNDDOWN((L$35-$B47)/Aggressive!$D$26,0)&lt;2,0.5,IF(ROUNDDOWN((L$35-$B47)/Aggressive!$D$26,0)&lt;3,0.75,IF(ROUNDDOWN((L$35-$B47)/Aggressive!$D$26,0)&lt;4,0.875,0.9375)))))+HLOOKUP($B47,$C$35:$Q$36,2,FALSE)*Aggressive!$C$27*(1-IF(ROUNDDOWN((L$35-$B47)/Aggressive!$D$27,0)&lt;1,0,IF(ROUNDDOWN((L$35-$B47)/Aggressive!$D$27,0)&lt;2,0.5,IF(ROUNDDOWN((L$35-$B47)/Aggressive!$D$27,0)&lt;3,0.75,IF(ROUNDDOWN((L$35-$B47)/Aggressive!$D$27,0)&lt;4,0.875,0.9375)))))+HLOOKUP($B47,$C$35:$Q$36,2,FALSE)*Aggressive!$C$28*(1-IF(ROUNDDOWN((L$35-$B47)/Aggressive!$D$28,0)&lt;1,0,IF(ROUNDDOWN((L$35-$B47)/Aggressive!$D$28,0)&lt;2,0.5,IF(ROUNDDOWN((L$35-$B47)/Aggressive!$D$28,0)&lt;3,0.75,IF(ROUNDDOWN((L$35-$B47)/Aggressive!$D$28,0)&lt;4,0.875,0.9375)))))</f>
        <v>4.4373115401321046</v>
      </c>
      <c r="M47" s="135">
        <f>HLOOKUP($B47,$C$35:$Q$36,2,FALSE)*Aggressive!$C$23*(1-IF(ROUNDDOWN((M$35-$B47)/Aggressive!$D$23,0)&lt;1,0,IF(ROUNDDOWN((M$35-$B47)/Aggressive!$D$23,0)&lt;2,0.5,IF(ROUNDDOWN((M$35-$B47)/Aggressive!$D$23,0)&lt;3,0.75,IF(ROUNDDOWN((M$35-$B47)/Aggressive!$D$23,0)&lt;4,0.875,0.9375)))))+HLOOKUP($B47,$C$35:$Q$36,2,FALSE)*Aggressive!$C$24*(1-IF(ROUNDDOWN((M$35-$B47)/Aggressive!$D$24,0)&lt;1,0,IF(ROUNDDOWN((M$35-$B47)/Aggressive!$D$24,0)&lt;2,0.5,IF(ROUNDDOWN((M$35-$B47)/Aggressive!$D$24,0)&lt;3,0.75,IF(ROUNDDOWN((M$35-$B47)/Aggressive!$D$24,0)&lt;4,0.875,0.9375)))))+HLOOKUP($B47,$C$35:$Q$36,2,FALSE)*Aggressive!$C$25*(1-IF(ROUNDDOWN((M$35-$B47)/Aggressive!$D$25,0)&lt;1,0,IF(ROUNDDOWN((M$35-$B47)/Aggressive!$D$25,0)&lt;2,0.5,IF(ROUNDDOWN((M$35-$B47)/Aggressive!$D$25,0)&lt;3,0.75,IF(ROUNDDOWN((M$35-$B47)/Aggressive!$D$25,0)&lt;4,0.875,0.9375)))))+HLOOKUP($B47,$C$35:$Q$36,2,FALSE)*Aggressive!$C$26*(1-IF(ROUNDDOWN((M$35-$B47)/Aggressive!$D$26,0)&lt;1,0,IF(ROUNDDOWN((M$35-$B47)/Aggressive!$D$26,0)&lt;2,0.5,IF(ROUNDDOWN((M$35-$B47)/Aggressive!$D$26,0)&lt;3,0.75,IF(ROUNDDOWN((M$35-$B47)/Aggressive!$D$26,0)&lt;4,0.875,0.9375)))))+HLOOKUP($B47,$C$35:$Q$36,2,FALSE)*Aggressive!$C$27*(1-IF(ROUNDDOWN((M$35-$B47)/Aggressive!$D$27,0)&lt;1,0,IF(ROUNDDOWN((M$35-$B47)/Aggressive!$D$27,0)&lt;2,0.5,IF(ROUNDDOWN((M$35-$B47)/Aggressive!$D$27,0)&lt;3,0.75,IF(ROUNDDOWN((M$35-$B47)/Aggressive!$D$27,0)&lt;4,0.875,0.9375)))))+HLOOKUP($B47,$C$35:$Q$36,2,FALSE)*Aggressive!$C$28*(1-IF(ROUNDDOWN((M$35-$B47)/Aggressive!$D$28,0)&lt;1,0,IF(ROUNDDOWN((M$35-$B47)/Aggressive!$D$28,0)&lt;2,0.5,IF(ROUNDDOWN((M$35-$B47)/Aggressive!$D$28,0)&lt;3,0.75,IF(ROUNDDOWN((M$35-$B47)/Aggressive!$D$28,0)&lt;4,0.875,0.9375)))))</f>
        <v>4.4373115401321046</v>
      </c>
      <c r="N47" s="135">
        <f>HLOOKUP($B47,$C$35:$Q$36,2,FALSE)*Aggressive!$C$23*(1-IF(ROUNDDOWN((N$35-$B47)/Aggressive!$D$23,0)&lt;1,0,IF(ROUNDDOWN((N$35-$B47)/Aggressive!$D$23,0)&lt;2,0.5,IF(ROUNDDOWN((N$35-$B47)/Aggressive!$D$23,0)&lt;3,0.75,IF(ROUNDDOWN((N$35-$B47)/Aggressive!$D$23,0)&lt;4,0.875,0.9375)))))+HLOOKUP($B47,$C$35:$Q$36,2,FALSE)*Aggressive!$C$24*(1-IF(ROUNDDOWN((N$35-$B47)/Aggressive!$D$24,0)&lt;1,0,IF(ROUNDDOWN((N$35-$B47)/Aggressive!$D$24,0)&lt;2,0.5,IF(ROUNDDOWN((N$35-$B47)/Aggressive!$D$24,0)&lt;3,0.75,IF(ROUNDDOWN((N$35-$B47)/Aggressive!$D$24,0)&lt;4,0.875,0.9375)))))+HLOOKUP($B47,$C$35:$Q$36,2,FALSE)*Aggressive!$C$25*(1-IF(ROUNDDOWN((N$35-$B47)/Aggressive!$D$25,0)&lt;1,0,IF(ROUNDDOWN((N$35-$B47)/Aggressive!$D$25,0)&lt;2,0.5,IF(ROUNDDOWN((N$35-$B47)/Aggressive!$D$25,0)&lt;3,0.75,IF(ROUNDDOWN((N$35-$B47)/Aggressive!$D$25,0)&lt;4,0.875,0.9375)))))+HLOOKUP($B47,$C$35:$Q$36,2,FALSE)*Aggressive!$C$26*(1-IF(ROUNDDOWN((N$35-$B47)/Aggressive!$D$26,0)&lt;1,0,IF(ROUNDDOWN((N$35-$B47)/Aggressive!$D$26,0)&lt;2,0.5,IF(ROUNDDOWN((N$35-$B47)/Aggressive!$D$26,0)&lt;3,0.75,IF(ROUNDDOWN((N$35-$B47)/Aggressive!$D$26,0)&lt;4,0.875,0.9375)))))+HLOOKUP($B47,$C$35:$Q$36,2,FALSE)*Aggressive!$C$27*(1-IF(ROUNDDOWN((N$35-$B47)/Aggressive!$D$27,0)&lt;1,0,IF(ROUNDDOWN((N$35-$B47)/Aggressive!$D$27,0)&lt;2,0.5,IF(ROUNDDOWN((N$35-$B47)/Aggressive!$D$27,0)&lt;3,0.75,IF(ROUNDDOWN((N$35-$B47)/Aggressive!$D$27,0)&lt;4,0.875,0.9375)))))+HLOOKUP($B47,$C$35:$Q$36,2,FALSE)*Aggressive!$C$28*(1-IF(ROUNDDOWN((N$35-$B47)/Aggressive!$D$28,0)&lt;1,0,IF(ROUNDDOWN((N$35-$B47)/Aggressive!$D$28,0)&lt;2,0.5,IF(ROUNDDOWN((N$35-$B47)/Aggressive!$D$28,0)&lt;3,0.75,IF(ROUNDDOWN((N$35-$B47)/Aggressive!$D$28,0)&lt;4,0.875,0.9375)))))</f>
        <v>4.2465071439064239</v>
      </c>
      <c r="O47" s="135">
        <f>HLOOKUP($B47,$C$35:$Q$36,2,FALSE)*Aggressive!$C$23*(1-IF(ROUNDDOWN((O$35-$B47)/Aggressive!$D$23,0)&lt;1,0,IF(ROUNDDOWN((O$35-$B47)/Aggressive!$D$23,0)&lt;2,0.5,IF(ROUNDDOWN((O$35-$B47)/Aggressive!$D$23,0)&lt;3,0.75,IF(ROUNDDOWN((O$35-$B47)/Aggressive!$D$23,0)&lt;4,0.875,0.9375)))))+HLOOKUP($B47,$C$35:$Q$36,2,FALSE)*Aggressive!$C$24*(1-IF(ROUNDDOWN((O$35-$B47)/Aggressive!$D$24,0)&lt;1,0,IF(ROUNDDOWN((O$35-$B47)/Aggressive!$D$24,0)&lt;2,0.5,IF(ROUNDDOWN((O$35-$B47)/Aggressive!$D$24,0)&lt;3,0.75,IF(ROUNDDOWN((O$35-$B47)/Aggressive!$D$24,0)&lt;4,0.875,0.9375)))))+HLOOKUP($B47,$C$35:$Q$36,2,FALSE)*Aggressive!$C$25*(1-IF(ROUNDDOWN((O$35-$B47)/Aggressive!$D$25,0)&lt;1,0,IF(ROUNDDOWN((O$35-$B47)/Aggressive!$D$25,0)&lt;2,0.5,IF(ROUNDDOWN((O$35-$B47)/Aggressive!$D$25,0)&lt;3,0.75,IF(ROUNDDOWN((O$35-$B47)/Aggressive!$D$25,0)&lt;4,0.875,0.9375)))))+HLOOKUP($B47,$C$35:$Q$36,2,FALSE)*Aggressive!$C$26*(1-IF(ROUNDDOWN((O$35-$B47)/Aggressive!$D$26,0)&lt;1,0,IF(ROUNDDOWN((O$35-$B47)/Aggressive!$D$26,0)&lt;2,0.5,IF(ROUNDDOWN((O$35-$B47)/Aggressive!$D$26,0)&lt;3,0.75,IF(ROUNDDOWN((O$35-$B47)/Aggressive!$D$26,0)&lt;4,0.875,0.9375)))))+HLOOKUP($B47,$C$35:$Q$36,2,FALSE)*Aggressive!$C$27*(1-IF(ROUNDDOWN((O$35-$B47)/Aggressive!$D$27,0)&lt;1,0,IF(ROUNDDOWN((O$35-$B47)/Aggressive!$D$27,0)&lt;2,0.5,IF(ROUNDDOWN((O$35-$B47)/Aggressive!$D$27,0)&lt;3,0.75,IF(ROUNDDOWN((O$35-$B47)/Aggressive!$D$27,0)&lt;4,0.875,0.9375)))))+HLOOKUP($B47,$C$35:$Q$36,2,FALSE)*Aggressive!$C$28*(1-IF(ROUNDDOWN((O$35-$B47)/Aggressive!$D$28,0)&lt;1,0,IF(ROUNDDOWN((O$35-$B47)/Aggressive!$D$28,0)&lt;2,0.5,IF(ROUNDDOWN((O$35-$B47)/Aggressive!$D$28,0)&lt;3,0.75,IF(ROUNDDOWN((O$35-$B47)/Aggressive!$D$28,0)&lt;4,0.875,0.9375)))))</f>
        <v>4.2465071439064239</v>
      </c>
      <c r="P47" s="135">
        <f>HLOOKUP($B47,$C$35:$Q$36,2,FALSE)*Aggressive!$C$23*(1-IF(ROUNDDOWN((P$35-$B47)/Aggressive!$D$23,0)&lt;1,0,IF(ROUNDDOWN((P$35-$B47)/Aggressive!$D$23,0)&lt;2,0.5,IF(ROUNDDOWN((P$35-$B47)/Aggressive!$D$23,0)&lt;3,0.75,IF(ROUNDDOWN((P$35-$B47)/Aggressive!$D$23,0)&lt;4,0.875,0.9375)))))+HLOOKUP($B47,$C$35:$Q$36,2,FALSE)*Aggressive!$C$24*(1-IF(ROUNDDOWN((P$35-$B47)/Aggressive!$D$24,0)&lt;1,0,IF(ROUNDDOWN((P$35-$B47)/Aggressive!$D$24,0)&lt;2,0.5,IF(ROUNDDOWN((P$35-$B47)/Aggressive!$D$24,0)&lt;3,0.75,IF(ROUNDDOWN((P$35-$B47)/Aggressive!$D$24,0)&lt;4,0.875,0.9375)))))+HLOOKUP($B47,$C$35:$Q$36,2,FALSE)*Aggressive!$C$25*(1-IF(ROUNDDOWN((P$35-$B47)/Aggressive!$D$25,0)&lt;1,0,IF(ROUNDDOWN((P$35-$B47)/Aggressive!$D$25,0)&lt;2,0.5,IF(ROUNDDOWN((P$35-$B47)/Aggressive!$D$25,0)&lt;3,0.75,IF(ROUNDDOWN((P$35-$B47)/Aggressive!$D$25,0)&lt;4,0.875,0.9375)))))+HLOOKUP($B47,$C$35:$Q$36,2,FALSE)*Aggressive!$C$26*(1-IF(ROUNDDOWN((P$35-$B47)/Aggressive!$D$26,0)&lt;1,0,IF(ROUNDDOWN((P$35-$B47)/Aggressive!$D$26,0)&lt;2,0.5,IF(ROUNDDOWN((P$35-$B47)/Aggressive!$D$26,0)&lt;3,0.75,IF(ROUNDDOWN((P$35-$B47)/Aggressive!$D$26,0)&lt;4,0.875,0.9375)))))+HLOOKUP($B47,$C$35:$Q$36,2,FALSE)*Aggressive!$C$27*(1-IF(ROUNDDOWN((P$35-$B47)/Aggressive!$D$27,0)&lt;1,0,IF(ROUNDDOWN((P$35-$B47)/Aggressive!$D$27,0)&lt;2,0.5,IF(ROUNDDOWN((P$35-$B47)/Aggressive!$D$27,0)&lt;3,0.75,IF(ROUNDDOWN((P$35-$B47)/Aggressive!$D$27,0)&lt;4,0.875,0.9375)))))+HLOOKUP($B47,$C$35:$Q$36,2,FALSE)*Aggressive!$C$28*(1-IF(ROUNDDOWN((P$35-$B47)/Aggressive!$D$28,0)&lt;1,0,IF(ROUNDDOWN((P$35-$B47)/Aggressive!$D$28,0)&lt;2,0.5,IF(ROUNDDOWN((P$35-$B47)/Aggressive!$D$28,0)&lt;3,0.75,IF(ROUNDDOWN((P$35-$B47)/Aggressive!$D$28,0)&lt;4,0.875,0.9375)))))</f>
        <v>4.2465071439064239</v>
      </c>
      <c r="Q47" s="135">
        <f>HLOOKUP($B47,$C$35:$Q$36,2,FALSE)*Aggressive!$C$23*(1-IF(ROUNDDOWN((Q$35-$B47)/Aggressive!$D$23,0)&lt;1,0,IF(ROUNDDOWN((Q$35-$B47)/Aggressive!$D$23,0)&lt;2,0.5,IF(ROUNDDOWN((Q$35-$B47)/Aggressive!$D$23,0)&lt;3,0.75,IF(ROUNDDOWN((Q$35-$B47)/Aggressive!$D$23,0)&lt;4,0.875,0.9375)))))+HLOOKUP($B47,$C$35:$Q$36,2,FALSE)*Aggressive!$C$24*(1-IF(ROUNDDOWN((Q$35-$B47)/Aggressive!$D$24,0)&lt;1,0,IF(ROUNDDOWN((Q$35-$B47)/Aggressive!$D$24,0)&lt;2,0.5,IF(ROUNDDOWN((Q$35-$B47)/Aggressive!$D$24,0)&lt;3,0.75,IF(ROUNDDOWN((Q$35-$B47)/Aggressive!$D$24,0)&lt;4,0.875,0.9375)))))+HLOOKUP($B47,$C$35:$Q$36,2,FALSE)*Aggressive!$C$25*(1-IF(ROUNDDOWN((Q$35-$B47)/Aggressive!$D$25,0)&lt;1,0,IF(ROUNDDOWN((Q$35-$B47)/Aggressive!$D$25,0)&lt;2,0.5,IF(ROUNDDOWN((Q$35-$B47)/Aggressive!$D$25,0)&lt;3,0.75,IF(ROUNDDOWN((Q$35-$B47)/Aggressive!$D$25,0)&lt;4,0.875,0.9375)))))+HLOOKUP($B47,$C$35:$Q$36,2,FALSE)*Aggressive!$C$26*(1-IF(ROUNDDOWN((Q$35-$B47)/Aggressive!$D$26,0)&lt;1,0,IF(ROUNDDOWN((Q$35-$B47)/Aggressive!$D$26,0)&lt;2,0.5,IF(ROUNDDOWN((Q$35-$B47)/Aggressive!$D$26,0)&lt;3,0.75,IF(ROUNDDOWN((Q$35-$B47)/Aggressive!$D$26,0)&lt;4,0.875,0.9375)))))+HLOOKUP($B47,$C$35:$Q$36,2,FALSE)*Aggressive!$C$27*(1-IF(ROUNDDOWN((Q$35-$B47)/Aggressive!$D$27,0)&lt;1,0,IF(ROUNDDOWN((Q$35-$B47)/Aggressive!$D$27,0)&lt;2,0.5,IF(ROUNDDOWN((Q$35-$B47)/Aggressive!$D$27,0)&lt;3,0.75,IF(ROUNDDOWN((Q$35-$B47)/Aggressive!$D$27,0)&lt;4,0.875,0.9375)))))+HLOOKUP($B47,$C$35:$Q$36,2,FALSE)*Aggressive!$C$28*(1-IF(ROUNDDOWN((Q$35-$B47)/Aggressive!$D$28,0)&lt;1,0,IF(ROUNDDOWN((Q$35-$B47)/Aggressive!$D$28,0)&lt;2,0.5,IF(ROUNDDOWN((Q$35-$B47)/Aggressive!$D$28,0)&lt;3,0.75,IF(ROUNDDOWN((Q$35-$B47)/Aggressive!$D$28,0)&lt;4,0.875,0.9375)))))</f>
        <v>4.151104945793584</v>
      </c>
      <c r="R47" s="50"/>
    </row>
    <row r="48" spans="2:18" x14ac:dyDescent="0.3">
      <c r="B48" s="237">
        <f t="shared" si="9"/>
        <v>2024</v>
      </c>
      <c r="C48" s="135"/>
      <c r="D48" s="135"/>
      <c r="E48" s="135"/>
      <c r="F48" s="135"/>
      <c r="G48" s="135"/>
      <c r="H48" s="135"/>
      <c r="I48" s="135"/>
      <c r="J48" s="135"/>
      <c r="K48" s="135"/>
      <c r="L48" s="135">
        <f>HLOOKUP($B48,$C$35:$Q$36,2,FALSE)*Aggressive!$C$23*(1-IF(ROUNDDOWN((L$35-$B48)/Aggressive!$D$23,0)&lt;1,0,IF(ROUNDDOWN((L$35-$B48)/Aggressive!$D$23,0)&lt;2,0.5,IF(ROUNDDOWN((L$35-$B48)/Aggressive!$D$23,0)&lt;3,0.75,IF(ROUNDDOWN((L$35-$B48)/Aggressive!$D$23,0)&lt;4,0.875,0.9375)))))+HLOOKUP($B48,$C$35:$Q$36,2,FALSE)*Aggressive!$C$24*(1-IF(ROUNDDOWN((L$35-$B48)/Aggressive!$D$24,0)&lt;1,0,IF(ROUNDDOWN((L$35-$B48)/Aggressive!$D$24,0)&lt;2,0.5,IF(ROUNDDOWN((L$35-$B48)/Aggressive!$D$24,0)&lt;3,0.75,IF(ROUNDDOWN((L$35-$B48)/Aggressive!$D$24,0)&lt;4,0.875,0.9375)))))+HLOOKUP($B48,$C$35:$Q$36,2,FALSE)*Aggressive!$C$25*(1-IF(ROUNDDOWN((L$35-$B48)/Aggressive!$D$25,0)&lt;1,0,IF(ROUNDDOWN((L$35-$B48)/Aggressive!$D$25,0)&lt;2,0.5,IF(ROUNDDOWN((L$35-$B48)/Aggressive!$D$25,0)&lt;3,0.75,IF(ROUNDDOWN((L$35-$B48)/Aggressive!$D$25,0)&lt;4,0.875,0.9375)))))+HLOOKUP($B48,$C$35:$Q$36,2,FALSE)*Aggressive!$C$26*(1-IF(ROUNDDOWN((L$35-$B48)/Aggressive!$D$26,0)&lt;1,0,IF(ROUNDDOWN((L$35-$B48)/Aggressive!$D$26,0)&lt;2,0.5,IF(ROUNDDOWN((L$35-$B48)/Aggressive!$D$26,0)&lt;3,0.75,IF(ROUNDDOWN((L$35-$B48)/Aggressive!$D$26,0)&lt;4,0.875,0.9375)))))+HLOOKUP($B48,$C$35:$Q$36,2,FALSE)*Aggressive!$C$27*(1-IF(ROUNDDOWN((L$35-$B48)/Aggressive!$D$27,0)&lt;1,0,IF(ROUNDDOWN((L$35-$B48)/Aggressive!$D$27,0)&lt;2,0.5,IF(ROUNDDOWN((L$35-$B48)/Aggressive!$D$27,0)&lt;3,0.75,IF(ROUNDDOWN((L$35-$B48)/Aggressive!$D$27,0)&lt;4,0.875,0.9375)))))+HLOOKUP($B48,$C$35:$Q$36,2,FALSE)*Aggressive!$C$28*(1-IF(ROUNDDOWN((L$35-$B48)/Aggressive!$D$28,0)&lt;1,0,IF(ROUNDDOWN((L$35-$B48)/Aggressive!$D$28,0)&lt;2,0.5,IF(ROUNDDOWN((L$35-$B48)/Aggressive!$D$28,0)&lt;3,0.75,IF(ROUNDDOWN((L$35-$B48)/Aggressive!$D$28,0)&lt;4,0.875,0.9375)))))</f>
        <v>8.2241860639068349</v>
      </c>
      <c r="M48" s="135">
        <f>HLOOKUP($B48,$C$35:$Q$36,2,FALSE)*Aggressive!$C$23*(1-IF(ROUNDDOWN((M$35-$B48)/Aggressive!$D$23,0)&lt;1,0,IF(ROUNDDOWN((M$35-$B48)/Aggressive!$D$23,0)&lt;2,0.5,IF(ROUNDDOWN((M$35-$B48)/Aggressive!$D$23,0)&lt;3,0.75,IF(ROUNDDOWN((M$35-$B48)/Aggressive!$D$23,0)&lt;4,0.875,0.9375)))))+HLOOKUP($B48,$C$35:$Q$36,2,FALSE)*Aggressive!$C$24*(1-IF(ROUNDDOWN((M$35-$B48)/Aggressive!$D$24,0)&lt;1,0,IF(ROUNDDOWN((M$35-$B48)/Aggressive!$D$24,0)&lt;2,0.5,IF(ROUNDDOWN((M$35-$B48)/Aggressive!$D$24,0)&lt;3,0.75,IF(ROUNDDOWN((M$35-$B48)/Aggressive!$D$24,0)&lt;4,0.875,0.9375)))))+HLOOKUP($B48,$C$35:$Q$36,2,FALSE)*Aggressive!$C$25*(1-IF(ROUNDDOWN((M$35-$B48)/Aggressive!$D$25,0)&lt;1,0,IF(ROUNDDOWN((M$35-$B48)/Aggressive!$D$25,0)&lt;2,0.5,IF(ROUNDDOWN((M$35-$B48)/Aggressive!$D$25,0)&lt;3,0.75,IF(ROUNDDOWN((M$35-$B48)/Aggressive!$D$25,0)&lt;4,0.875,0.9375)))))+HLOOKUP($B48,$C$35:$Q$36,2,FALSE)*Aggressive!$C$26*(1-IF(ROUNDDOWN((M$35-$B48)/Aggressive!$D$26,0)&lt;1,0,IF(ROUNDDOWN((M$35-$B48)/Aggressive!$D$26,0)&lt;2,0.5,IF(ROUNDDOWN((M$35-$B48)/Aggressive!$D$26,0)&lt;3,0.75,IF(ROUNDDOWN((M$35-$B48)/Aggressive!$D$26,0)&lt;4,0.875,0.9375)))))+HLOOKUP($B48,$C$35:$Q$36,2,FALSE)*Aggressive!$C$27*(1-IF(ROUNDDOWN((M$35-$B48)/Aggressive!$D$27,0)&lt;1,0,IF(ROUNDDOWN((M$35-$B48)/Aggressive!$D$27,0)&lt;2,0.5,IF(ROUNDDOWN((M$35-$B48)/Aggressive!$D$27,0)&lt;3,0.75,IF(ROUNDDOWN((M$35-$B48)/Aggressive!$D$27,0)&lt;4,0.875,0.9375)))))+HLOOKUP($B48,$C$35:$Q$36,2,FALSE)*Aggressive!$C$28*(1-IF(ROUNDDOWN((M$35-$B48)/Aggressive!$D$28,0)&lt;1,0,IF(ROUNDDOWN((M$35-$B48)/Aggressive!$D$28,0)&lt;2,0.5,IF(ROUNDDOWN((M$35-$B48)/Aggressive!$D$28,0)&lt;3,0.75,IF(ROUNDDOWN((M$35-$B48)/Aggressive!$D$28,0)&lt;4,0.875,0.9375)))))</f>
        <v>8.2241860639068349</v>
      </c>
      <c r="N48" s="135">
        <f>HLOOKUP($B48,$C$35:$Q$36,2,FALSE)*Aggressive!$C$23*(1-IF(ROUNDDOWN((N$35-$B48)/Aggressive!$D$23,0)&lt;1,0,IF(ROUNDDOWN((N$35-$B48)/Aggressive!$D$23,0)&lt;2,0.5,IF(ROUNDDOWN((N$35-$B48)/Aggressive!$D$23,0)&lt;3,0.75,IF(ROUNDDOWN((N$35-$B48)/Aggressive!$D$23,0)&lt;4,0.875,0.9375)))))+HLOOKUP($B48,$C$35:$Q$36,2,FALSE)*Aggressive!$C$24*(1-IF(ROUNDDOWN((N$35-$B48)/Aggressive!$D$24,0)&lt;1,0,IF(ROUNDDOWN((N$35-$B48)/Aggressive!$D$24,0)&lt;2,0.5,IF(ROUNDDOWN((N$35-$B48)/Aggressive!$D$24,0)&lt;3,0.75,IF(ROUNDDOWN((N$35-$B48)/Aggressive!$D$24,0)&lt;4,0.875,0.9375)))))+HLOOKUP($B48,$C$35:$Q$36,2,FALSE)*Aggressive!$C$25*(1-IF(ROUNDDOWN((N$35-$B48)/Aggressive!$D$25,0)&lt;1,0,IF(ROUNDDOWN((N$35-$B48)/Aggressive!$D$25,0)&lt;2,0.5,IF(ROUNDDOWN((N$35-$B48)/Aggressive!$D$25,0)&lt;3,0.75,IF(ROUNDDOWN((N$35-$B48)/Aggressive!$D$25,0)&lt;4,0.875,0.9375)))))+HLOOKUP($B48,$C$35:$Q$36,2,FALSE)*Aggressive!$C$26*(1-IF(ROUNDDOWN((N$35-$B48)/Aggressive!$D$26,0)&lt;1,0,IF(ROUNDDOWN((N$35-$B48)/Aggressive!$D$26,0)&lt;2,0.5,IF(ROUNDDOWN((N$35-$B48)/Aggressive!$D$26,0)&lt;3,0.75,IF(ROUNDDOWN((N$35-$B48)/Aggressive!$D$26,0)&lt;4,0.875,0.9375)))))+HLOOKUP($B48,$C$35:$Q$36,2,FALSE)*Aggressive!$C$27*(1-IF(ROUNDDOWN((N$35-$B48)/Aggressive!$D$27,0)&lt;1,0,IF(ROUNDDOWN((N$35-$B48)/Aggressive!$D$27,0)&lt;2,0.5,IF(ROUNDDOWN((N$35-$B48)/Aggressive!$D$27,0)&lt;3,0.75,IF(ROUNDDOWN((N$35-$B48)/Aggressive!$D$27,0)&lt;4,0.875,0.9375)))))+HLOOKUP($B48,$C$35:$Q$36,2,FALSE)*Aggressive!$C$28*(1-IF(ROUNDDOWN((N$35-$B48)/Aggressive!$D$28,0)&lt;1,0,IF(ROUNDDOWN((N$35-$B48)/Aggressive!$D$28,0)&lt;2,0.5,IF(ROUNDDOWN((N$35-$B48)/Aggressive!$D$28,0)&lt;3,0.75,IF(ROUNDDOWN((N$35-$B48)/Aggressive!$D$28,0)&lt;4,0.875,0.9375)))))</f>
        <v>8.2241860639068349</v>
      </c>
      <c r="O48" s="135">
        <f>HLOOKUP($B48,$C$35:$Q$36,2,FALSE)*Aggressive!$C$23*(1-IF(ROUNDDOWN((O$35-$B48)/Aggressive!$D$23,0)&lt;1,0,IF(ROUNDDOWN((O$35-$B48)/Aggressive!$D$23,0)&lt;2,0.5,IF(ROUNDDOWN((O$35-$B48)/Aggressive!$D$23,0)&lt;3,0.75,IF(ROUNDDOWN((O$35-$B48)/Aggressive!$D$23,0)&lt;4,0.875,0.9375)))))+HLOOKUP($B48,$C$35:$Q$36,2,FALSE)*Aggressive!$C$24*(1-IF(ROUNDDOWN((O$35-$B48)/Aggressive!$D$24,0)&lt;1,0,IF(ROUNDDOWN((O$35-$B48)/Aggressive!$D$24,0)&lt;2,0.5,IF(ROUNDDOWN((O$35-$B48)/Aggressive!$D$24,0)&lt;3,0.75,IF(ROUNDDOWN((O$35-$B48)/Aggressive!$D$24,0)&lt;4,0.875,0.9375)))))+HLOOKUP($B48,$C$35:$Q$36,2,FALSE)*Aggressive!$C$25*(1-IF(ROUNDDOWN((O$35-$B48)/Aggressive!$D$25,0)&lt;1,0,IF(ROUNDDOWN((O$35-$B48)/Aggressive!$D$25,0)&lt;2,0.5,IF(ROUNDDOWN((O$35-$B48)/Aggressive!$D$25,0)&lt;3,0.75,IF(ROUNDDOWN((O$35-$B48)/Aggressive!$D$25,0)&lt;4,0.875,0.9375)))))+HLOOKUP($B48,$C$35:$Q$36,2,FALSE)*Aggressive!$C$26*(1-IF(ROUNDDOWN((O$35-$B48)/Aggressive!$D$26,0)&lt;1,0,IF(ROUNDDOWN((O$35-$B48)/Aggressive!$D$26,0)&lt;2,0.5,IF(ROUNDDOWN((O$35-$B48)/Aggressive!$D$26,0)&lt;3,0.75,IF(ROUNDDOWN((O$35-$B48)/Aggressive!$D$26,0)&lt;4,0.875,0.9375)))))+HLOOKUP($B48,$C$35:$Q$36,2,FALSE)*Aggressive!$C$27*(1-IF(ROUNDDOWN((O$35-$B48)/Aggressive!$D$27,0)&lt;1,0,IF(ROUNDDOWN((O$35-$B48)/Aggressive!$D$27,0)&lt;2,0.5,IF(ROUNDDOWN((O$35-$B48)/Aggressive!$D$27,0)&lt;3,0.75,IF(ROUNDDOWN((O$35-$B48)/Aggressive!$D$27,0)&lt;4,0.875,0.9375)))))+HLOOKUP($B48,$C$35:$Q$36,2,FALSE)*Aggressive!$C$28*(1-IF(ROUNDDOWN((O$35-$B48)/Aggressive!$D$28,0)&lt;1,0,IF(ROUNDDOWN((O$35-$B48)/Aggressive!$D$28,0)&lt;2,0.5,IF(ROUNDDOWN((O$35-$B48)/Aggressive!$D$28,0)&lt;3,0.75,IF(ROUNDDOWN((O$35-$B48)/Aggressive!$D$28,0)&lt;4,0.875,0.9375)))))</f>
        <v>7.8705460631588409</v>
      </c>
      <c r="P48" s="135">
        <f>HLOOKUP($B48,$C$35:$Q$36,2,FALSE)*Aggressive!$C$23*(1-IF(ROUNDDOWN((P$35-$B48)/Aggressive!$D$23,0)&lt;1,0,IF(ROUNDDOWN((P$35-$B48)/Aggressive!$D$23,0)&lt;2,0.5,IF(ROUNDDOWN((P$35-$B48)/Aggressive!$D$23,0)&lt;3,0.75,IF(ROUNDDOWN((P$35-$B48)/Aggressive!$D$23,0)&lt;4,0.875,0.9375)))))+HLOOKUP($B48,$C$35:$Q$36,2,FALSE)*Aggressive!$C$24*(1-IF(ROUNDDOWN((P$35-$B48)/Aggressive!$D$24,0)&lt;1,0,IF(ROUNDDOWN((P$35-$B48)/Aggressive!$D$24,0)&lt;2,0.5,IF(ROUNDDOWN((P$35-$B48)/Aggressive!$D$24,0)&lt;3,0.75,IF(ROUNDDOWN((P$35-$B48)/Aggressive!$D$24,0)&lt;4,0.875,0.9375)))))+HLOOKUP($B48,$C$35:$Q$36,2,FALSE)*Aggressive!$C$25*(1-IF(ROUNDDOWN((P$35-$B48)/Aggressive!$D$25,0)&lt;1,0,IF(ROUNDDOWN((P$35-$B48)/Aggressive!$D$25,0)&lt;2,0.5,IF(ROUNDDOWN((P$35-$B48)/Aggressive!$D$25,0)&lt;3,0.75,IF(ROUNDDOWN((P$35-$B48)/Aggressive!$D$25,0)&lt;4,0.875,0.9375)))))+HLOOKUP($B48,$C$35:$Q$36,2,FALSE)*Aggressive!$C$26*(1-IF(ROUNDDOWN((P$35-$B48)/Aggressive!$D$26,0)&lt;1,0,IF(ROUNDDOWN((P$35-$B48)/Aggressive!$D$26,0)&lt;2,0.5,IF(ROUNDDOWN((P$35-$B48)/Aggressive!$D$26,0)&lt;3,0.75,IF(ROUNDDOWN((P$35-$B48)/Aggressive!$D$26,0)&lt;4,0.875,0.9375)))))+HLOOKUP($B48,$C$35:$Q$36,2,FALSE)*Aggressive!$C$27*(1-IF(ROUNDDOWN((P$35-$B48)/Aggressive!$D$27,0)&lt;1,0,IF(ROUNDDOWN((P$35-$B48)/Aggressive!$D$27,0)&lt;2,0.5,IF(ROUNDDOWN((P$35-$B48)/Aggressive!$D$27,0)&lt;3,0.75,IF(ROUNDDOWN((P$35-$B48)/Aggressive!$D$27,0)&lt;4,0.875,0.9375)))))+HLOOKUP($B48,$C$35:$Q$36,2,FALSE)*Aggressive!$C$28*(1-IF(ROUNDDOWN((P$35-$B48)/Aggressive!$D$28,0)&lt;1,0,IF(ROUNDDOWN((P$35-$B48)/Aggressive!$D$28,0)&lt;2,0.5,IF(ROUNDDOWN((P$35-$B48)/Aggressive!$D$28,0)&lt;3,0.75,IF(ROUNDDOWN((P$35-$B48)/Aggressive!$D$28,0)&lt;4,0.875,0.9375)))))</f>
        <v>7.8705460631588409</v>
      </c>
      <c r="Q48" s="135">
        <f>HLOOKUP($B48,$C$35:$Q$36,2,FALSE)*Aggressive!$C$23*(1-IF(ROUNDDOWN((Q$35-$B48)/Aggressive!$D$23,0)&lt;1,0,IF(ROUNDDOWN((Q$35-$B48)/Aggressive!$D$23,0)&lt;2,0.5,IF(ROUNDDOWN((Q$35-$B48)/Aggressive!$D$23,0)&lt;3,0.75,IF(ROUNDDOWN((Q$35-$B48)/Aggressive!$D$23,0)&lt;4,0.875,0.9375)))))+HLOOKUP($B48,$C$35:$Q$36,2,FALSE)*Aggressive!$C$24*(1-IF(ROUNDDOWN((Q$35-$B48)/Aggressive!$D$24,0)&lt;1,0,IF(ROUNDDOWN((Q$35-$B48)/Aggressive!$D$24,0)&lt;2,0.5,IF(ROUNDDOWN((Q$35-$B48)/Aggressive!$D$24,0)&lt;3,0.75,IF(ROUNDDOWN((Q$35-$B48)/Aggressive!$D$24,0)&lt;4,0.875,0.9375)))))+HLOOKUP($B48,$C$35:$Q$36,2,FALSE)*Aggressive!$C$25*(1-IF(ROUNDDOWN((Q$35-$B48)/Aggressive!$D$25,0)&lt;1,0,IF(ROUNDDOWN((Q$35-$B48)/Aggressive!$D$25,0)&lt;2,0.5,IF(ROUNDDOWN((Q$35-$B48)/Aggressive!$D$25,0)&lt;3,0.75,IF(ROUNDDOWN((Q$35-$B48)/Aggressive!$D$25,0)&lt;4,0.875,0.9375)))))+HLOOKUP($B48,$C$35:$Q$36,2,FALSE)*Aggressive!$C$26*(1-IF(ROUNDDOWN((Q$35-$B48)/Aggressive!$D$26,0)&lt;1,0,IF(ROUNDDOWN((Q$35-$B48)/Aggressive!$D$26,0)&lt;2,0.5,IF(ROUNDDOWN((Q$35-$B48)/Aggressive!$D$26,0)&lt;3,0.75,IF(ROUNDDOWN((Q$35-$B48)/Aggressive!$D$26,0)&lt;4,0.875,0.9375)))))+HLOOKUP($B48,$C$35:$Q$36,2,FALSE)*Aggressive!$C$27*(1-IF(ROUNDDOWN((Q$35-$B48)/Aggressive!$D$27,0)&lt;1,0,IF(ROUNDDOWN((Q$35-$B48)/Aggressive!$D$27,0)&lt;2,0.5,IF(ROUNDDOWN((Q$35-$B48)/Aggressive!$D$27,0)&lt;3,0.75,IF(ROUNDDOWN((Q$35-$B48)/Aggressive!$D$27,0)&lt;4,0.875,0.9375)))))+HLOOKUP($B48,$C$35:$Q$36,2,FALSE)*Aggressive!$C$28*(1-IF(ROUNDDOWN((Q$35-$B48)/Aggressive!$D$28,0)&lt;1,0,IF(ROUNDDOWN((Q$35-$B48)/Aggressive!$D$28,0)&lt;2,0.5,IF(ROUNDDOWN((Q$35-$B48)/Aggressive!$D$28,0)&lt;3,0.75,IF(ROUNDDOWN((Q$35-$B48)/Aggressive!$D$28,0)&lt;4,0.875,0.9375)))))</f>
        <v>7.8705460631588409</v>
      </c>
      <c r="R48" s="50"/>
    </row>
    <row r="49" spans="2:18" x14ac:dyDescent="0.3">
      <c r="B49" s="237">
        <f t="shared" si="9"/>
        <v>2025</v>
      </c>
      <c r="C49" s="135"/>
      <c r="D49" s="135"/>
      <c r="E49" s="135"/>
      <c r="F49" s="135"/>
      <c r="G49" s="135"/>
      <c r="H49" s="135"/>
      <c r="I49" s="135"/>
      <c r="J49" s="135"/>
      <c r="K49" s="135"/>
      <c r="L49" s="135"/>
      <c r="M49" s="135">
        <f>HLOOKUP($B49,$C$35:$Q$36,2,FALSE)*Aggressive!$C$23*(1-IF(ROUNDDOWN((M$35-$B49)/Aggressive!$D$23,0)&lt;1,0,IF(ROUNDDOWN((M$35-$B49)/Aggressive!$D$23,0)&lt;2,0.5,IF(ROUNDDOWN((M$35-$B49)/Aggressive!$D$23,0)&lt;3,0.75,IF(ROUNDDOWN((M$35-$B49)/Aggressive!$D$23,0)&lt;4,0.875,0.9375)))))+HLOOKUP($B49,$C$35:$Q$36,2,FALSE)*Aggressive!$C$24*(1-IF(ROUNDDOWN((M$35-$B49)/Aggressive!$D$24,0)&lt;1,0,IF(ROUNDDOWN((M$35-$B49)/Aggressive!$D$24,0)&lt;2,0.5,IF(ROUNDDOWN((M$35-$B49)/Aggressive!$D$24,0)&lt;3,0.75,IF(ROUNDDOWN((M$35-$B49)/Aggressive!$D$24,0)&lt;4,0.875,0.9375)))))+HLOOKUP($B49,$C$35:$Q$36,2,FALSE)*Aggressive!$C$25*(1-IF(ROUNDDOWN((M$35-$B49)/Aggressive!$D$25,0)&lt;1,0,IF(ROUNDDOWN((M$35-$B49)/Aggressive!$D$25,0)&lt;2,0.5,IF(ROUNDDOWN((M$35-$B49)/Aggressive!$D$25,0)&lt;3,0.75,IF(ROUNDDOWN((M$35-$B49)/Aggressive!$D$25,0)&lt;4,0.875,0.9375)))))+HLOOKUP($B49,$C$35:$Q$36,2,FALSE)*Aggressive!$C$26*(1-IF(ROUNDDOWN((M$35-$B49)/Aggressive!$D$26,0)&lt;1,0,IF(ROUNDDOWN((M$35-$B49)/Aggressive!$D$26,0)&lt;2,0.5,IF(ROUNDDOWN((M$35-$B49)/Aggressive!$D$26,0)&lt;3,0.75,IF(ROUNDDOWN((M$35-$B49)/Aggressive!$D$26,0)&lt;4,0.875,0.9375)))))+HLOOKUP($B49,$C$35:$Q$36,2,FALSE)*Aggressive!$C$27*(1-IF(ROUNDDOWN((M$35-$B49)/Aggressive!$D$27,0)&lt;1,0,IF(ROUNDDOWN((M$35-$B49)/Aggressive!$D$27,0)&lt;2,0.5,IF(ROUNDDOWN((M$35-$B49)/Aggressive!$D$27,0)&lt;3,0.75,IF(ROUNDDOWN((M$35-$B49)/Aggressive!$D$27,0)&lt;4,0.875,0.9375)))))+HLOOKUP($B49,$C$35:$Q$36,2,FALSE)*Aggressive!$C$28*(1-IF(ROUNDDOWN((M$35-$B49)/Aggressive!$D$28,0)&lt;1,0,IF(ROUNDDOWN((M$35-$B49)/Aggressive!$D$28,0)&lt;2,0.5,IF(ROUNDDOWN((M$35-$B49)/Aggressive!$D$28,0)&lt;3,0.75,IF(ROUNDDOWN((M$35-$B49)/Aggressive!$D$28,0)&lt;4,0.875,0.9375)))))</f>
        <v>8.2241860639068349</v>
      </c>
      <c r="N49" s="135">
        <f>HLOOKUP($B49,$C$35:$Q$36,2,FALSE)*Aggressive!$C$23*(1-IF(ROUNDDOWN((N$35-$B49)/Aggressive!$D$23,0)&lt;1,0,IF(ROUNDDOWN((N$35-$B49)/Aggressive!$D$23,0)&lt;2,0.5,IF(ROUNDDOWN((N$35-$B49)/Aggressive!$D$23,0)&lt;3,0.75,IF(ROUNDDOWN((N$35-$B49)/Aggressive!$D$23,0)&lt;4,0.875,0.9375)))))+HLOOKUP($B49,$C$35:$Q$36,2,FALSE)*Aggressive!$C$24*(1-IF(ROUNDDOWN((N$35-$B49)/Aggressive!$D$24,0)&lt;1,0,IF(ROUNDDOWN((N$35-$B49)/Aggressive!$D$24,0)&lt;2,0.5,IF(ROUNDDOWN((N$35-$B49)/Aggressive!$D$24,0)&lt;3,0.75,IF(ROUNDDOWN((N$35-$B49)/Aggressive!$D$24,0)&lt;4,0.875,0.9375)))))+HLOOKUP($B49,$C$35:$Q$36,2,FALSE)*Aggressive!$C$25*(1-IF(ROUNDDOWN((N$35-$B49)/Aggressive!$D$25,0)&lt;1,0,IF(ROUNDDOWN((N$35-$B49)/Aggressive!$D$25,0)&lt;2,0.5,IF(ROUNDDOWN((N$35-$B49)/Aggressive!$D$25,0)&lt;3,0.75,IF(ROUNDDOWN((N$35-$B49)/Aggressive!$D$25,0)&lt;4,0.875,0.9375)))))+HLOOKUP($B49,$C$35:$Q$36,2,FALSE)*Aggressive!$C$26*(1-IF(ROUNDDOWN((N$35-$B49)/Aggressive!$D$26,0)&lt;1,0,IF(ROUNDDOWN((N$35-$B49)/Aggressive!$D$26,0)&lt;2,0.5,IF(ROUNDDOWN((N$35-$B49)/Aggressive!$D$26,0)&lt;3,0.75,IF(ROUNDDOWN((N$35-$B49)/Aggressive!$D$26,0)&lt;4,0.875,0.9375)))))+HLOOKUP($B49,$C$35:$Q$36,2,FALSE)*Aggressive!$C$27*(1-IF(ROUNDDOWN((N$35-$B49)/Aggressive!$D$27,0)&lt;1,0,IF(ROUNDDOWN((N$35-$B49)/Aggressive!$D$27,0)&lt;2,0.5,IF(ROUNDDOWN((N$35-$B49)/Aggressive!$D$27,0)&lt;3,0.75,IF(ROUNDDOWN((N$35-$B49)/Aggressive!$D$27,0)&lt;4,0.875,0.9375)))))+HLOOKUP($B49,$C$35:$Q$36,2,FALSE)*Aggressive!$C$28*(1-IF(ROUNDDOWN((N$35-$B49)/Aggressive!$D$28,0)&lt;1,0,IF(ROUNDDOWN((N$35-$B49)/Aggressive!$D$28,0)&lt;2,0.5,IF(ROUNDDOWN((N$35-$B49)/Aggressive!$D$28,0)&lt;3,0.75,IF(ROUNDDOWN((N$35-$B49)/Aggressive!$D$28,0)&lt;4,0.875,0.9375)))))</f>
        <v>8.2241860639068349</v>
      </c>
      <c r="O49" s="135">
        <f>HLOOKUP($B49,$C$35:$Q$36,2,FALSE)*Aggressive!$C$23*(1-IF(ROUNDDOWN((O$35-$B49)/Aggressive!$D$23,0)&lt;1,0,IF(ROUNDDOWN((O$35-$B49)/Aggressive!$D$23,0)&lt;2,0.5,IF(ROUNDDOWN((O$35-$B49)/Aggressive!$D$23,0)&lt;3,0.75,IF(ROUNDDOWN((O$35-$B49)/Aggressive!$D$23,0)&lt;4,0.875,0.9375)))))+HLOOKUP($B49,$C$35:$Q$36,2,FALSE)*Aggressive!$C$24*(1-IF(ROUNDDOWN((O$35-$B49)/Aggressive!$D$24,0)&lt;1,0,IF(ROUNDDOWN((O$35-$B49)/Aggressive!$D$24,0)&lt;2,0.5,IF(ROUNDDOWN((O$35-$B49)/Aggressive!$D$24,0)&lt;3,0.75,IF(ROUNDDOWN((O$35-$B49)/Aggressive!$D$24,0)&lt;4,0.875,0.9375)))))+HLOOKUP($B49,$C$35:$Q$36,2,FALSE)*Aggressive!$C$25*(1-IF(ROUNDDOWN((O$35-$B49)/Aggressive!$D$25,0)&lt;1,0,IF(ROUNDDOWN((O$35-$B49)/Aggressive!$D$25,0)&lt;2,0.5,IF(ROUNDDOWN((O$35-$B49)/Aggressive!$D$25,0)&lt;3,0.75,IF(ROUNDDOWN((O$35-$B49)/Aggressive!$D$25,0)&lt;4,0.875,0.9375)))))+HLOOKUP($B49,$C$35:$Q$36,2,FALSE)*Aggressive!$C$26*(1-IF(ROUNDDOWN((O$35-$B49)/Aggressive!$D$26,0)&lt;1,0,IF(ROUNDDOWN((O$35-$B49)/Aggressive!$D$26,0)&lt;2,0.5,IF(ROUNDDOWN((O$35-$B49)/Aggressive!$D$26,0)&lt;3,0.75,IF(ROUNDDOWN((O$35-$B49)/Aggressive!$D$26,0)&lt;4,0.875,0.9375)))))+HLOOKUP($B49,$C$35:$Q$36,2,FALSE)*Aggressive!$C$27*(1-IF(ROUNDDOWN((O$35-$B49)/Aggressive!$D$27,0)&lt;1,0,IF(ROUNDDOWN((O$35-$B49)/Aggressive!$D$27,0)&lt;2,0.5,IF(ROUNDDOWN((O$35-$B49)/Aggressive!$D$27,0)&lt;3,0.75,IF(ROUNDDOWN((O$35-$B49)/Aggressive!$D$27,0)&lt;4,0.875,0.9375)))))+HLOOKUP($B49,$C$35:$Q$36,2,FALSE)*Aggressive!$C$28*(1-IF(ROUNDDOWN((O$35-$B49)/Aggressive!$D$28,0)&lt;1,0,IF(ROUNDDOWN((O$35-$B49)/Aggressive!$D$28,0)&lt;2,0.5,IF(ROUNDDOWN((O$35-$B49)/Aggressive!$D$28,0)&lt;3,0.75,IF(ROUNDDOWN((O$35-$B49)/Aggressive!$D$28,0)&lt;4,0.875,0.9375)))))</f>
        <v>8.2241860639068349</v>
      </c>
      <c r="P49" s="135">
        <f>HLOOKUP($B49,$C$35:$Q$36,2,FALSE)*Aggressive!$C$23*(1-IF(ROUNDDOWN((P$35-$B49)/Aggressive!$D$23,0)&lt;1,0,IF(ROUNDDOWN((P$35-$B49)/Aggressive!$D$23,0)&lt;2,0.5,IF(ROUNDDOWN((P$35-$B49)/Aggressive!$D$23,0)&lt;3,0.75,IF(ROUNDDOWN((P$35-$B49)/Aggressive!$D$23,0)&lt;4,0.875,0.9375)))))+HLOOKUP($B49,$C$35:$Q$36,2,FALSE)*Aggressive!$C$24*(1-IF(ROUNDDOWN((P$35-$B49)/Aggressive!$D$24,0)&lt;1,0,IF(ROUNDDOWN((P$35-$B49)/Aggressive!$D$24,0)&lt;2,0.5,IF(ROUNDDOWN((P$35-$B49)/Aggressive!$D$24,0)&lt;3,0.75,IF(ROUNDDOWN((P$35-$B49)/Aggressive!$D$24,0)&lt;4,0.875,0.9375)))))+HLOOKUP($B49,$C$35:$Q$36,2,FALSE)*Aggressive!$C$25*(1-IF(ROUNDDOWN((P$35-$B49)/Aggressive!$D$25,0)&lt;1,0,IF(ROUNDDOWN((P$35-$B49)/Aggressive!$D$25,0)&lt;2,0.5,IF(ROUNDDOWN((P$35-$B49)/Aggressive!$D$25,0)&lt;3,0.75,IF(ROUNDDOWN((P$35-$B49)/Aggressive!$D$25,0)&lt;4,0.875,0.9375)))))+HLOOKUP($B49,$C$35:$Q$36,2,FALSE)*Aggressive!$C$26*(1-IF(ROUNDDOWN((P$35-$B49)/Aggressive!$D$26,0)&lt;1,0,IF(ROUNDDOWN((P$35-$B49)/Aggressive!$D$26,0)&lt;2,0.5,IF(ROUNDDOWN((P$35-$B49)/Aggressive!$D$26,0)&lt;3,0.75,IF(ROUNDDOWN((P$35-$B49)/Aggressive!$D$26,0)&lt;4,0.875,0.9375)))))+HLOOKUP($B49,$C$35:$Q$36,2,FALSE)*Aggressive!$C$27*(1-IF(ROUNDDOWN((P$35-$B49)/Aggressive!$D$27,0)&lt;1,0,IF(ROUNDDOWN((P$35-$B49)/Aggressive!$D$27,0)&lt;2,0.5,IF(ROUNDDOWN((P$35-$B49)/Aggressive!$D$27,0)&lt;3,0.75,IF(ROUNDDOWN((P$35-$B49)/Aggressive!$D$27,0)&lt;4,0.875,0.9375)))))+HLOOKUP($B49,$C$35:$Q$36,2,FALSE)*Aggressive!$C$28*(1-IF(ROUNDDOWN((P$35-$B49)/Aggressive!$D$28,0)&lt;1,0,IF(ROUNDDOWN((P$35-$B49)/Aggressive!$D$28,0)&lt;2,0.5,IF(ROUNDDOWN((P$35-$B49)/Aggressive!$D$28,0)&lt;3,0.75,IF(ROUNDDOWN((P$35-$B49)/Aggressive!$D$28,0)&lt;4,0.875,0.9375)))))</f>
        <v>7.8705460631588409</v>
      </c>
      <c r="Q49" s="135">
        <f>HLOOKUP($B49,$C$35:$Q$36,2,FALSE)*Aggressive!$C$23*(1-IF(ROUNDDOWN((Q$35-$B49)/Aggressive!$D$23,0)&lt;1,0,IF(ROUNDDOWN((Q$35-$B49)/Aggressive!$D$23,0)&lt;2,0.5,IF(ROUNDDOWN((Q$35-$B49)/Aggressive!$D$23,0)&lt;3,0.75,IF(ROUNDDOWN((Q$35-$B49)/Aggressive!$D$23,0)&lt;4,0.875,0.9375)))))+HLOOKUP($B49,$C$35:$Q$36,2,FALSE)*Aggressive!$C$24*(1-IF(ROUNDDOWN((Q$35-$B49)/Aggressive!$D$24,0)&lt;1,0,IF(ROUNDDOWN((Q$35-$B49)/Aggressive!$D$24,0)&lt;2,0.5,IF(ROUNDDOWN((Q$35-$B49)/Aggressive!$D$24,0)&lt;3,0.75,IF(ROUNDDOWN((Q$35-$B49)/Aggressive!$D$24,0)&lt;4,0.875,0.9375)))))+HLOOKUP($B49,$C$35:$Q$36,2,FALSE)*Aggressive!$C$25*(1-IF(ROUNDDOWN((Q$35-$B49)/Aggressive!$D$25,0)&lt;1,0,IF(ROUNDDOWN((Q$35-$B49)/Aggressive!$D$25,0)&lt;2,0.5,IF(ROUNDDOWN((Q$35-$B49)/Aggressive!$D$25,0)&lt;3,0.75,IF(ROUNDDOWN((Q$35-$B49)/Aggressive!$D$25,0)&lt;4,0.875,0.9375)))))+HLOOKUP($B49,$C$35:$Q$36,2,FALSE)*Aggressive!$C$26*(1-IF(ROUNDDOWN((Q$35-$B49)/Aggressive!$D$26,0)&lt;1,0,IF(ROUNDDOWN((Q$35-$B49)/Aggressive!$D$26,0)&lt;2,0.5,IF(ROUNDDOWN((Q$35-$B49)/Aggressive!$D$26,0)&lt;3,0.75,IF(ROUNDDOWN((Q$35-$B49)/Aggressive!$D$26,0)&lt;4,0.875,0.9375)))))+HLOOKUP($B49,$C$35:$Q$36,2,FALSE)*Aggressive!$C$27*(1-IF(ROUNDDOWN((Q$35-$B49)/Aggressive!$D$27,0)&lt;1,0,IF(ROUNDDOWN((Q$35-$B49)/Aggressive!$D$27,0)&lt;2,0.5,IF(ROUNDDOWN((Q$35-$B49)/Aggressive!$D$27,0)&lt;3,0.75,IF(ROUNDDOWN((Q$35-$B49)/Aggressive!$D$27,0)&lt;4,0.875,0.9375)))))+HLOOKUP($B49,$C$35:$Q$36,2,FALSE)*Aggressive!$C$28*(1-IF(ROUNDDOWN((Q$35-$B49)/Aggressive!$D$28,0)&lt;1,0,IF(ROUNDDOWN((Q$35-$B49)/Aggressive!$D$28,0)&lt;2,0.5,IF(ROUNDDOWN((Q$35-$B49)/Aggressive!$D$28,0)&lt;3,0.75,IF(ROUNDDOWN((Q$35-$B49)/Aggressive!$D$28,0)&lt;4,0.875,0.9375)))))</f>
        <v>7.8705460631588409</v>
      </c>
      <c r="R49" s="50"/>
    </row>
    <row r="50" spans="2:18" x14ac:dyDescent="0.3">
      <c r="B50" s="237">
        <f t="shared" si="9"/>
        <v>2026</v>
      </c>
      <c r="C50" s="135"/>
      <c r="D50" s="135"/>
      <c r="E50" s="135"/>
      <c r="F50" s="135"/>
      <c r="G50" s="135"/>
      <c r="H50" s="135"/>
      <c r="I50" s="135"/>
      <c r="J50" s="135"/>
      <c r="K50" s="135"/>
      <c r="L50" s="135"/>
      <c r="M50" s="135"/>
      <c r="N50" s="135">
        <f>HLOOKUP($B50,$C$35:$Q$36,2,FALSE)*Aggressive!$C$23*(1-IF(ROUNDDOWN((N$35-$B50)/Aggressive!$D$23,0)&lt;1,0,IF(ROUNDDOWN((N$35-$B50)/Aggressive!$D$23,0)&lt;2,0.5,IF(ROUNDDOWN((N$35-$B50)/Aggressive!$D$23,0)&lt;3,0.75,IF(ROUNDDOWN((N$35-$B50)/Aggressive!$D$23,0)&lt;4,0.875,0.9375)))))+HLOOKUP($B50,$C$35:$Q$36,2,FALSE)*Aggressive!$C$24*(1-IF(ROUNDDOWN((N$35-$B50)/Aggressive!$D$24,0)&lt;1,0,IF(ROUNDDOWN((N$35-$B50)/Aggressive!$D$24,0)&lt;2,0.5,IF(ROUNDDOWN((N$35-$B50)/Aggressive!$D$24,0)&lt;3,0.75,IF(ROUNDDOWN((N$35-$B50)/Aggressive!$D$24,0)&lt;4,0.875,0.9375)))))+HLOOKUP($B50,$C$35:$Q$36,2,FALSE)*Aggressive!$C$25*(1-IF(ROUNDDOWN((N$35-$B50)/Aggressive!$D$25,0)&lt;1,0,IF(ROUNDDOWN((N$35-$B50)/Aggressive!$D$25,0)&lt;2,0.5,IF(ROUNDDOWN((N$35-$B50)/Aggressive!$D$25,0)&lt;3,0.75,IF(ROUNDDOWN((N$35-$B50)/Aggressive!$D$25,0)&lt;4,0.875,0.9375)))))+HLOOKUP($B50,$C$35:$Q$36,2,FALSE)*Aggressive!$C$26*(1-IF(ROUNDDOWN((N$35-$B50)/Aggressive!$D$26,0)&lt;1,0,IF(ROUNDDOWN((N$35-$B50)/Aggressive!$D$26,0)&lt;2,0.5,IF(ROUNDDOWN((N$35-$B50)/Aggressive!$D$26,0)&lt;3,0.75,IF(ROUNDDOWN((N$35-$B50)/Aggressive!$D$26,0)&lt;4,0.875,0.9375)))))+HLOOKUP($B50,$C$35:$Q$36,2,FALSE)*Aggressive!$C$27*(1-IF(ROUNDDOWN((N$35-$B50)/Aggressive!$D$27,0)&lt;1,0,IF(ROUNDDOWN((N$35-$B50)/Aggressive!$D$27,0)&lt;2,0.5,IF(ROUNDDOWN((N$35-$B50)/Aggressive!$D$27,0)&lt;3,0.75,IF(ROUNDDOWN((N$35-$B50)/Aggressive!$D$27,0)&lt;4,0.875,0.9375)))))+HLOOKUP($B50,$C$35:$Q$36,2,FALSE)*Aggressive!$C$28*(1-IF(ROUNDDOWN((N$35-$B50)/Aggressive!$D$28,0)&lt;1,0,IF(ROUNDDOWN((N$35-$B50)/Aggressive!$D$28,0)&lt;2,0.5,IF(ROUNDDOWN((N$35-$B50)/Aggressive!$D$28,0)&lt;3,0.75,IF(ROUNDDOWN((N$35-$B50)/Aggressive!$D$28,0)&lt;4,0.875,0.9375)))))</f>
        <v>8.2241860639068349</v>
      </c>
      <c r="O50" s="135">
        <f>HLOOKUP($B50,$C$35:$Q$36,2,FALSE)*Aggressive!$C$23*(1-IF(ROUNDDOWN((O$35-$B50)/Aggressive!$D$23,0)&lt;1,0,IF(ROUNDDOWN((O$35-$B50)/Aggressive!$D$23,0)&lt;2,0.5,IF(ROUNDDOWN((O$35-$B50)/Aggressive!$D$23,0)&lt;3,0.75,IF(ROUNDDOWN((O$35-$B50)/Aggressive!$D$23,0)&lt;4,0.875,0.9375)))))+HLOOKUP($B50,$C$35:$Q$36,2,FALSE)*Aggressive!$C$24*(1-IF(ROUNDDOWN((O$35-$B50)/Aggressive!$D$24,0)&lt;1,0,IF(ROUNDDOWN((O$35-$B50)/Aggressive!$D$24,0)&lt;2,0.5,IF(ROUNDDOWN((O$35-$B50)/Aggressive!$D$24,0)&lt;3,0.75,IF(ROUNDDOWN((O$35-$B50)/Aggressive!$D$24,0)&lt;4,0.875,0.9375)))))+HLOOKUP($B50,$C$35:$Q$36,2,FALSE)*Aggressive!$C$25*(1-IF(ROUNDDOWN((O$35-$B50)/Aggressive!$D$25,0)&lt;1,0,IF(ROUNDDOWN((O$35-$B50)/Aggressive!$D$25,0)&lt;2,0.5,IF(ROUNDDOWN((O$35-$B50)/Aggressive!$D$25,0)&lt;3,0.75,IF(ROUNDDOWN((O$35-$B50)/Aggressive!$D$25,0)&lt;4,0.875,0.9375)))))+HLOOKUP($B50,$C$35:$Q$36,2,FALSE)*Aggressive!$C$26*(1-IF(ROUNDDOWN((O$35-$B50)/Aggressive!$D$26,0)&lt;1,0,IF(ROUNDDOWN((O$35-$B50)/Aggressive!$D$26,0)&lt;2,0.5,IF(ROUNDDOWN((O$35-$B50)/Aggressive!$D$26,0)&lt;3,0.75,IF(ROUNDDOWN((O$35-$B50)/Aggressive!$D$26,0)&lt;4,0.875,0.9375)))))+HLOOKUP($B50,$C$35:$Q$36,2,FALSE)*Aggressive!$C$27*(1-IF(ROUNDDOWN((O$35-$B50)/Aggressive!$D$27,0)&lt;1,0,IF(ROUNDDOWN((O$35-$B50)/Aggressive!$D$27,0)&lt;2,0.5,IF(ROUNDDOWN((O$35-$B50)/Aggressive!$D$27,0)&lt;3,0.75,IF(ROUNDDOWN((O$35-$B50)/Aggressive!$D$27,0)&lt;4,0.875,0.9375)))))+HLOOKUP($B50,$C$35:$Q$36,2,FALSE)*Aggressive!$C$28*(1-IF(ROUNDDOWN((O$35-$B50)/Aggressive!$D$28,0)&lt;1,0,IF(ROUNDDOWN((O$35-$B50)/Aggressive!$D$28,0)&lt;2,0.5,IF(ROUNDDOWN((O$35-$B50)/Aggressive!$D$28,0)&lt;3,0.75,IF(ROUNDDOWN((O$35-$B50)/Aggressive!$D$28,0)&lt;4,0.875,0.9375)))))</f>
        <v>8.2241860639068349</v>
      </c>
      <c r="P50" s="135">
        <f>HLOOKUP($B50,$C$35:$Q$36,2,FALSE)*Aggressive!$C$23*(1-IF(ROUNDDOWN((P$35-$B50)/Aggressive!$D$23,0)&lt;1,0,IF(ROUNDDOWN((P$35-$B50)/Aggressive!$D$23,0)&lt;2,0.5,IF(ROUNDDOWN((P$35-$B50)/Aggressive!$D$23,0)&lt;3,0.75,IF(ROUNDDOWN((P$35-$B50)/Aggressive!$D$23,0)&lt;4,0.875,0.9375)))))+HLOOKUP($B50,$C$35:$Q$36,2,FALSE)*Aggressive!$C$24*(1-IF(ROUNDDOWN((P$35-$B50)/Aggressive!$D$24,0)&lt;1,0,IF(ROUNDDOWN((P$35-$B50)/Aggressive!$D$24,0)&lt;2,0.5,IF(ROUNDDOWN((P$35-$B50)/Aggressive!$D$24,0)&lt;3,0.75,IF(ROUNDDOWN((P$35-$B50)/Aggressive!$D$24,0)&lt;4,0.875,0.9375)))))+HLOOKUP($B50,$C$35:$Q$36,2,FALSE)*Aggressive!$C$25*(1-IF(ROUNDDOWN((P$35-$B50)/Aggressive!$D$25,0)&lt;1,0,IF(ROUNDDOWN((P$35-$B50)/Aggressive!$D$25,0)&lt;2,0.5,IF(ROUNDDOWN((P$35-$B50)/Aggressive!$D$25,0)&lt;3,0.75,IF(ROUNDDOWN((P$35-$B50)/Aggressive!$D$25,0)&lt;4,0.875,0.9375)))))+HLOOKUP($B50,$C$35:$Q$36,2,FALSE)*Aggressive!$C$26*(1-IF(ROUNDDOWN((P$35-$B50)/Aggressive!$D$26,0)&lt;1,0,IF(ROUNDDOWN((P$35-$B50)/Aggressive!$D$26,0)&lt;2,0.5,IF(ROUNDDOWN((P$35-$B50)/Aggressive!$D$26,0)&lt;3,0.75,IF(ROUNDDOWN((P$35-$B50)/Aggressive!$D$26,0)&lt;4,0.875,0.9375)))))+HLOOKUP($B50,$C$35:$Q$36,2,FALSE)*Aggressive!$C$27*(1-IF(ROUNDDOWN((P$35-$B50)/Aggressive!$D$27,0)&lt;1,0,IF(ROUNDDOWN((P$35-$B50)/Aggressive!$D$27,0)&lt;2,0.5,IF(ROUNDDOWN((P$35-$B50)/Aggressive!$D$27,0)&lt;3,0.75,IF(ROUNDDOWN((P$35-$B50)/Aggressive!$D$27,0)&lt;4,0.875,0.9375)))))+HLOOKUP($B50,$C$35:$Q$36,2,FALSE)*Aggressive!$C$28*(1-IF(ROUNDDOWN((P$35-$B50)/Aggressive!$D$28,0)&lt;1,0,IF(ROUNDDOWN((P$35-$B50)/Aggressive!$D$28,0)&lt;2,0.5,IF(ROUNDDOWN((P$35-$B50)/Aggressive!$D$28,0)&lt;3,0.75,IF(ROUNDDOWN((P$35-$B50)/Aggressive!$D$28,0)&lt;4,0.875,0.9375)))))</f>
        <v>8.2241860639068349</v>
      </c>
      <c r="Q50" s="135">
        <f>HLOOKUP($B50,$C$35:$Q$36,2,FALSE)*Aggressive!$C$23*(1-IF(ROUNDDOWN((Q$35-$B50)/Aggressive!$D$23,0)&lt;1,0,IF(ROUNDDOWN((Q$35-$B50)/Aggressive!$D$23,0)&lt;2,0.5,IF(ROUNDDOWN((Q$35-$B50)/Aggressive!$D$23,0)&lt;3,0.75,IF(ROUNDDOWN((Q$35-$B50)/Aggressive!$D$23,0)&lt;4,0.875,0.9375)))))+HLOOKUP($B50,$C$35:$Q$36,2,FALSE)*Aggressive!$C$24*(1-IF(ROUNDDOWN((Q$35-$B50)/Aggressive!$D$24,0)&lt;1,0,IF(ROUNDDOWN((Q$35-$B50)/Aggressive!$D$24,0)&lt;2,0.5,IF(ROUNDDOWN((Q$35-$B50)/Aggressive!$D$24,0)&lt;3,0.75,IF(ROUNDDOWN((Q$35-$B50)/Aggressive!$D$24,0)&lt;4,0.875,0.9375)))))+HLOOKUP($B50,$C$35:$Q$36,2,FALSE)*Aggressive!$C$25*(1-IF(ROUNDDOWN((Q$35-$B50)/Aggressive!$D$25,0)&lt;1,0,IF(ROUNDDOWN((Q$35-$B50)/Aggressive!$D$25,0)&lt;2,0.5,IF(ROUNDDOWN((Q$35-$B50)/Aggressive!$D$25,0)&lt;3,0.75,IF(ROUNDDOWN((Q$35-$B50)/Aggressive!$D$25,0)&lt;4,0.875,0.9375)))))+HLOOKUP($B50,$C$35:$Q$36,2,FALSE)*Aggressive!$C$26*(1-IF(ROUNDDOWN((Q$35-$B50)/Aggressive!$D$26,0)&lt;1,0,IF(ROUNDDOWN((Q$35-$B50)/Aggressive!$D$26,0)&lt;2,0.5,IF(ROUNDDOWN((Q$35-$B50)/Aggressive!$D$26,0)&lt;3,0.75,IF(ROUNDDOWN((Q$35-$B50)/Aggressive!$D$26,0)&lt;4,0.875,0.9375)))))+HLOOKUP($B50,$C$35:$Q$36,2,FALSE)*Aggressive!$C$27*(1-IF(ROUNDDOWN((Q$35-$B50)/Aggressive!$D$27,0)&lt;1,0,IF(ROUNDDOWN((Q$35-$B50)/Aggressive!$D$27,0)&lt;2,0.5,IF(ROUNDDOWN((Q$35-$B50)/Aggressive!$D$27,0)&lt;3,0.75,IF(ROUNDDOWN((Q$35-$B50)/Aggressive!$D$27,0)&lt;4,0.875,0.9375)))))+HLOOKUP($B50,$C$35:$Q$36,2,FALSE)*Aggressive!$C$28*(1-IF(ROUNDDOWN((Q$35-$B50)/Aggressive!$D$28,0)&lt;1,0,IF(ROUNDDOWN((Q$35-$B50)/Aggressive!$D$28,0)&lt;2,0.5,IF(ROUNDDOWN((Q$35-$B50)/Aggressive!$D$28,0)&lt;3,0.75,IF(ROUNDDOWN((Q$35-$B50)/Aggressive!$D$28,0)&lt;4,0.875,0.9375)))))</f>
        <v>7.8705460631588409</v>
      </c>
      <c r="R50" s="50"/>
    </row>
    <row r="51" spans="2:18" x14ac:dyDescent="0.3">
      <c r="B51" s="237">
        <f t="shared" si="9"/>
        <v>2027</v>
      </c>
      <c r="C51" s="135"/>
      <c r="D51" s="135"/>
      <c r="E51" s="135"/>
      <c r="F51" s="135"/>
      <c r="G51" s="135"/>
      <c r="H51" s="135"/>
      <c r="I51" s="135"/>
      <c r="J51" s="135"/>
      <c r="K51" s="135"/>
      <c r="L51" s="135"/>
      <c r="M51" s="135"/>
      <c r="N51" s="135"/>
      <c r="O51" s="135">
        <f>HLOOKUP($B51,$C$35:$Q$36,2,FALSE)*Aggressive!$C$23*(1-IF(ROUNDDOWN((O$35-$B51)/Aggressive!$D$23,0)&lt;1,0,IF(ROUNDDOWN((O$35-$B51)/Aggressive!$D$23,0)&lt;2,0.5,IF(ROUNDDOWN((O$35-$B51)/Aggressive!$D$23,0)&lt;3,0.75,IF(ROUNDDOWN((O$35-$B51)/Aggressive!$D$23,0)&lt;4,0.875,0.9375)))))+HLOOKUP($B51,$C$35:$Q$36,2,FALSE)*Aggressive!$C$24*(1-IF(ROUNDDOWN((O$35-$B51)/Aggressive!$D$24,0)&lt;1,0,IF(ROUNDDOWN((O$35-$B51)/Aggressive!$D$24,0)&lt;2,0.5,IF(ROUNDDOWN((O$35-$B51)/Aggressive!$D$24,0)&lt;3,0.75,IF(ROUNDDOWN((O$35-$B51)/Aggressive!$D$24,0)&lt;4,0.875,0.9375)))))+HLOOKUP($B51,$C$35:$Q$36,2,FALSE)*Aggressive!$C$25*(1-IF(ROUNDDOWN((O$35-$B51)/Aggressive!$D$25,0)&lt;1,0,IF(ROUNDDOWN((O$35-$B51)/Aggressive!$D$25,0)&lt;2,0.5,IF(ROUNDDOWN((O$35-$B51)/Aggressive!$D$25,0)&lt;3,0.75,IF(ROUNDDOWN((O$35-$B51)/Aggressive!$D$25,0)&lt;4,0.875,0.9375)))))+HLOOKUP($B51,$C$35:$Q$36,2,FALSE)*Aggressive!$C$26*(1-IF(ROUNDDOWN((O$35-$B51)/Aggressive!$D$26,0)&lt;1,0,IF(ROUNDDOWN((O$35-$B51)/Aggressive!$D$26,0)&lt;2,0.5,IF(ROUNDDOWN((O$35-$B51)/Aggressive!$D$26,0)&lt;3,0.75,IF(ROUNDDOWN((O$35-$B51)/Aggressive!$D$26,0)&lt;4,0.875,0.9375)))))+HLOOKUP($B51,$C$35:$Q$36,2,FALSE)*Aggressive!$C$27*(1-IF(ROUNDDOWN((O$35-$B51)/Aggressive!$D$27,0)&lt;1,0,IF(ROUNDDOWN((O$35-$B51)/Aggressive!$D$27,0)&lt;2,0.5,IF(ROUNDDOWN((O$35-$B51)/Aggressive!$D$27,0)&lt;3,0.75,IF(ROUNDDOWN((O$35-$B51)/Aggressive!$D$27,0)&lt;4,0.875,0.9375)))))+HLOOKUP($B51,$C$35:$Q$36,2,FALSE)*Aggressive!$C$28*(1-IF(ROUNDDOWN((O$35-$B51)/Aggressive!$D$28,0)&lt;1,0,IF(ROUNDDOWN((O$35-$B51)/Aggressive!$D$28,0)&lt;2,0.5,IF(ROUNDDOWN((O$35-$B51)/Aggressive!$D$28,0)&lt;3,0.75,IF(ROUNDDOWN((O$35-$B51)/Aggressive!$D$28,0)&lt;4,0.875,0.9375)))))</f>
        <v>12.011060587681564</v>
      </c>
      <c r="P51" s="135">
        <f>HLOOKUP($B51,$C$35:$Q$36,2,FALSE)*Aggressive!$C$23*(1-IF(ROUNDDOWN((P$35-$B51)/Aggressive!$D$23,0)&lt;1,0,IF(ROUNDDOWN((P$35-$B51)/Aggressive!$D$23,0)&lt;2,0.5,IF(ROUNDDOWN((P$35-$B51)/Aggressive!$D$23,0)&lt;3,0.75,IF(ROUNDDOWN((P$35-$B51)/Aggressive!$D$23,0)&lt;4,0.875,0.9375)))))+HLOOKUP($B51,$C$35:$Q$36,2,FALSE)*Aggressive!$C$24*(1-IF(ROUNDDOWN((P$35-$B51)/Aggressive!$D$24,0)&lt;1,0,IF(ROUNDDOWN((P$35-$B51)/Aggressive!$D$24,0)&lt;2,0.5,IF(ROUNDDOWN((P$35-$B51)/Aggressive!$D$24,0)&lt;3,0.75,IF(ROUNDDOWN((P$35-$B51)/Aggressive!$D$24,0)&lt;4,0.875,0.9375)))))+HLOOKUP($B51,$C$35:$Q$36,2,FALSE)*Aggressive!$C$25*(1-IF(ROUNDDOWN((P$35-$B51)/Aggressive!$D$25,0)&lt;1,0,IF(ROUNDDOWN((P$35-$B51)/Aggressive!$D$25,0)&lt;2,0.5,IF(ROUNDDOWN((P$35-$B51)/Aggressive!$D$25,0)&lt;3,0.75,IF(ROUNDDOWN((P$35-$B51)/Aggressive!$D$25,0)&lt;4,0.875,0.9375)))))+HLOOKUP($B51,$C$35:$Q$36,2,FALSE)*Aggressive!$C$26*(1-IF(ROUNDDOWN((P$35-$B51)/Aggressive!$D$26,0)&lt;1,0,IF(ROUNDDOWN((P$35-$B51)/Aggressive!$D$26,0)&lt;2,0.5,IF(ROUNDDOWN((P$35-$B51)/Aggressive!$D$26,0)&lt;3,0.75,IF(ROUNDDOWN((P$35-$B51)/Aggressive!$D$26,0)&lt;4,0.875,0.9375)))))+HLOOKUP($B51,$C$35:$Q$36,2,FALSE)*Aggressive!$C$27*(1-IF(ROUNDDOWN((P$35-$B51)/Aggressive!$D$27,0)&lt;1,0,IF(ROUNDDOWN((P$35-$B51)/Aggressive!$D$27,0)&lt;2,0.5,IF(ROUNDDOWN((P$35-$B51)/Aggressive!$D$27,0)&lt;3,0.75,IF(ROUNDDOWN((P$35-$B51)/Aggressive!$D$27,0)&lt;4,0.875,0.9375)))))+HLOOKUP($B51,$C$35:$Q$36,2,FALSE)*Aggressive!$C$28*(1-IF(ROUNDDOWN((P$35-$B51)/Aggressive!$D$28,0)&lt;1,0,IF(ROUNDDOWN((P$35-$B51)/Aggressive!$D$28,0)&lt;2,0.5,IF(ROUNDDOWN((P$35-$B51)/Aggressive!$D$28,0)&lt;3,0.75,IF(ROUNDDOWN((P$35-$B51)/Aggressive!$D$28,0)&lt;4,0.875,0.9375)))))</f>
        <v>12.011060587681564</v>
      </c>
      <c r="Q51" s="135">
        <f>HLOOKUP($B51,$C$35:$Q$36,2,FALSE)*Aggressive!$C$23*(1-IF(ROUNDDOWN((Q$35-$B51)/Aggressive!$D$23,0)&lt;1,0,IF(ROUNDDOWN((Q$35-$B51)/Aggressive!$D$23,0)&lt;2,0.5,IF(ROUNDDOWN((Q$35-$B51)/Aggressive!$D$23,0)&lt;3,0.75,IF(ROUNDDOWN((Q$35-$B51)/Aggressive!$D$23,0)&lt;4,0.875,0.9375)))))+HLOOKUP($B51,$C$35:$Q$36,2,FALSE)*Aggressive!$C$24*(1-IF(ROUNDDOWN((Q$35-$B51)/Aggressive!$D$24,0)&lt;1,0,IF(ROUNDDOWN((Q$35-$B51)/Aggressive!$D$24,0)&lt;2,0.5,IF(ROUNDDOWN((Q$35-$B51)/Aggressive!$D$24,0)&lt;3,0.75,IF(ROUNDDOWN((Q$35-$B51)/Aggressive!$D$24,0)&lt;4,0.875,0.9375)))))+HLOOKUP($B51,$C$35:$Q$36,2,FALSE)*Aggressive!$C$25*(1-IF(ROUNDDOWN((Q$35-$B51)/Aggressive!$D$25,0)&lt;1,0,IF(ROUNDDOWN((Q$35-$B51)/Aggressive!$D$25,0)&lt;2,0.5,IF(ROUNDDOWN((Q$35-$B51)/Aggressive!$D$25,0)&lt;3,0.75,IF(ROUNDDOWN((Q$35-$B51)/Aggressive!$D$25,0)&lt;4,0.875,0.9375)))))+HLOOKUP($B51,$C$35:$Q$36,2,FALSE)*Aggressive!$C$26*(1-IF(ROUNDDOWN((Q$35-$B51)/Aggressive!$D$26,0)&lt;1,0,IF(ROUNDDOWN((Q$35-$B51)/Aggressive!$D$26,0)&lt;2,0.5,IF(ROUNDDOWN((Q$35-$B51)/Aggressive!$D$26,0)&lt;3,0.75,IF(ROUNDDOWN((Q$35-$B51)/Aggressive!$D$26,0)&lt;4,0.875,0.9375)))))+HLOOKUP($B51,$C$35:$Q$36,2,FALSE)*Aggressive!$C$27*(1-IF(ROUNDDOWN((Q$35-$B51)/Aggressive!$D$27,0)&lt;1,0,IF(ROUNDDOWN((Q$35-$B51)/Aggressive!$D$27,0)&lt;2,0.5,IF(ROUNDDOWN((Q$35-$B51)/Aggressive!$D$27,0)&lt;3,0.75,IF(ROUNDDOWN((Q$35-$B51)/Aggressive!$D$27,0)&lt;4,0.875,0.9375)))))+HLOOKUP($B51,$C$35:$Q$36,2,FALSE)*Aggressive!$C$28*(1-IF(ROUNDDOWN((Q$35-$B51)/Aggressive!$D$28,0)&lt;1,0,IF(ROUNDDOWN((Q$35-$B51)/Aggressive!$D$28,0)&lt;2,0.5,IF(ROUNDDOWN((Q$35-$B51)/Aggressive!$D$28,0)&lt;3,0.75,IF(ROUNDDOWN((Q$35-$B51)/Aggressive!$D$28,0)&lt;4,0.875,0.9375)))))</f>
        <v>12.011060587681564</v>
      </c>
      <c r="R51" s="50"/>
    </row>
    <row r="52" spans="2:18" x14ac:dyDescent="0.3">
      <c r="B52" s="237">
        <f t="shared" si="9"/>
        <v>2028</v>
      </c>
      <c r="C52" s="135"/>
      <c r="D52" s="135"/>
      <c r="E52" s="135"/>
      <c r="F52" s="135"/>
      <c r="G52" s="135"/>
      <c r="H52" s="135"/>
      <c r="I52" s="135"/>
      <c r="J52" s="135"/>
      <c r="K52" s="135"/>
      <c r="L52" s="135"/>
      <c r="M52" s="135"/>
      <c r="N52" s="135"/>
      <c r="O52" s="135"/>
      <c r="P52" s="135">
        <f>HLOOKUP($B52,$C$35:$Q$36,2,FALSE)*Aggressive!$C$23*(1-IF(ROUNDDOWN((P$35-$B52)/Aggressive!$D$23,0)&lt;1,0,IF(ROUNDDOWN((P$35-$B52)/Aggressive!$D$23,0)&lt;2,0.5,IF(ROUNDDOWN((P$35-$B52)/Aggressive!$D$23,0)&lt;3,0.75,IF(ROUNDDOWN((P$35-$B52)/Aggressive!$D$23,0)&lt;4,0.875,0.9375)))))+HLOOKUP($B52,$C$35:$Q$36,2,FALSE)*Aggressive!$C$24*(1-IF(ROUNDDOWN((P$35-$B52)/Aggressive!$D$24,0)&lt;1,0,IF(ROUNDDOWN((P$35-$B52)/Aggressive!$D$24,0)&lt;2,0.5,IF(ROUNDDOWN((P$35-$B52)/Aggressive!$D$24,0)&lt;3,0.75,IF(ROUNDDOWN((P$35-$B52)/Aggressive!$D$24,0)&lt;4,0.875,0.9375)))))+HLOOKUP($B52,$C$35:$Q$36,2,FALSE)*Aggressive!$C$25*(1-IF(ROUNDDOWN((P$35-$B52)/Aggressive!$D$25,0)&lt;1,0,IF(ROUNDDOWN((P$35-$B52)/Aggressive!$D$25,0)&lt;2,0.5,IF(ROUNDDOWN((P$35-$B52)/Aggressive!$D$25,0)&lt;3,0.75,IF(ROUNDDOWN((P$35-$B52)/Aggressive!$D$25,0)&lt;4,0.875,0.9375)))))+HLOOKUP($B52,$C$35:$Q$36,2,FALSE)*Aggressive!$C$26*(1-IF(ROUNDDOWN((P$35-$B52)/Aggressive!$D$26,0)&lt;1,0,IF(ROUNDDOWN((P$35-$B52)/Aggressive!$D$26,0)&lt;2,0.5,IF(ROUNDDOWN((P$35-$B52)/Aggressive!$D$26,0)&lt;3,0.75,IF(ROUNDDOWN((P$35-$B52)/Aggressive!$D$26,0)&lt;4,0.875,0.9375)))))+HLOOKUP($B52,$C$35:$Q$36,2,FALSE)*Aggressive!$C$27*(1-IF(ROUNDDOWN((P$35-$B52)/Aggressive!$D$27,0)&lt;1,0,IF(ROUNDDOWN((P$35-$B52)/Aggressive!$D$27,0)&lt;2,0.5,IF(ROUNDDOWN((P$35-$B52)/Aggressive!$D$27,0)&lt;3,0.75,IF(ROUNDDOWN((P$35-$B52)/Aggressive!$D$27,0)&lt;4,0.875,0.9375)))))+HLOOKUP($B52,$C$35:$Q$36,2,FALSE)*Aggressive!$C$28*(1-IF(ROUNDDOWN((P$35-$B52)/Aggressive!$D$28,0)&lt;1,0,IF(ROUNDDOWN((P$35-$B52)/Aggressive!$D$28,0)&lt;2,0.5,IF(ROUNDDOWN((P$35-$B52)/Aggressive!$D$28,0)&lt;3,0.75,IF(ROUNDDOWN((P$35-$B52)/Aggressive!$D$28,0)&lt;4,0.875,0.9375)))))</f>
        <v>12.011060587681564</v>
      </c>
      <c r="Q52" s="135">
        <f>HLOOKUP($B52,$C$35:$Q$36,2,FALSE)*Aggressive!$C$23*(1-IF(ROUNDDOWN((Q$35-$B52)/Aggressive!$D$23,0)&lt;1,0,IF(ROUNDDOWN((Q$35-$B52)/Aggressive!$D$23,0)&lt;2,0.5,IF(ROUNDDOWN((Q$35-$B52)/Aggressive!$D$23,0)&lt;3,0.75,IF(ROUNDDOWN((Q$35-$B52)/Aggressive!$D$23,0)&lt;4,0.875,0.9375)))))+HLOOKUP($B52,$C$35:$Q$36,2,FALSE)*Aggressive!$C$24*(1-IF(ROUNDDOWN((Q$35-$B52)/Aggressive!$D$24,0)&lt;1,0,IF(ROUNDDOWN((Q$35-$B52)/Aggressive!$D$24,0)&lt;2,0.5,IF(ROUNDDOWN((Q$35-$B52)/Aggressive!$D$24,0)&lt;3,0.75,IF(ROUNDDOWN((Q$35-$B52)/Aggressive!$D$24,0)&lt;4,0.875,0.9375)))))+HLOOKUP($B52,$C$35:$Q$36,2,FALSE)*Aggressive!$C$25*(1-IF(ROUNDDOWN((Q$35-$B52)/Aggressive!$D$25,0)&lt;1,0,IF(ROUNDDOWN((Q$35-$B52)/Aggressive!$D$25,0)&lt;2,0.5,IF(ROUNDDOWN((Q$35-$B52)/Aggressive!$D$25,0)&lt;3,0.75,IF(ROUNDDOWN((Q$35-$B52)/Aggressive!$D$25,0)&lt;4,0.875,0.9375)))))+HLOOKUP($B52,$C$35:$Q$36,2,FALSE)*Aggressive!$C$26*(1-IF(ROUNDDOWN((Q$35-$B52)/Aggressive!$D$26,0)&lt;1,0,IF(ROUNDDOWN((Q$35-$B52)/Aggressive!$D$26,0)&lt;2,0.5,IF(ROUNDDOWN((Q$35-$B52)/Aggressive!$D$26,0)&lt;3,0.75,IF(ROUNDDOWN((Q$35-$B52)/Aggressive!$D$26,0)&lt;4,0.875,0.9375)))))+HLOOKUP($B52,$C$35:$Q$36,2,FALSE)*Aggressive!$C$27*(1-IF(ROUNDDOWN((Q$35-$B52)/Aggressive!$D$27,0)&lt;1,0,IF(ROUNDDOWN((Q$35-$B52)/Aggressive!$D$27,0)&lt;2,0.5,IF(ROUNDDOWN((Q$35-$B52)/Aggressive!$D$27,0)&lt;3,0.75,IF(ROUNDDOWN((Q$35-$B52)/Aggressive!$D$27,0)&lt;4,0.875,0.9375)))))+HLOOKUP($B52,$C$35:$Q$36,2,FALSE)*Aggressive!$C$28*(1-IF(ROUNDDOWN((Q$35-$B52)/Aggressive!$D$28,0)&lt;1,0,IF(ROUNDDOWN((Q$35-$B52)/Aggressive!$D$28,0)&lt;2,0.5,IF(ROUNDDOWN((Q$35-$B52)/Aggressive!$D$28,0)&lt;3,0.75,IF(ROUNDDOWN((Q$35-$B52)/Aggressive!$D$28,0)&lt;4,0.875,0.9375)))))</f>
        <v>12.011060587681564</v>
      </c>
      <c r="R52" s="50"/>
    </row>
    <row r="53" spans="2:18" x14ac:dyDescent="0.3">
      <c r="B53" s="237">
        <f t="shared" si="9"/>
        <v>2029</v>
      </c>
      <c r="C53" s="135"/>
      <c r="D53" s="135"/>
      <c r="E53" s="135"/>
      <c r="F53" s="135"/>
      <c r="G53" s="135"/>
      <c r="H53" s="135"/>
      <c r="I53" s="135"/>
      <c r="J53" s="135"/>
      <c r="K53" s="135"/>
      <c r="L53" s="135"/>
      <c r="M53" s="135"/>
      <c r="N53" s="135"/>
      <c r="O53" s="135"/>
      <c r="P53" s="135"/>
      <c r="Q53" s="135">
        <f>HLOOKUP($B53,$C$35:$Q$36,2,FALSE)*Aggressive!$C$23*(1-IF(ROUNDDOWN((Q$35-$B53)/Aggressive!$D$23,0)&lt;1,0,IF(ROUNDDOWN((Q$35-$B53)/Aggressive!$D$23,0)&lt;2,0.5,IF(ROUNDDOWN((Q$35-$B53)/Aggressive!$D$23,0)&lt;3,0.75,IF(ROUNDDOWN((Q$35-$B53)/Aggressive!$D$23,0)&lt;4,0.875,0.9375)))))+HLOOKUP($B53,$C$35:$Q$36,2,FALSE)*Aggressive!$C$24*(1-IF(ROUNDDOWN((Q$35-$B53)/Aggressive!$D$24,0)&lt;1,0,IF(ROUNDDOWN((Q$35-$B53)/Aggressive!$D$24,0)&lt;2,0.5,IF(ROUNDDOWN((Q$35-$B53)/Aggressive!$D$24,0)&lt;3,0.75,IF(ROUNDDOWN((Q$35-$B53)/Aggressive!$D$24,0)&lt;4,0.875,0.9375)))))+HLOOKUP($B53,$C$35:$Q$36,2,FALSE)*Aggressive!$C$25*(1-IF(ROUNDDOWN((Q$35-$B53)/Aggressive!$D$25,0)&lt;1,0,IF(ROUNDDOWN((Q$35-$B53)/Aggressive!$D$25,0)&lt;2,0.5,IF(ROUNDDOWN((Q$35-$B53)/Aggressive!$D$25,0)&lt;3,0.75,IF(ROUNDDOWN((Q$35-$B53)/Aggressive!$D$25,0)&lt;4,0.875,0.9375)))))+HLOOKUP($B53,$C$35:$Q$36,2,FALSE)*Aggressive!$C$26*(1-IF(ROUNDDOWN((Q$35-$B53)/Aggressive!$D$26,0)&lt;1,0,IF(ROUNDDOWN((Q$35-$B53)/Aggressive!$D$26,0)&lt;2,0.5,IF(ROUNDDOWN((Q$35-$B53)/Aggressive!$D$26,0)&lt;3,0.75,IF(ROUNDDOWN((Q$35-$B53)/Aggressive!$D$26,0)&lt;4,0.875,0.9375)))))+HLOOKUP($B53,$C$35:$Q$36,2,FALSE)*Aggressive!$C$27*(1-IF(ROUNDDOWN((Q$35-$B53)/Aggressive!$D$27,0)&lt;1,0,IF(ROUNDDOWN((Q$35-$B53)/Aggressive!$D$27,0)&lt;2,0.5,IF(ROUNDDOWN((Q$35-$B53)/Aggressive!$D$27,0)&lt;3,0.75,IF(ROUNDDOWN((Q$35-$B53)/Aggressive!$D$27,0)&lt;4,0.875,0.9375)))))+HLOOKUP($B53,$C$35:$Q$36,2,FALSE)*Aggressive!$C$28*(1-IF(ROUNDDOWN((Q$35-$B53)/Aggressive!$D$28,0)&lt;1,0,IF(ROUNDDOWN((Q$35-$B53)/Aggressive!$D$28,0)&lt;2,0.5,IF(ROUNDDOWN((Q$35-$B53)/Aggressive!$D$28,0)&lt;3,0.75,IF(ROUNDDOWN((Q$35-$B53)/Aggressive!$D$28,0)&lt;4,0.875,0.9375)))))</f>
        <v>12.011060587681564</v>
      </c>
      <c r="R53" s="50"/>
    </row>
    <row r="54" spans="2:18" x14ac:dyDescent="0.3">
      <c r="B54" s="51"/>
      <c r="C54" s="241"/>
      <c r="D54" s="241"/>
      <c r="E54" s="241"/>
      <c r="F54" s="241"/>
      <c r="G54" s="241"/>
      <c r="H54" s="241"/>
      <c r="I54" s="241"/>
      <c r="J54" s="241"/>
      <c r="K54" s="241"/>
      <c r="L54" s="241"/>
      <c r="M54" s="241"/>
      <c r="N54" s="241"/>
      <c r="O54" s="241"/>
      <c r="P54" s="241"/>
      <c r="Q54" s="241"/>
      <c r="R54" s="50"/>
    </row>
    <row r="55" spans="2:18" x14ac:dyDescent="0.3">
      <c r="B55" s="242" t="s">
        <v>371</v>
      </c>
      <c r="C55" s="247">
        <f t="shared" ref="C55:Q55" si="10">SUM(C39:C53)</f>
        <v>0</v>
      </c>
      <c r="D55" s="247">
        <f t="shared" si="10"/>
        <v>0</v>
      </c>
      <c r="E55" s="247">
        <f t="shared" si="10"/>
        <v>0</v>
      </c>
      <c r="F55" s="247">
        <f t="shared" si="10"/>
        <v>0</v>
      </c>
      <c r="G55" s="247">
        <f t="shared" si="10"/>
        <v>0</v>
      </c>
      <c r="H55" s="247">
        <f t="shared" si="10"/>
        <v>0</v>
      </c>
      <c r="I55" s="247">
        <f t="shared" si="10"/>
        <v>4.4373115401321046</v>
      </c>
      <c r="J55" s="247">
        <f t="shared" si="10"/>
        <v>8.8746230802642092</v>
      </c>
      <c r="K55" s="247">
        <f t="shared" si="10"/>
        <v>13.311934620396315</v>
      </c>
      <c r="L55" s="247">
        <f t="shared" si="10"/>
        <v>21.345316288077466</v>
      </c>
      <c r="M55" s="247">
        <f t="shared" si="10"/>
        <v>29.378697955758621</v>
      </c>
      <c r="N55" s="247">
        <f t="shared" si="10"/>
        <v>37.41207962343978</v>
      </c>
      <c r="O55" s="247">
        <f t="shared" si="10"/>
        <v>48.974098012260505</v>
      </c>
      <c r="P55" s="247">
        <f t="shared" si="10"/>
        <v>60.53611640108123</v>
      </c>
      <c r="Q55" s="247">
        <f t="shared" si="10"/>
        <v>71.92064232829668</v>
      </c>
      <c r="R55" s="50"/>
    </row>
    <row r="56" spans="2:18" x14ac:dyDescent="0.3">
      <c r="B56" s="51"/>
      <c r="C56" s="3"/>
      <c r="D56" s="3"/>
      <c r="E56" s="3"/>
      <c r="F56" s="3"/>
      <c r="G56" s="3"/>
      <c r="H56" s="3"/>
      <c r="I56" s="3"/>
      <c r="J56" s="3"/>
      <c r="K56" s="3"/>
      <c r="L56" s="3"/>
      <c r="M56" s="3"/>
      <c r="N56" s="3"/>
      <c r="O56" s="3"/>
      <c r="P56" s="3"/>
      <c r="Q56" s="3"/>
      <c r="R56" s="50"/>
    </row>
    <row r="57" spans="2:18" x14ac:dyDescent="0.3">
      <c r="B57" s="51"/>
      <c r="C57" s="3"/>
      <c r="D57" s="3"/>
      <c r="E57" s="3"/>
      <c r="F57" s="3"/>
      <c r="G57" s="3"/>
      <c r="H57" s="3"/>
      <c r="I57" s="3"/>
      <c r="J57" s="3"/>
      <c r="K57" s="3"/>
      <c r="L57" s="3"/>
      <c r="M57" s="3"/>
      <c r="N57" s="3"/>
      <c r="O57" s="3"/>
      <c r="P57" s="3"/>
      <c r="Q57" s="3"/>
      <c r="R57" s="50"/>
    </row>
    <row r="58" spans="2:18" x14ac:dyDescent="0.3">
      <c r="B58" s="51" t="s">
        <v>365</v>
      </c>
      <c r="C58" s="3" t="s">
        <v>372</v>
      </c>
      <c r="D58" s="3"/>
      <c r="E58" s="3"/>
      <c r="F58" s="3"/>
      <c r="G58" s="3"/>
      <c r="H58" s="3"/>
      <c r="I58" s="3"/>
      <c r="J58" s="3"/>
      <c r="K58" s="3"/>
      <c r="L58" s="3"/>
      <c r="M58" s="3"/>
      <c r="N58" s="3"/>
      <c r="O58" s="3"/>
      <c r="P58" s="3"/>
      <c r="Q58" s="3"/>
      <c r="R58" s="50"/>
    </row>
    <row r="59" spans="2:18" x14ac:dyDescent="0.3">
      <c r="B59" s="51"/>
      <c r="C59" s="131">
        <f t="shared" ref="C59:Q59" si="11">C62</f>
        <v>2015</v>
      </c>
      <c r="D59" s="131">
        <f t="shared" si="11"/>
        <v>2016</v>
      </c>
      <c r="E59" s="131">
        <f t="shared" si="11"/>
        <v>2017</v>
      </c>
      <c r="F59" s="131">
        <f t="shared" si="11"/>
        <v>2018</v>
      </c>
      <c r="G59" s="131">
        <f t="shared" si="11"/>
        <v>2019</v>
      </c>
      <c r="H59" s="131">
        <f t="shared" si="11"/>
        <v>2020</v>
      </c>
      <c r="I59" s="131">
        <f t="shared" si="11"/>
        <v>2021</v>
      </c>
      <c r="J59" s="131">
        <f t="shared" si="11"/>
        <v>2022</v>
      </c>
      <c r="K59" s="131">
        <f t="shared" si="11"/>
        <v>2023</v>
      </c>
      <c r="L59" s="131">
        <f t="shared" si="11"/>
        <v>2024</v>
      </c>
      <c r="M59" s="131">
        <f t="shared" si="11"/>
        <v>2025</v>
      </c>
      <c r="N59" s="131">
        <f t="shared" si="11"/>
        <v>2026</v>
      </c>
      <c r="O59" s="131">
        <f t="shared" si="11"/>
        <v>2027</v>
      </c>
      <c r="P59" s="131">
        <f t="shared" si="11"/>
        <v>2028</v>
      </c>
      <c r="Q59" s="131">
        <f t="shared" si="11"/>
        <v>2029</v>
      </c>
      <c r="R59" s="50"/>
    </row>
    <row r="60" spans="2:18" x14ac:dyDescent="0.3">
      <c r="B60" s="51"/>
      <c r="C60" s="134">
        <f>C18</f>
        <v>0</v>
      </c>
      <c r="D60" s="134">
        <f t="shared" ref="D60:Q60" si="12">D18</f>
        <v>0</v>
      </c>
      <c r="E60" s="134">
        <f t="shared" si="12"/>
        <v>0</v>
      </c>
      <c r="F60" s="134">
        <f t="shared" si="12"/>
        <v>0</v>
      </c>
      <c r="G60" s="134">
        <f t="shared" si="12"/>
        <v>0</v>
      </c>
      <c r="H60" s="134">
        <f t="shared" si="12"/>
        <v>0</v>
      </c>
      <c r="I60" s="134">
        <f t="shared" si="12"/>
        <v>0.15433375474924438</v>
      </c>
      <c r="J60" s="134">
        <f t="shared" si="12"/>
        <v>0.15433375474924438</v>
      </c>
      <c r="K60" s="134">
        <f t="shared" si="12"/>
        <v>0.15433375474924438</v>
      </c>
      <c r="L60" s="134">
        <f t="shared" si="12"/>
        <v>0.29480492469068642</v>
      </c>
      <c r="M60" s="134">
        <f t="shared" si="12"/>
        <v>0.29480492469068642</v>
      </c>
      <c r="N60" s="134">
        <f t="shared" si="12"/>
        <v>0.29480492469068642</v>
      </c>
      <c r="O60" s="134">
        <f t="shared" si="12"/>
        <v>0.43527609463212846</v>
      </c>
      <c r="P60" s="134">
        <f t="shared" si="12"/>
        <v>0.43527609463212846</v>
      </c>
      <c r="Q60" s="134">
        <f t="shared" si="12"/>
        <v>0.43527609463212846</v>
      </c>
      <c r="R60" s="50"/>
    </row>
    <row r="61" spans="2:18" x14ac:dyDescent="0.3">
      <c r="B61" s="51"/>
      <c r="C61" s="3"/>
      <c r="D61" s="3"/>
      <c r="E61" s="3"/>
      <c r="F61" s="3"/>
      <c r="G61" s="3"/>
      <c r="H61" s="3"/>
      <c r="I61" s="3"/>
      <c r="J61" s="3"/>
      <c r="K61" s="3"/>
      <c r="L61" s="3"/>
      <c r="M61" s="3"/>
      <c r="N61" s="3"/>
      <c r="O61" s="3"/>
      <c r="P61" s="3"/>
      <c r="Q61" s="3"/>
      <c r="R61" s="50"/>
    </row>
    <row r="62" spans="2:18" x14ac:dyDescent="0.3">
      <c r="B62" s="237" t="s">
        <v>370</v>
      </c>
      <c r="C62" s="131">
        <v>2015</v>
      </c>
      <c r="D62" s="131">
        <f t="shared" ref="D62:Q62" si="13">C62+1</f>
        <v>2016</v>
      </c>
      <c r="E62" s="131">
        <f t="shared" si="13"/>
        <v>2017</v>
      </c>
      <c r="F62" s="131">
        <f t="shared" si="13"/>
        <v>2018</v>
      </c>
      <c r="G62" s="131">
        <f t="shared" si="13"/>
        <v>2019</v>
      </c>
      <c r="H62" s="131">
        <f t="shared" si="13"/>
        <v>2020</v>
      </c>
      <c r="I62" s="131">
        <f t="shared" si="13"/>
        <v>2021</v>
      </c>
      <c r="J62" s="131">
        <f t="shared" si="13"/>
        <v>2022</v>
      </c>
      <c r="K62" s="131">
        <f t="shared" si="13"/>
        <v>2023</v>
      </c>
      <c r="L62" s="131">
        <f t="shared" si="13"/>
        <v>2024</v>
      </c>
      <c r="M62" s="131">
        <f t="shared" si="13"/>
        <v>2025</v>
      </c>
      <c r="N62" s="131">
        <f t="shared" si="13"/>
        <v>2026</v>
      </c>
      <c r="O62" s="131">
        <f t="shared" si="13"/>
        <v>2027</v>
      </c>
      <c r="P62" s="131">
        <f t="shared" si="13"/>
        <v>2028</v>
      </c>
      <c r="Q62" s="131">
        <f t="shared" si="13"/>
        <v>2029</v>
      </c>
      <c r="R62" s="50"/>
    </row>
    <row r="63" spans="2:18" x14ac:dyDescent="0.3">
      <c r="B63" s="237">
        <v>2015</v>
      </c>
      <c r="C63" s="135">
        <f>HLOOKUP($B63,$C$59:$Q$60,2,FALSE)*Aggressive!$C$23*(1-IF(ROUNDDOWN((C$59-$B63)/Aggressive!$D$23,0)&lt;1,0,IF(ROUNDDOWN((C$59-$B63)/Aggressive!$D$23,0)&lt;2,0.5,IF(ROUNDDOWN((C$59-$B63)/Aggressive!$D$23,0)&lt;3,0.75,IF(ROUNDDOWN((C$59-$B63)/Aggressive!$D$23,0)&lt;4,0.875,0.9375)))))+HLOOKUP($B63,$C$59:$Q$60,2,FALSE)*Aggressive!$C$24*(1-IF(ROUNDDOWN((C$59-$B63)/Aggressive!$D$24,0)&lt;1,0,IF(ROUNDDOWN((C$59-$B63)/Aggressive!$D$24,0)&lt;2,0.5,IF(ROUNDDOWN((C$59-$B63)/Aggressive!$D$24,0)&lt;3,0.75,IF(ROUNDDOWN((C$59-$B63)/Aggressive!$D$24,0)&lt;4,0.875,0.9375)))))+HLOOKUP($B63,$C$59:$Q$60,2,FALSE)*Aggressive!$C$25*(1-IF(ROUNDDOWN((C$59-$B63)/Aggressive!$D$25,0)&lt;1,0,IF(ROUNDDOWN((C$59-$B63)/Aggressive!$D$25,0)&lt;2,0.5,IF(ROUNDDOWN((C$59-$B63)/Aggressive!$D$25,0)&lt;3,0.75,IF(ROUNDDOWN((C$59-$B63)/Aggressive!$D$25,0)&lt;4,0.875,0.9375)))))+HLOOKUP($B63,$C$59:$Q$60,2,FALSE)*Aggressive!$C$26*(1-IF(ROUNDDOWN((C$59-$B63)/Aggressive!$D$26,0)&lt;1,0,IF(ROUNDDOWN((C$59-$B63)/Aggressive!$D$26,0)&lt;2,0.5,IF(ROUNDDOWN((C$59-$B63)/Aggressive!$D$26,0)&lt;3,0.75,IF(ROUNDDOWN((C$59-$B63)/Aggressive!$D$26,0)&lt;4,0.875,0.9375)))))+HLOOKUP($B63,$C$59:$Q$60,2,FALSE)*Aggressive!$C$27*(1-IF(ROUNDDOWN((C$59-$B63)/Aggressive!$D$27,0)&lt;1,0,IF(ROUNDDOWN((C$59-$B63)/Aggressive!$D$27,0)&lt;2,0.5,IF(ROUNDDOWN((C$59-$B63)/Aggressive!$D$27,0)&lt;3,0.75,IF(ROUNDDOWN((C$59-$B63)/Aggressive!$D$27,0)&lt;4,0.875,0.9375)))))+HLOOKUP($B63,$C$59:$Q$60,2,FALSE)*Aggressive!$C$28*(1-IF(ROUNDDOWN((C$59-$B63)/Aggressive!$D$28,0)&lt;1,0,IF(ROUNDDOWN((C$59-$B63)/Aggressive!$D$28,0)&lt;2,0.5,IF(ROUNDDOWN((C$59-$B63)/Aggressive!$D$28,0)&lt;3,0.75,IF(ROUNDDOWN((C$59-$B63)/Aggressive!$D$28,0)&lt;4,0.875,0.9375)))))</f>
        <v>0</v>
      </c>
      <c r="D63" s="135">
        <f>HLOOKUP($B63,$C$59:$Q$60,2,FALSE)*Aggressive!$C$23*(1-IF(ROUNDDOWN((D$59-$B63)/Aggressive!$D$23,0)&lt;1,0,IF(ROUNDDOWN((D$59-$B63)/Aggressive!$D$23,0)&lt;2,0.5,IF(ROUNDDOWN((D$59-$B63)/Aggressive!$D$23,0)&lt;3,0.75,IF(ROUNDDOWN((D$59-$B63)/Aggressive!$D$23,0)&lt;4,0.875,0.9375)))))+HLOOKUP($B63,$C$59:$Q$60,2,FALSE)*Aggressive!$C$24*(1-IF(ROUNDDOWN((D$59-$B63)/Aggressive!$D$24,0)&lt;1,0,IF(ROUNDDOWN((D$59-$B63)/Aggressive!$D$24,0)&lt;2,0.5,IF(ROUNDDOWN((D$59-$B63)/Aggressive!$D$24,0)&lt;3,0.75,IF(ROUNDDOWN((D$59-$B63)/Aggressive!$D$24,0)&lt;4,0.875,0.9375)))))+HLOOKUP($B63,$C$59:$Q$60,2,FALSE)*Aggressive!$C$25*(1-IF(ROUNDDOWN((D$59-$B63)/Aggressive!$D$25,0)&lt;1,0,IF(ROUNDDOWN((D$59-$B63)/Aggressive!$D$25,0)&lt;2,0.5,IF(ROUNDDOWN((D$59-$B63)/Aggressive!$D$25,0)&lt;3,0.75,IF(ROUNDDOWN((D$59-$B63)/Aggressive!$D$25,0)&lt;4,0.875,0.9375)))))+HLOOKUP($B63,$C$59:$Q$60,2,FALSE)*Aggressive!$C$26*(1-IF(ROUNDDOWN((D$59-$B63)/Aggressive!$D$26,0)&lt;1,0,IF(ROUNDDOWN((D$59-$B63)/Aggressive!$D$26,0)&lt;2,0.5,IF(ROUNDDOWN((D$59-$B63)/Aggressive!$D$26,0)&lt;3,0.75,IF(ROUNDDOWN((D$59-$B63)/Aggressive!$D$26,0)&lt;4,0.875,0.9375)))))+HLOOKUP($B63,$C$59:$Q$60,2,FALSE)*Aggressive!$C$27*(1-IF(ROUNDDOWN((D$59-$B63)/Aggressive!$D$27,0)&lt;1,0,IF(ROUNDDOWN((D$59-$B63)/Aggressive!$D$27,0)&lt;2,0.5,IF(ROUNDDOWN((D$59-$B63)/Aggressive!$D$27,0)&lt;3,0.75,IF(ROUNDDOWN((D$59-$B63)/Aggressive!$D$27,0)&lt;4,0.875,0.9375)))))+HLOOKUP($B63,$C$59:$Q$60,2,FALSE)*Aggressive!$C$28*(1-IF(ROUNDDOWN((D$59-$B63)/Aggressive!$D$28,0)&lt;1,0,IF(ROUNDDOWN((D$59-$B63)/Aggressive!$D$28,0)&lt;2,0.5,IF(ROUNDDOWN((D$59-$B63)/Aggressive!$D$28,0)&lt;3,0.75,IF(ROUNDDOWN((D$59-$B63)/Aggressive!$D$28,0)&lt;4,0.875,0.9375)))))</f>
        <v>0</v>
      </c>
      <c r="E63" s="135">
        <f>HLOOKUP($B63,$C$59:$Q$60,2,FALSE)*Aggressive!$C$23*(1-IF(ROUNDDOWN((E$59-$B63)/Aggressive!$D$23,0)&lt;1,0,IF(ROUNDDOWN((E$59-$B63)/Aggressive!$D$23,0)&lt;2,0.5,IF(ROUNDDOWN((E$59-$B63)/Aggressive!$D$23,0)&lt;3,0.75,IF(ROUNDDOWN((E$59-$B63)/Aggressive!$D$23,0)&lt;4,0.875,0.9375)))))+HLOOKUP($B63,$C$59:$Q$60,2,FALSE)*Aggressive!$C$24*(1-IF(ROUNDDOWN((E$59-$B63)/Aggressive!$D$24,0)&lt;1,0,IF(ROUNDDOWN((E$59-$B63)/Aggressive!$D$24,0)&lt;2,0.5,IF(ROUNDDOWN((E$59-$B63)/Aggressive!$D$24,0)&lt;3,0.75,IF(ROUNDDOWN((E$59-$B63)/Aggressive!$D$24,0)&lt;4,0.875,0.9375)))))+HLOOKUP($B63,$C$59:$Q$60,2,FALSE)*Aggressive!$C$25*(1-IF(ROUNDDOWN((E$59-$B63)/Aggressive!$D$25,0)&lt;1,0,IF(ROUNDDOWN((E$59-$B63)/Aggressive!$D$25,0)&lt;2,0.5,IF(ROUNDDOWN((E$59-$B63)/Aggressive!$D$25,0)&lt;3,0.75,IF(ROUNDDOWN((E$59-$B63)/Aggressive!$D$25,0)&lt;4,0.875,0.9375)))))+HLOOKUP($B63,$C$59:$Q$60,2,FALSE)*Aggressive!$C$26*(1-IF(ROUNDDOWN((E$59-$B63)/Aggressive!$D$26,0)&lt;1,0,IF(ROUNDDOWN((E$59-$B63)/Aggressive!$D$26,0)&lt;2,0.5,IF(ROUNDDOWN((E$59-$B63)/Aggressive!$D$26,0)&lt;3,0.75,IF(ROUNDDOWN((E$59-$B63)/Aggressive!$D$26,0)&lt;4,0.875,0.9375)))))+HLOOKUP($B63,$C$59:$Q$60,2,FALSE)*Aggressive!$C$27*(1-IF(ROUNDDOWN((E$59-$B63)/Aggressive!$D$27,0)&lt;1,0,IF(ROUNDDOWN((E$59-$B63)/Aggressive!$D$27,0)&lt;2,0.5,IF(ROUNDDOWN((E$59-$B63)/Aggressive!$D$27,0)&lt;3,0.75,IF(ROUNDDOWN((E$59-$B63)/Aggressive!$D$27,0)&lt;4,0.875,0.9375)))))+HLOOKUP($B63,$C$59:$Q$60,2,FALSE)*Aggressive!$C$28*(1-IF(ROUNDDOWN((E$59-$B63)/Aggressive!$D$28,0)&lt;1,0,IF(ROUNDDOWN((E$59-$B63)/Aggressive!$D$28,0)&lt;2,0.5,IF(ROUNDDOWN((E$59-$B63)/Aggressive!$D$28,0)&lt;3,0.75,IF(ROUNDDOWN((E$59-$B63)/Aggressive!$D$28,0)&lt;4,0.875,0.9375)))))</f>
        <v>0</v>
      </c>
      <c r="F63" s="135">
        <f>HLOOKUP($B63,$C$59:$Q$60,2,FALSE)*Aggressive!$C$23*(1-IF(ROUNDDOWN((F$59-$B63)/Aggressive!$D$23,0)&lt;1,0,IF(ROUNDDOWN((F$59-$B63)/Aggressive!$D$23,0)&lt;2,0.5,IF(ROUNDDOWN((F$59-$B63)/Aggressive!$D$23,0)&lt;3,0.75,IF(ROUNDDOWN((F$59-$B63)/Aggressive!$D$23,0)&lt;4,0.875,0.9375)))))+HLOOKUP($B63,$C$59:$Q$60,2,FALSE)*Aggressive!$C$24*(1-IF(ROUNDDOWN((F$59-$B63)/Aggressive!$D$24,0)&lt;1,0,IF(ROUNDDOWN((F$59-$B63)/Aggressive!$D$24,0)&lt;2,0.5,IF(ROUNDDOWN((F$59-$B63)/Aggressive!$D$24,0)&lt;3,0.75,IF(ROUNDDOWN((F$59-$B63)/Aggressive!$D$24,0)&lt;4,0.875,0.9375)))))+HLOOKUP($B63,$C$59:$Q$60,2,FALSE)*Aggressive!$C$25*(1-IF(ROUNDDOWN((F$59-$B63)/Aggressive!$D$25,0)&lt;1,0,IF(ROUNDDOWN((F$59-$B63)/Aggressive!$D$25,0)&lt;2,0.5,IF(ROUNDDOWN((F$59-$B63)/Aggressive!$D$25,0)&lt;3,0.75,IF(ROUNDDOWN((F$59-$B63)/Aggressive!$D$25,0)&lt;4,0.875,0.9375)))))+HLOOKUP($B63,$C$59:$Q$60,2,FALSE)*Aggressive!$C$26*(1-IF(ROUNDDOWN((F$59-$B63)/Aggressive!$D$26,0)&lt;1,0,IF(ROUNDDOWN((F$59-$B63)/Aggressive!$D$26,0)&lt;2,0.5,IF(ROUNDDOWN((F$59-$B63)/Aggressive!$D$26,0)&lt;3,0.75,IF(ROUNDDOWN((F$59-$B63)/Aggressive!$D$26,0)&lt;4,0.875,0.9375)))))+HLOOKUP($B63,$C$59:$Q$60,2,FALSE)*Aggressive!$C$27*(1-IF(ROUNDDOWN((F$59-$B63)/Aggressive!$D$27,0)&lt;1,0,IF(ROUNDDOWN((F$59-$B63)/Aggressive!$D$27,0)&lt;2,0.5,IF(ROUNDDOWN((F$59-$B63)/Aggressive!$D$27,0)&lt;3,0.75,IF(ROUNDDOWN((F$59-$B63)/Aggressive!$D$27,0)&lt;4,0.875,0.9375)))))+HLOOKUP($B63,$C$59:$Q$60,2,FALSE)*Aggressive!$C$28*(1-IF(ROUNDDOWN((F$59-$B63)/Aggressive!$D$28,0)&lt;1,0,IF(ROUNDDOWN((F$59-$B63)/Aggressive!$D$28,0)&lt;2,0.5,IF(ROUNDDOWN((F$59-$B63)/Aggressive!$D$28,0)&lt;3,0.75,IF(ROUNDDOWN((F$59-$B63)/Aggressive!$D$28,0)&lt;4,0.875,0.9375)))))</f>
        <v>0</v>
      </c>
      <c r="G63" s="135">
        <f>HLOOKUP($B63,$C$59:$Q$60,2,FALSE)*Aggressive!$C$23*(1-IF(ROUNDDOWN((G$59-$B63)/Aggressive!$D$23,0)&lt;1,0,IF(ROUNDDOWN((G$59-$B63)/Aggressive!$D$23,0)&lt;2,0.5,IF(ROUNDDOWN((G$59-$B63)/Aggressive!$D$23,0)&lt;3,0.75,IF(ROUNDDOWN((G$59-$B63)/Aggressive!$D$23,0)&lt;4,0.875,0.9375)))))+HLOOKUP($B63,$C$59:$Q$60,2,FALSE)*Aggressive!$C$24*(1-IF(ROUNDDOWN((G$59-$B63)/Aggressive!$D$24,0)&lt;1,0,IF(ROUNDDOWN((G$59-$B63)/Aggressive!$D$24,0)&lt;2,0.5,IF(ROUNDDOWN((G$59-$B63)/Aggressive!$D$24,0)&lt;3,0.75,IF(ROUNDDOWN((G$59-$B63)/Aggressive!$D$24,0)&lt;4,0.875,0.9375)))))+HLOOKUP($B63,$C$59:$Q$60,2,FALSE)*Aggressive!$C$25*(1-IF(ROUNDDOWN((G$59-$B63)/Aggressive!$D$25,0)&lt;1,0,IF(ROUNDDOWN((G$59-$B63)/Aggressive!$D$25,0)&lt;2,0.5,IF(ROUNDDOWN((G$59-$B63)/Aggressive!$D$25,0)&lt;3,0.75,IF(ROUNDDOWN((G$59-$B63)/Aggressive!$D$25,0)&lt;4,0.875,0.9375)))))+HLOOKUP($B63,$C$59:$Q$60,2,FALSE)*Aggressive!$C$26*(1-IF(ROUNDDOWN((G$59-$B63)/Aggressive!$D$26,0)&lt;1,0,IF(ROUNDDOWN((G$59-$B63)/Aggressive!$D$26,0)&lt;2,0.5,IF(ROUNDDOWN((G$59-$B63)/Aggressive!$D$26,0)&lt;3,0.75,IF(ROUNDDOWN((G$59-$B63)/Aggressive!$D$26,0)&lt;4,0.875,0.9375)))))+HLOOKUP($B63,$C$59:$Q$60,2,FALSE)*Aggressive!$C$27*(1-IF(ROUNDDOWN((G$59-$B63)/Aggressive!$D$27,0)&lt;1,0,IF(ROUNDDOWN((G$59-$B63)/Aggressive!$D$27,0)&lt;2,0.5,IF(ROUNDDOWN((G$59-$B63)/Aggressive!$D$27,0)&lt;3,0.75,IF(ROUNDDOWN((G$59-$B63)/Aggressive!$D$27,0)&lt;4,0.875,0.9375)))))+HLOOKUP($B63,$C$59:$Q$60,2,FALSE)*Aggressive!$C$28*(1-IF(ROUNDDOWN((G$59-$B63)/Aggressive!$D$28,0)&lt;1,0,IF(ROUNDDOWN((G$59-$B63)/Aggressive!$D$28,0)&lt;2,0.5,IF(ROUNDDOWN((G$59-$B63)/Aggressive!$D$28,0)&lt;3,0.75,IF(ROUNDDOWN((G$59-$B63)/Aggressive!$D$28,0)&lt;4,0.875,0.9375)))))</f>
        <v>0</v>
      </c>
      <c r="H63" s="135">
        <f>HLOOKUP($B63,$C$59:$Q$60,2,FALSE)*Aggressive!$C$23*(1-IF(ROUNDDOWN((H$59-$B63)/Aggressive!$D$23,0)&lt;1,0,IF(ROUNDDOWN((H$59-$B63)/Aggressive!$D$23,0)&lt;2,0.5,IF(ROUNDDOWN((H$59-$B63)/Aggressive!$D$23,0)&lt;3,0.75,IF(ROUNDDOWN((H$59-$B63)/Aggressive!$D$23,0)&lt;4,0.875,0.9375)))))+HLOOKUP($B63,$C$59:$Q$60,2,FALSE)*Aggressive!$C$24*(1-IF(ROUNDDOWN((H$59-$B63)/Aggressive!$D$24,0)&lt;1,0,IF(ROUNDDOWN((H$59-$B63)/Aggressive!$D$24,0)&lt;2,0.5,IF(ROUNDDOWN((H$59-$B63)/Aggressive!$D$24,0)&lt;3,0.75,IF(ROUNDDOWN((H$59-$B63)/Aggressive!$D$24,0)&lt;4,0.875,0.9375)))))+HLOOKUP($B63,$C$59:$Q$60,2,FALSE)*Aggressive!$C$25*(1-IF(ROUNDDOWN((H$59-$B63)/Aggressive!$D$25,0)&lt;1,0,IF(ROUNDDOWN((H$59-$B63)/Aggressive!$D$25,0)&lt;2,0.5,IF(ROUNDDOWN((H$59-$B63)/Aggressive!$D$25,0)&lt;3,0.75,IF(ROUNDDOWN((H$59-$B63)/Aggressive!$D$25,0)&lt;4,0.875,0.9375)))))+HLOOKUP($B63,$C$59:$Q$60,2,FALSE)*Aggressive!$C$26*(1-IF(ROUNDDOWN((H$59-$B63)/Aggressive!$D$26,0)&lt;1,0,IF(ROUNDDOWN((H$59-$B63)/Aggressive!$D$26,0)&lt;2,0.5,IF(ROUNDDOWN((H$59-$B63)/Aggressive!$D$26,0)&lt;3,0.75,IF(ROUNDDOWN((H$59-$B63)/Aggressive!$D$26,0)&lt;4,0.875,0.9375)))))+HLOOKUP($B63,$C$59:$Q$60,2,FALSE)*Aggressive!$C$27*(1-IF(ROUNDDOWN((H$59-$B63)/Aggressive!$D$27,0)&lt;1,0,IF(ROUNDDOWN((H$59-$B63)/Aggressive!$D$27,0)&lt;2,0.5,IF(ROUNDDOWN((H$59-$B63)/Aggressive!$D$27,0)&lt;3,0.75,IF(ROUNDDOWN((H$59-$B63)/Aggressive!$D$27,0)&lt;4,0.875,0.9375)))))+HLOOKUP($B63,$C$59:$Q$60,2,FALSE)*Aggressive!$C$28*(1-IF(ROUNDDOWN((H$59-$B63)/Aggressive!$D$28,0)&lt;1,0,IF(ROUNDDOWN((H$59-$B63)/Aggressive!$D$28,0)&lt;2,0.5,IF(ROUNDDOWN((H$59-$B63)/Aggressive!$D$28,0)&lt;3,0.75,IF(ROUNDDOWN((H$59-$B63)/Aggressive!$D$28,0)&lt;4,0.875,0.9375)))))</f>
        <v>0</v>
      </c>
      <c r="I63" s="135">
        <f>HLOOKUP($B63,$C$59:$Q$60,2,FALSE)*Aggressive!$C$23*(1-IF(ROUNDDOWN((I$59-$B63)/Aggressive!$D$23,0)&lt;1,0,IF(ROUNDDOWN((I$59-$B63)/Aggressive!$D$23,0)&lt;2,0.5,IF(ROUNDDOWN((I$59-$B63)/Aggressive!$D$23,0)&lt;3,0.75,IF(ROUNDDOWN((I$59-$B63)/Aggressive!$D$23,0)&lt;4,0.875,0.9375)))))+HLOOKUP($B63,$C$59:$Q$60,2,FALSE)*Aggressive!$C$24*(1-IF(ROUNDDOWN((I$59-$B63)/Aggressive!$D$24,0)&lt;1,0,IF(ROUNDDOWN((I$59-$B63)/Aggressive!$D$24,0)&lt;2,0.5,IF(ROUNDDOWN((I$59-$B63)/Aggressive!$D$24,0)&lt;3,0.75,IF(ROUNDDOWN((I$59-$B63)/Aggressive!$D$24,0)&lt;4,0.875,0.9375)))))+HLOOKUP($B63,$C$59:$Q$60,2,FALSE)*Aggressive!$C$25*(1-IF(ROUNDDOWN((I$59-$B63)/Aggressive!$D$25,0)&lt;1,0,IF(ROUNDDOWN((I$59-$B63)/Aggressive!$D$25,0)&lt;2,0.5,IF(ROUNDDOWN((I$59-$B63)/Aggressive!$D$25,0)&lt;3,0.75,IF(ROUNDDOWN((I$59-$B63)/Aggressive!$D$25,0)&lt;4,0.875,0.9375)))))+HLOOKUP($B63,$C$59:$Q$60,2,FALSE)*Aggressive!$C$26*(1-IF(ROUNDDOWN((I$59-$B63)/Aggressive!$D$26,0)&lt;1,0,IF(ROUNDDOWN((I$59-$B63)/Aggressive!$D$26,0)&lt;2,0.5,IF(ROUNDDOWN((I$59-$B63)/Aggressive!$D$26,0)&lt;3,0.75,IF(ROUNDDOWN((I$59-$B63)/Aggressive!$D$26,0)&lt;4,0.875,0.9375)))))+HLOOKUP($B63,$C$59:$Q$60,2,FALSE)*Aggressive!$C$27*(1-IF(ROUNDDOWN((I$59-$B63)/Aggressive!$D$27,0)&lt;1,0,IF(ROUNDDOWN((I$59-$B63)/Aggressive!$D$27,0)&lt;2,0.5,IF(ROUNDDOWN((I$59-$B63)/Aggressive!$D$27,0)&lt;3,0.75,IF(ROUNDDOWN((I$59-$B63)/Aggressive!$D$27,0)&lt;4,0.875,0.9375)))))+HLOOKUP($B63,$C$59:$Q$60,2,FALSE)*Aggressive!$C$28*(1-IF(ROUNDDOWN((I$59-$B63)/Aggressive!$D$28,0)&lt;1,0,IF(ROUNDDOWN((I$59-$B63)/Aggressive!$D$28,0)&lt;2,0.5,IF(ROUNDDOWN((I$59-$B63)/Aggressive!$D$28,0)&lt;3,0.75,IF(ROUNDDOWN((I$59-$B63)/Aggressive!$D$28,0)&lt;4,0.875,0.9375)))))</f>
        <v>0</v>
      </c>
      <c r="J63" s="135">
        <f>HLOOKUP($B63,$C$59:$Q$60,2,FALSE)*Aggressive!$C$23*(1-IF(ROUNDDOWN((J$59-$B63)/Aggressive!$D$23,0)&lt;1,0,IF(ROUNDDOWN((J$59-$B63)/Aggressive!$D$23,0)&lt;2,0.5,IF(ROUNDDOWN((J$59-$B63)/Aggressive!$D$23,0)&lt;3,0.75,IF(ROUNDDOWN((J$59-$B63)/Aggressive!$D$23,0)&lt;4,0.875,0.9375)))))+HLOOKUP($B63,$C$59:$Q$60,2,FALSE)*Aggressive!$C$24*(1-IF(ROUNDDOWN((J$59-$B63)/Aggressive!$D$24,0)&lt;1,0,IF(ROUNDDOWN((J$59-$B63)/Aggressive!$D$24,0)&lt;2,0.5,IF(ROUNDDOWN((J$59-$B63)/Aggressive!$D$24,0)&lt;3,0.75,IF(ROUNDDOWN((J$59-$B63)/Aggressive!$D$24,0)&lt;4,0.875,0.9375)))))+HLOOKUP($B63,$C$59:$Q$60,2,FALSE)*Aggressive!$C$25*(1-IF(ROUNDDOWN((J$59-$B63)/Aggressive!$D$25,0)&lt;1,0,IF(ROUNDDOWN((J$59-$B63)/Aggressive!$D$25,0)&lt;2,0.5,IF(ROUNDDOWN((J$59-$B63)/Aggressive!$D$25,0)&lt;3,0.75,IF(ROUNDDOWN((J$59-$B63)/Aggressive!$D$25,0)&lt;4,0.875,0.9375)))))+HLOOKUP($B63,$C$59:$Q$60,2,FALSE)*Aggressive!$C$26*(1-IF(ROUNDDOWN((J$59-$B63)/Aggressive!$D$26,0)&lt;1,0,IF(ROUNDDOWN((J$59-$B63)/Aggressive!$D$26,0)&lt;2,0.5,IF(ROUNDDOWN((J$59-$B63)/Aggressive!$D$26,0)&lt;3,0.75,IF(ROUNDDOWN((J$59-$B63)/Aggressive!$D$26,0)&lt;4,0.875,0.9375)))))+HLOOKUP($B63,$C$59:$Q$60,2,FALSE)*Aggressive!$C$27*(1-IF(ROUNDDOWN((J$59-$B63)/Aggressive!$D$27,0)&lt;1,0,IF(ROUNDDOWN((J$59-$B63)/Aggressive!$D$27,0)&lt;2,0.5,IF(ROUNDDOWN((J$59-$B63)/Aggressive!$D$27,0)&lt;3,0.75,IF(ROUNDDOWN((J$59-$B63)/Aggressive!$D$27,0)&lt;4,0.875,0.9375)))))+HLOOKUP($B63,$C$59:$Q$60,2,FALSE)*Aggressive!$C$28*(1-IF(ROUNDDOWN((J$59-$B63)/Aggressive!$D$28,0)&lt;1,0,IF(ROUNDDOWN((J$59-$B63)/Aggressive!$D$28,0)&lt;2,0.5,IF(ROUNDDOWN((J$59-$B63)/Aggressive!$D$28,0)&lt;3,0.75,IF(ROUNDDOWN((J$59-$B63)/Aggressive!$D$28,0)&lt;4,0.875,0.9375)))))</f>
        <v>0</v>
      </c>
      <c r="K63" s="135">
        <f>HLOOKUP($B63,$C$59:$Q$60,2,FALSE)*Aggressive!$C$23*(1-IF(ROUNDDOWN((K$59-$B63)/Aggressive!$D$23,0)&lt;1,0,IF(ROUNDDOWN((K$59-$B63)/Aggressive!$D$23,0)&lt;2,0.5,IF(ROUNDDOWN((K$59-$B63)/Aggressive!$D$23,0)&lt;3,0.75,IF(ROUNDDOWN((K$59-$B63)/Aggressive!$D$23,0)&lt;4,0.875,0.9375)))))+HLOOKUP($B63,$C$59:$Q$60,2,FALSE)*Aggressive!$C$24*(1-IF(ROUNDDOWN((K$59-$B63)/Aggressive!$D$24,0)&lt;1,0,IF(ROUNDDOWN((K$59-$B63)/Aggressive!$D$24,0)&lt;2,0.5,IF(ROUNDDOWN((K$59-$B63)/Aggressive!$D$24,0)&lt;3,0.75,IF(ROUNDDOWN((K$59-$B63)/Aggressive!$D$24,0)&lt;4,0.875,0.9375)))))+HLOOKUP($B63,$C$59:$Q$60,2,FALSE)*Aggressive!$C$25*(1-IF(ROUNDDOWN((K$59-$B63)/Aggressive!$D$25,0)&lt;1,0,IF(ROUNDDOWN((K$59-$B63)/Aggressive!$D$25,0)&lt;2,0.5,IF(ROUNDDOWN((K$59-$B63)/Aggressive!$D$25,0)&lt;3,0.75,IF(ROUNDDOWN((K$59-$B63)/Aggressive!$D$25,0)&lt;4,0.875,0.9375)))))+HLOOKUP($B63,$C$59:$Q$60,2,FALSE)*Aggressive!$C$26*(1-IF(ROUNDDOWN((K$59-$B63)/Aggressive!$D$26,0)&lt;1,0,IF(ROUNDDOWN((K$59-$B63)/Aggressive!$D$26,0)&lt;2,0.5,IF(ROUNDDOWN((K$59-$B63)/Aggressive!$D$26,0)&lt;3,0.75,IF(ROUNDDOWN((K$59-$B63)/Aggressive!$D$26,0)&lt;4,0.875,0.9375)))))+HLOOKUP($B63,$C$59:$Q$60,2,FALSE)*Aggressive!$C$27*(1-IF(ROUNDDOWN((K$59-$B63)/Aggressive!$D$27,0)&lt;1,0,IF(ROUNDDOWN((K$59-$B63)/Aggressive!$D$27,0)&lt;2,0.5,IF(ROUNDDOWN((K$59-$B63)/Aggressive!$D$27,0)&lt;3,0.75,IF(ROUNDDOWN((K$59-$B63)/Aggressive!$D$27,0)&lt;4,0.875,0.9375)))))+HLOOKUP($B63,$C$59:$Q$60,2,FALSE)*Aggressive!$C$28*(1-IF(ROUNDDOWN((K$59-$B63)/Aggressive!$D$28,0)&lt;1,0,IF(ROUNDDOWN((K$59-$B63)/Aggressive!$D$28,0)&lt;2,0.5,IF(ROUNDDOWN((K$59-$B63)/Aggressive!$D$28,0)&lt;3,0.75,IF(ROUNDDOWN((K$59-$B63)/Aggressive!$D$28,0)&lt;4,0.875,0.9375)))))</f>
        <v>0</v>
      </c>
      <c r="L63" s="135">
        <f>HLOOKUP($B63,$C$59:$Q$60,2,FALSE)*Aggressive!$C$23*(1-IF(ROUNDDOWN((L$59-$B63)/Aggressive!$D$23,0)&lt;1,0,IF(ROUNDDOWN((L$59-$B63)/Aggressive!$D$23,0)&lt;2,0.5,IF(ROUNDDOWN((L$59-$B63)/Aggressive!$D$23,0)&lt;3,0.75,IF(ROUNDDOWN((L$59-$B63)/Aggressive!$D$23,0)&lt;4,0.875,0.9375)))))+HLOOKUP($B63,$C$59:$Q$60,2,FALSE)*Aggressive!$C$24*(1-IF(ROUNDDOWN((L$59-$B63)/Aggressive!$D$24,0)&lt;1,0,IF(ROUNDDOWN((L$59-$B63)/Aggressive!$D$24,0)&lt;2,0.5,IF(ROUNDDOWN((L$59-$B63)/Aggressive!$D$24,0)&lt;3,0.75,IF(ROUNDDOWN((L$59-$B63)/Aggressive!$D$24,0)&lt;4,0.875,0.9375)))))+HLOOKUP($B63,$C$59:$Q$60,2,FALSE)*Aggressive!$C$25*(1-IF(ROUNDDOWN((L$59-$B63)/Aggressive!$D$25,0)&lt;1,0,IF(ROUNDDOWN((L$59-$B63)/Aggressive!$D$25,0)&lt;2,0.5,IF(ROUNDDOWN((L$59-$B63)/Aggressive!$D$25,0)&lt;3,0.75,IF(ROUNDDOWN((L$59-$B63)/Aggressive!$D$25,0)&lt;4,0.875,0.9375)))))+HLOOKUP($B63,$C$59:$Q$60,2,FALSE)*Aggressive!$C$26*(1-IF(ROUNDDOWN((L$59-$B63)/Aggressive!$D$26,0)&lt;1,0,IF(ROUNDDOWN((L$59-$B63)/Aggressive!$D$26,0)&lt;2,0.5,IF(ROUNDDOWN((L$59-$B63)/Aggressive!$D$26,0)&lt;3,0.75,IF(ROUNDDOWN((L$59-$B63)/Aggressive!$D$26,0)&lt;4,0.875,0.9375)))))+HLOOKUP($B63,$C$59:$Q$60,2,FALSE)*Aggressive!$C$27*(1-IF(ROUNDDOWN((L$59-$B63)/Aggressive!$D$27,0)&lt;1,0,IF(ROUNDDOWN((L$59-$B63)/Aggressive!$D$27,0)&lt;2,0.5,IF(ROUNDDOWN((L$59-$B63)/Aggressive!$D$27,0)&lt;3,0.75,IF(ROUNDDOWN((L$59-$B63)/Aggressive!$D$27,0)&lt;4,0.875,0.9375)))))+HLOOKUP($B63,$C$59:$Q$60,2,FALSE)*Aggressive!$C$28*(1-IF(ROUNDDOWN((L$59-$B63)/Aggressive!$D$28,0)&lt;1,0,IF(ROUNDDOWN((L$59-$B63)/Aggressive!$D$28,0)&lt;2,0.5,IF(ROUNDDOWN((L$59-$B63)/Aggressive!$D$28,0)&lt;3,0.75,IF(ROUNDDOWN((L$59-$B63)/Aggressive!$D$28,0)&lt;4,0.875,0.9375)))))</f>
        <v>0</v>
      </c>
      <c r="M63" s="135">
        <f>HLOOKUP($B63,$C$59:$Q$60,2,FALSE)*Aggressive!$C$23*(1-IF(ROUNDDOWN((M$59-$B63)/Aggressive!$D$23,0)&lt;1,0,IF(ROUNDDOWN((M$59-$B63)/Aggressive!$D$23,0)&lt;2,0.5,IF(ROUNDDOWN((M$59-$B63)/Aggressive!$D$23,0)&lt;3,0.75,IF(ROUNDDOWN((M$59-$B63)/Aggressive!$D$23,0)&lt;4,0.875,0.9375)))))+HLOOKUP($B63,$C$59:$Q$60,2,FALSE)*Aggressive!$C$24*(1-IF(ROUNDDOWN((M$59-$B63)/Aggressive!$D$24,0)&lt;1,0,IF(ROUNDDOWN((M$59-$B63)/Aggressive!$D$24,0)&lt;2,0.5,IF(ROUNDDOWN((M$59-$B63)/Aggressive!$D$24,0)&lt;3,0.75,IF(ROUNDDOWN((M$59-$B63)/Aggressive!$D$24,0)&lt;4,0.875,0.9375)))))+HLOOKUP($B63,$C$59:$Q$60,2,FALSE)*Aggressive!$C$25*(1-IF(ROUNDDOWN((M$59-$B63)/Aggressive!$D$25,0)&lt;1,0,IF(ROUNDDOWN((M$59-$B63)/Aggressive!$D$25,0)&lt;2,0.5,IF(ROUNDDOWN((M$59-$B63)/Aggressive!$D$25,0)&lt;3,0.75,IF(ROUNDDOWN((M$59-$B63)/Aggressive!$D$25,0)&lt;4,0.875,0.9375)))))+HLOOKUP($B63,$C$59:$Q$60,2,FALSE)*Aggressive!$C$26*(1-IF(ROUNDDOWN((M$59-$B63)/Aggressive!$D$26,0)&lt;1,0,IF(ROUNDDOWN((M$59-$B63)/Aggressive!$D$26,0)&lt;2,0.5,IF(ROUNDDOWN((M$59-$B63)/Aggressive!$D$26,0)&lt;3,0.75,IF(ROUNDDOWN((M$59-$B63)/Aggressive!$D$26,0)&lt;4,0.875,0.9375)))))+HLOOKUP($B63,$C$59:$Q$60,2,FALSE)*Aggressive!$C$27*(1-IF(ROUNDDOWN((M$59-$B63)/Aggressive!$D$27,0)&lt;1,0,IF(ROUNDDOWN((M$59-$B63)/Aggressive!$D$27,0)&lt;2,0.5,IF(ROUNDDOWN((M$59-$B63)/Aggressive!$D$27,0)&lt;3,0.75,IF(ROUNDDOWN((M$59-$B63)/Aggressive!$D$27,0)&lt;4,0.875,0.9375)))))+HLOOKUP($B63,$C$59:$Q$60,2,FALSE)*Aggressive!$C$28*(1-IF(ROUNDDOWN((M$59-$B63)/Aggressive!$D$28,0)&lt;1,0,IF(ROUNDDOWN((M$59-$B63)/Aggressive!$D$28,0)&lt;2,0.5,IF(ROUNDDOWN((M$59-$B63)/Aggressive!$D$28,0)&lt;3,0.75,IF(ROUNDDOWN((M$59-$B63)/Aggressive!$D$28,0)&lt;4,0.875,0.9375)))))</f>
        <v>0</v>
      </c>
      <c r="N63" s="135">
        <f>HLOOKUP($B63,$C$59:$Q$60,2,FALSE)*Aggressive!$C$23*(1-IF(ROUNDDOWN((N$59-$B63)/Aggressive!$D$23,0)&lt;1,0,IF(ROUNDDOWN((N$59-$B63)/Aggressive!$D$23,0)&lt;2,0.5,IF(ROUNDDOWN((N$59-$B63)/Aggressive!$D$23,0)&lt;3,0.75,IF(ROUNDDOWN((N$59-$B63)/Aggressive!$D$23,0)&lt;4,0.875,0.9375)))))+HLOOKUP($B63,$C$59:$Q$60,2,FALSE)*Aggressive!$C$24*(1-IF(ROUNDDOWN((N$59-$B63)/Aggressive!$D$24,0)&lt;1,0,IF(ROUNDDOWN((N$59-$B63)/Aggressive!$D$24,0)&lt;2,0.5,IF(ROUNDDOWN((N$59-$B63)/Aggressive!$D$24,0)&lt;3,0.75,IF(ROUNDDOWN((N$59-$B63)/Aggressive!$D$24,0)&lt;4,0.875,0.9375)))))+HLOOKUP($B63,$C$59:$Q$60,2,FALSE)*Aggressive!$C$25*(1-IF(ROUNDDOWN((N$59-$B63)/Aggressive!$D$25,0)&lt;1,0,IF(ROUNDDOWN((N$59-$B63)/Aggressive!$D$25,0)&lt;2,0.5,IF(ROUNDDOWN((N$59-$B63)/Aggressive!$D$25,0)&lt;3,0.75,IF(ROUNDDOWN((N$59-$B63)/Aggressive!$D$25,0)&lt;4,0.875,0.9375)))))+HLOOKUP($B63,$C$59:$Q$60,2,FALSE)*Aggressive!$C$26*(1-IF(ROUNDDOWN((N$59-$B63)/Aggressive!$D$26,0)&lt;1,0,IF(ROUNDDOWN((N$59-$B63)/Aggressive!$D$26,0)&lt;2,0.5,IF(ROUNDDOWN((N$59-$B63)/Aggressive!$D$26,0)&lt;3,0.75,IF(ROUNDDOWN((N$59-$B63)/Aggressive!$D$26,0)&lt;4,0.875,0.9375)))))+HLOOKUP($B63,$C$59:$Q$60,2,FALSE)*Aggressive!$C$27*(1-IF(ROUNDDOWN((N$59-$B63)/Aggressive!$D$27,0)&lt;1,0,IF(ROUNDDOWN((N$59-$B63)/Aggressive!$D$27,0)&lt;2,0.5,IF(ROUNDDOWN((N$59-$B63)/Aggressive!$D$27,0)&lt;3,0.75,IF(ROUNDDOWN((N$59-$B63)/Aggressive!$D$27,0)&lt;4,0.875,0.9375)))))+HLOOKUP($B63,$C$59:$Q$60,2,FALSE)*Aggressive!$C$28*(1-IF(ROUNDDOWN((N$59-$B63)/Aggressive!$D$28,0)&lt;1,0,IF(ROUNDDOWN((N$59-$B63)/Aggressive!$D$28,0)&lt;2,0.5,IF(ROUNDDOWN((N$59-$B63)/Aggressive!$D$28,0)&lt;3,0.75,IF(ROUNDDOWN((N$59-$B63)/Aggressive!$D$28,0)&lt;4,0.875,0.9375)))))</f>
        <v>0</v>
      </c>
      <c r="O63" s="135">
        <f>HLOOKUP($B63,$C$59:$Q$60,2,FALSE)*Aggressive!$C$23*(1-IF(ROUNDDOWN((O$59-$B63)/Aggressive!$D$23,0)&lt;1,0,IF(ROUNDDOWN((O$59-$B63)/Aggressive!$D$23,0)&lt;2,0.5,IF(ROUNDDOWN((O$59-$B63)/Aggressive!$D$23,0)&lt;3,0.75,IF(ROUNDDOWN((O$59-$B63)/Aggressive!$D$23,0)&lt;4,0.875,0.9375)))))+HLOOKUP($B63,$C$59:$Q$60,2,FALSE)*Aggressive!$C$24*(1-IF(ROUNDDOWN((O$59-$B63)/Aggressive!$D$24,0)&lt;1,0,IF(ROUNDDOWN((O$59-$B63)/Aggressive!$D$24,0)&lt;2,0.5,IF(ROUNDDOWN((O$59-$B63)/Aggressive!$D$24,0)&lt;3,0.75,IF(ROUNDDOWN((O$59-$B63)/Aggressive!$D$24,0)&lt;4,0.875,0.9375)))))+HLOOKUP($B63,$C$59:$Q$60,2,FALSE)*Aggressive!$C$25*(1-IF(ROUNDDOWN((O$59-$B63)/Aggressive!$D$25,0)&lt;1,0,IF(ROUNDDOWN((O$59-$B63)/Aggressive!$D$25,0)&lt;2,0.5,IF(ROUNDDOWN((O$59-$B63)/Aggressive!$D$25,0)&lt;3,0.75,IF(ROUNDDOWN((O$59-$B63)/Aggressive!$D$25,0)&lt;4,0.875,0.9375)))))+HLOOKUP($B63,$C$59:$Q$60,2,FALSE)*Aggressive!$C$26*(1-IF(ROUNDDOWN((O$59-$B63)/Aggressive!$D$26,0)&lt;1,0,IF(ROUNDDOWN((O$59-$B63)/Aggressive!$D$26,0)&lt;2,0.5,IF(ROUNDDOWN((O$59-$B63)/Aggressive!$D$26,0)&lt;3,0.75,IF(ROUNDDOWN((O$59-$B63)/Aggressive!$D$26,0)&lt;4,0.875,0.9375)))))+HLOOKUP($B63,$C$59:$Q$60,2,FALSE)*Aggressive!$C$27*(1-IF(ROUNDDOWN((O$59-$B63)/Aggressive!$D$27,0)&lt;1,0,IF(ROUNDDOWN((O$59-$B63)/Aggressive!$D$27,0)&lt;2,0.5,IF(ROUNDDOWN((O$59-$B63)/Aggressive!$D$27,0)&lt;3,0.75,IF(ROUNDDOWN((O$59-$B63)/Aggressive!$D$27,0)&lt;4,0.875,0.9375)))))+HLOOKUP($B63,$C$59:$Q$60,2,FALSE)*Aggressive!$C$28*(1-IF(ROUNDDOWN((O$59-$B63)/Aggressive!$D$28,0)&lt;1,0,IF(ROUNDDOWN((O$59-$B63)/Aggressive!$D$28,0)&lt;2,0.5,IF(ROUNDDOWN((O$59-$B63)/Aggressive!$D$28,0)&lt;3,0.75,IF(ROUNDDOWN((O$59-$B63)/Aggressive!$D$28,0)&lt;4,0.875,0.9375)))))</f>
        <v>0</v>
      </c>
      <c r="P63" s="135">
        <f>HLOOKUP($B63,$C$59:$Q$60,2,FALSE)*Aggressive!$C$23*(1-IF(ROUNDDOWN((P$59-$B63)/Aggressive!$D$23,0)&lt;1,0,IF(ROUNDDOWN((P$59-$B63)/Aggressive!$D$23,0)&lt;2,0.5,IF(ROUNDDOWN((P$59-$B63)/Aggressive!$D$23,0)&lt;3,0.75,IF(ROUNDDOWN((P$59-$B63)/Aggressive!$D$23,0)&lt;4,0.875,0.9375)))))+HLOOKUP($B63,$C$59:$Q$60,2,FALSE)*Aggressive!$C$24*(1-IF(ROUNDDOWN((P$59-$B63)/Aggressive!$D$24,0)&lt;1,0,IF(ROUNDDOWN((P$59-$B63)/Aggressive!$D$24,0)&lt;2,0.5,IF(ROUNDDOWN((P$59-$B63)/Aggressive!$D$24,0)&lt;3,0.75,IF(ROUNDDOWN((P$59-$B63)/Aggressive!$D$24,0)&lt;4,0.875,0.9375)))))+HLOOKUP($B63,$C$59:$Q$60,2,FALSE)*Aggressive!$C$25*(1-IF(ROUNDDOWN((P$59-$B63)/Aggressive!$D$25,0)&lt;1,0,IF(ROUNDDOWN((P$59-$B63)/Aggressive!$D$25,0)&lt;2,0.5,IF(ROUNDDOWN((P$59-$B63)/Aggressive!$D$25,0)&lt;3,0.75,IF(ROUNDDOWN((P$59-$B63)/Aggressive!$D$25,0)&lt;4,0.875,0.9375)))))+HLOOKUP($B63,$C$59:$Q$60,2,FALSE)*Aggressive!$C$26*(1-IF(ROUNDDOWN((P$59-$B63)/Aggressive!$D$26,0)&lt;1,0,IF(ROUNDDOWN((P$59-$B63)/Aggressive!$D$26,0)&lt;2,0.5,IF(ROUNDDOWN((P$59-$B63)/Aggressive!$D$26,0)&lt;3,0.75,IF(ROUNDDOWN((P$59-$B63)/Aggressive!$D$26,0)&lt;4,0.875,0.9375)))))+HLOOKUP($B63,$C$59:$Q$60,2,FALSE)*Aggressive!$C$27*(1-IF(ROUNDDOWN((P$59-$B63)/Aggressive!$D$27,0)&lt;1,0,IF(ROUNDDOWN((P$59-$B63)/Aggressive!$D$27,0)&lt;2,0.5,IF(ROUNDDOWN((P$59-$B63)/Aggressive!$D$27,0)&lt;3,0.75,IF(ROUNDDOWN((P$59-$B63)/Aggressive!$D$27,0)&lt;4,0.875,0.9375)))))+HLOOKUP($B63,$C$59:$Q$60,2,FALSE)*Aggressive!$C$28*(1-IF(ROUNDDOWN((P$59-$B63)/Aggressive!$D$28,0)&lt;1,0,IF(ROUNDDOWN((P$59-$B63)/Aggressive!$D$28,0)&lt;2,0.5,IF(ROUNDDOWN((P$59-$B63)/Aggressive!$D$28,0)&lt;3,0.75,IF(ROUNDDOWN((P$59-$B63)/Aggressive!$D$28,0)&lt;4,0.875,0.9375)))))</f>
        <v>0</v>
      </c>
      <c r="Q63" s="135">
        <f>HLOOKUP($B63,$C$59:$Q$60,2,FALSE)*Aggressive!$C$23*(1-IF(ROUNDDOWN((Q$59-$B63)/Aggressive!$D$23,0)&lt;1,0,IF(ROUNDDOWN((Q$59-$B63)/Aggressive!$D$23,0)&lt;2,0.5,IF(ROUNDDOWN((Q$59-$B63)/Aggressive!$D$23,0)&lt;3,0.75,IF(ROUNDDOWN((Q$59-$B63)/Aggressive!$D$23,0)&lt;4,0.875,0.9375)))))+HLOOKUP($B63,$C$59:$Q$60,2,FALSE)*Aggressive!$C$24*(1-IF(ROUNDDOWN((Q$59-$B63)/Aggressive!$D$24,0)&lt;1,0,IF(ROUNDDOWN((Q$59-$B63)/Aggressive!$D$24,0)&lt;2,0.5,IF(ROUNDDOWN((Q$59-$B63)/Aggressive!$D$24,0)&lt;3,0.75,IF(ROUNDDOWN((Q$59-$B63)/Aggressive!$D$24,0)&lt;4,0.875,0.9375)))))+HLOOKUP($B63,$C$59:$Q$60,2,FALSE)*Aggressive!$C$25*(1-IF(ROUNDDOWN((Q$59-$B63)/Aggressive!$D$25,0)&lt;1,0,IF(ROUNDDOWN((Q$59-$B63)/Aggressive!$D$25,0)&lt;2,0.5,IF(ROUNDDOWN((Q$59-$B63)/Aggressive!$D$25,0)&lt;3,0.75,IF(ROUNDDOWN((Q$59-$B63)/Aggressive!$D$25,0)&lt;4,0.875,0.9375)))))+HLOOKUP($B63,$C$59:$Q$60,2,FALSE)*Aggressive!$C$26*(1-IF(ROUNDDOWN((Q$59-$B63)/Aggressive!$D$26,0)&lt;1,0,IF(ROUNDDOWN((Q$59-$B63)/Aggressive!$D$26,0)&lt;2,0.5,IF(ROUNDDOWN((Q$59-$B63)/Aggressive!$D$26,0)&lt;3,0.75,IF(ROUNDDOWN((Q$59-$B63)/Aggressive!$D$26,0)&lt;4,0.875,0.9375)))))+HLOOKUP($B63,$C$59:$Q$60,2,FALSE)*Aggressive!$C$27*(1-IF(ROUNDDOWN((Q$59-$B63)/Aggressive!$D$27,0)&lt;1,0,IF(ROUNDDOWN((Q$59-$B63)/Aggressive!$D$27,0)&lt;2,0.5,IF(ROUNDDOWN((Q$59-$B63)/Aggressive!$D$27,0)&lt;3,0.75,IF(ROUNDDOWN((Q$59-$B63)/Aggressive!$D$27,0)&lt;4,0.875,0.9375)))))+HLOOKUP($B63,$C$59:$Q$60,2,FALSE)*Aggressive!$C$28*(1-IF(ROUNDDOWN((Q$59-$B63)/Aggressive!$D$28,0)&lt;1,0,IF(ROUNDDOWN((Q$59-$B63)/Aggressive!$D$28,0)&lt;2,0.5,IF(ROUNDDOWN((Q$59-$B63)/Aggressive!$D$28,0)&lt;3,0.75,IF(ROUNDDOWN((Q$59-$B63)/Aggressive!$D$28,0)&lt;4,0.875,0.9375)))))</f>
        <v>0</v>
      </c>
      <c r="R63" s="50"/>
    </row>
    <row r="64" spans="2:18" x14ac:dyDescent="0.3">
      <c r="B64" s="237">
        <f t="shared" ref="B64:B77" si="14">B63+1</f>
        <v>2016</v>
      </c>
      <c r="C64" s="135"/>
      <c r="D64" s="135">
        <f>HLOOKUP($B64,$C$59:$Q$60,2,FALSE)*Aggressive!$C$23*(1-IF(ROUNDDOWN((D$59-$B64)/Aggressive!$D$23,0)&lt;1,0,IF(ROUNDDOWN((D$59-$B64)/Aggressive!$D$23,0)&lt;2,0.5,IF(ROUNDDOWN((D$59-$B64)/Aggressive!$D$23,0)&lt;3,0.75,IF(ROUNDDOWN((D$59-$B64)/Aggressive!$D$23,0)&lt;4,0.875,0.9375)))))+HLOOKUP($B64,$C$59:$Q$60,2,FALSE)*Aggressive!$C$24*(1-IF(ROUNDDOWN((D$59-$B64)/Aggressive!$D$24,0)&lt;1,0,IF(ROUNDDOWN((D$59-$B64)/Aggressive!$D$24,0)&lt;2,0.5,IF(ROUNDDOWN((D$59-$B64)/Aggressive!$D$24,0)&lt;3,0.75,IF(ROUNDDOWN((D$59-$B64)/Aggressive!$D$24,0)&lt;4,0.875,0.9375)))))+HLOOKUP($B64,$C$59:$Q$60,2,FALSE)*Aggressive!$C$25*(1-IF(ROUNDDOWN((D$59-$B64)/Aggressive!$D$25,0)&lt;1,0,IF(ROUNDDOWN((D$59-$B64)/Aggressive!$D$25,0)&lt;2,0.5,IF(ROUNDDOWN((D$59-$B64)/Aggressive!$D$25,0)&lt;3,0.75,IF(ROUNDDOWN((D$59-$B64)/Aggressive!$D$25,0)&lt;4,0.875,0.9375)))))+HLOOKUP($B64,$C$59:$Q$60,2,FALSE)*Aggressive!$C$26*(1-IF(ROUNDDOWN((D$59-$B64)/Aggressive!$D$26,0)&lt;1,0,IF(ROUNDDOWN((D$59-$B64)/Aggressive!$D$26,0)&lt;2,0.5,IF(ROUNDDOWN((D$59-$B64)/Aggressive!$D$26,0)&lt;3,0.75,IF(ROUNDDOWN((D$59-$B64)/Aggressive!$D$26,0)&lt;4,0.875,0.9375)))))+HLOOKUP($B64,$C$59:$Q$60,2,FALSE)*Aggressive!$C$27*(1-IF(ROUNDDOWN((D$59-$B64)/Aggressive!$D$27,0)&lt;1,0,IF(ROUNDDOWN((D$59-$B64)/Aggressive!$D$27,0)&lt;2,0.5,IF(ROUNDDOWN((D$59-$B64)/Aggressive!$D$27,0)&lt;3,0.75,IF(ROUNDDOWN((D$59-$B64)/Aggressive!$D$27,0)&lt;4,0.875,0.9375)))))+HLOOKUP($B64,$C$59:$Q$60,2,FALSE)*Aggressive!$C$28*(1-IF(ROUNDDOWN((D$59-$B64)/Aggressive!$D$28,0)&lt;1,0,IF(ROUNDDOWN((D$59-$B64)/Aggressive!$D$28,0)&lt;2,0.5,IF(ROUNDDOWN((D$59-$B64)/Aggressive!$D$28,0)&lt;3,0.75,IF(ROUNDDOWN((D$59-$B64)/Aggressive!$D$28,0)&lt;4,0.875,0.9375)))))</f>
        <v>0</v>
      </c>
      <c r="E64" s="135">
        <f>HLOOKUP($B64,$C$59:$Q$60,2,FALSE)*Aggressive!$C$23*(1-IF(ROUNDDOWN((E$59-$B64)/Aggressive!$D$23,0)&lt;1,0,IF(ROUNDDOWN((E$59-$B64)/Aggressive!$D$23,0)&lt;2,0.5,IF(ROUNDDOWN((E$59-$B64)/Aggressive!$D$23,0)&lt;3,0.75,IF(ROUNDDOWN((E$59-$B64)/Aggressive!$D$23,0)&lt;4,0.875,0.9375)))))+HLOOKUP($B64,$C$59:$Q$60,2,FALSE)*Aggressive!$C$24*(1-IF(ROUNDDOWN((E$59-$B64)/Aggressive!$D$24,0)&lt;1,0,IF(ROUNDDOWN((E$59-$B64)/Aggressive!$D$24,0)&lt;2,0.5,IF(ROUNDDOWN((E$59-$B64)/Aggressive!$D$24,0)&lt;3,0.75,IF(ROUNDDOWN((E$59-$B64)/Aggressive!$D$24,0)&lt;4,0.875,0.9375)))))+HLOOKUP($B64,$C$59:$Q$60,2,FALSE)*Aggressive!$C$25*(1-IF(ROUNDDOWN((E$59-$B64)/Aggressive!$D$25,0)&lt;1,0,IF(ROUNDDOWN((E$59-$B64)/Aggressive!$D$25,0)&lt;2,0.5,IF(ROUNDDOWN((E$59-$B64)/Aggressive!$D$25,0)&lt;3,0.75,IF(ROUNDDOWN((E$59-$B64)/Aggressive!$D$25,0)&lt;4,0.875,0.9375)))))+HLOOKUP($B64,$C$59:$Q$60,2,FALSE)*Aggressive!$C$26*(1-IF(ROUNDDOWN((E$59-$B64)/Aggressive!$D$26,0)&lt;1,0,IF(ROUNDDOWN((E$59-$B64)/Aggressive!$D$26,0)&lt;2,0.5,IF(ROUNDDOWN((E$59-$B64)/Aggressive!$D$26,0)&lt;3,0.75,IF(ROUNDDOWN((E$59-$B64)/Aggressive!$D$26,0)&lt;4,0.875,0.9375)))))+HLOOKUP($B64,$C$59:$Q$60,2,FALSE)*Aggressive!$C$27*(1-IF(ROUNDDOWN((E$59-$B64)/Aggressive!$D$27,0)&lt;1,0,IF(ROUNDDOWN((E$59-$B64)/Aggressive!$D$27,0)&lt;2,0.5,IF(ROUNDDOWN((E$59-$B64)/Aggressive!$D$27,0)&lt;3,0.75,IF(ROUNDDOWN((E$59-$B64)/Aggressive!$D$27,0)&lt;4,0.875,0.9375)))))+HLOOKUP($B64,$C$59:$Q$60,2,FALSE)*Aggressive!$C$28*(1-IF(ROUNDDOWN((E$59-$B64)/Aggressive!$D$28,0)&lt;1,0,IF(ROUNDDOWN((E$59-$B64)/Aggressive!$D$28,0)&lt;2,0.5,IF(ROUNDDOWN((E$59-$B64)/Aggressive!$D$28,0)&lt;3,0.75,IF(ROUNDDOWN((E$59-$B64)/Aggressive!$D$28,0)&lt;4,0.875,0.9375)))))</f>
        <v>0</v>
      </c>
      <c r="F64" s="135">
        <f>HLOOKUP($B64,$C$59:$Q$60,2,FALSE)*Aggressive!$C$23*(1-IF(ROUNDDOWN((F$59-$B64)/Aggressive!$D$23,0)&lt;1,0,IF(ROUNDDOWN((F$59-$B64)/Aggressive!$D$23,0)&lt;2,0.5,IF(ROUNDDOWN((F$59-$B64)/Aggressive!$D$23,0)&lt;3,0.75,IF(ROUNDDOWN((F$59-$B64)/Aggressive!$D$23,0)&lt;4,0.875,0.9375)))))+HLOOKUP($B64,$C$59:$Q$60,2,FALSE)*Aggressive!$C$24*(1-IF(ROUNDDOWN((F$59-$B64)/Aggressive!$D$24,0)&lt;1,0,IF(ROUNDDOWN((F$59-$B64)/Aggressive!$D$24,0)&lt;2,0.5,IF(ROUNDDOWN((F$59-$B64)/Aggressive!$D$24,0)&lt;3,0.75,IF(ROUNDDOWN((F$59-$B64)/Aggressive!$D$24,0)&lt;4,0.875,0.9375)))))+HLOOKUP($B64,$C$59:$Q$60,2,FALSE)*Aggressive!$C$25*(1-IF(ROUNDDOWN((F$59-$B64)/Aggressive!$D$25,0)&lt;1,0,IF(ROUNDDOWN((F$59-$B64)/Aggressive!$D$25,0)&lt;2,0.5,IF(ROUNDDOWN((F$59-$B64)/Aggressive!$D$25,0)&lt;3,0.75,IF(ROUNDDOWN((F$59-$B64)/Aggressive!$D$25,0)&lt;4,0.875,0.9375)))))+HLOOKUP($B64,$C$59:$Q$60,2,FALSE)*Aggressive!$C$26*(1-IF(ROUNDDOWN((F$59-$B64)/Aggressive!$D$26,0)&lt;1,0,IF(ROUNDDOWN((F$59-$B64)/Aggressive!$D$26,0)&lt;2,0.5,IF(ROUNDDOWN((F$59-$B64)/Aggressive!$D$26,0)&lt;3,0.75,IF(ROUNDDOWN((F$59-$B64)/Aggressive!$D$26,0)&lt;4,0.875,0.9375)))))+HLOOKUP($B64,$C$59:$Q$60,2,FALSE)*Aggressive!$C$27*(1-IF(ROUNDDOWN((F$59-$B64)/Aggressive!$D$27,0)&lt;1,0,IF(ROUNDDOWN((F$59-$B64)/Aggressive!$D$27,0)&lt;2,0.5,IF(ROUNDDOWN((F$59-$B64)/Aggressive!$D$27,0)&lt;3,0.75,IF(ROUNDDOWN((F$59-$B64)/Aggressive!$D$27,0)&lt;4,0.875,0.9375)))))+HLOOKUP($B64,$C$59:$Q$60,2,FALSE)*Aggressive!$C$28*(1-IF(ROUNDDOWN((F$59-$B64)/Aggressive!$D$28,0)&lt;1,0,IF(ROUNDDOWN((F$59-$B64)/Aggressive!$D$28,0)&lt;2,0.5,IF(ROUNDDOWN((F$59-$B64)/Aggressive!$D$28,0)&lt;3,0.75,IF(ROUNDDOWN((F$59-$B64)/Aggressive!$D$28,0)&lt;4,0.875,0.9375)))))</f>
        <v>0</v>
      </c>
      <c r="G64" s="135">
        <f>HLOOKUP($B64,$C$59:$Q$60,2,FALSE)*Aggressive!$C$23*(1-IF(ROUNDDOWN((G$59-$B64)/Aggressive!$D$23,0)&lt;1,0,IF(ROUNDDOWN((G$59-$B64)/Aggressive!$D$23,0)&lt;2,0.5,IF(ROUNDDOWN((G$59-$B64)/Aggressive!$D$23,0)&lt;3,0.75,IF(ROUNDDOWN((G$59-$B64)/Aggressive!$D$23,0)&lt;4,0.875,0.9375)))))+HLOOKUP($B64,$C$59:$Q$60,2,FALSE)*Aggressive!$C$24*(1-IF(ROUNDDOWN((G$59-$B64)/Aggressive!$D$24,0)&lt;1,0,IF(ROUNDDOWN((G$59-$B64)/Aggressive!$D$24,0)&lt;2,0.5,IF(ROUNDDOWN((G$59-$B64)/Aggressive!$D$24,0)&lt;3,0.75,IF(ROUNDDOWN((G$59-$B64)/Aggressive!$D$24,0)&lt;4,0.875,0.9375)))))+HLOOKUP($B64,$C$59:$Q$60,2,FALSE)*Aggressive!$C$25*(1-IF(ROUNDDOWN((G$59-$B64)/Aggressive!$D$25,0)&lt;1,0,IF(ROUNDDOWN((G$59-$B64)/Aggressive!$D$25,0)&lt;2,0.5,IF(ROUNDDOWN((G$59-$B64)/Aggressive!$D$25,0)&lt;3,0.75,IF(ROUNDDOWN((G$59-$B64)/Aggressive!$D$25,0)&lt;4,0.875,0.9375)))))+HLOOKUP($B64,$C$59:$Q$60,2,FALSE)*Aggressive!$C$26*(1-IF(ROUNDDOWN((G$59-$B64)/Aggressive!$D$26,0)&lt;1,0,IF(ROUNDDOWN((G$59-$B64)/Aggressive!$D$26,0)&lt;2,0.5,IF(ROUNDDOWN((G$59-$B64)/Aggressive!$D$26,0)&lt;3,0.75,IF(ROUNDDOWN((G$59-$B64)/Aggressive!$D$26,0)&lt;4,0.875,0.9375)))))+HLOOKUP($B64,$C$59:$Q$60,2,FALSE)*Aggressive!$C$27*(1-IF(ROUNDDOWN((G$59-$B64)/Aggressive!$D$27,0)&lt;1,0,IF(ROUNDDOWN((G$59-$B64)/Aggressive!$D$27,0)&lt;2,0.5,IF(ROUNDDOWN((G$59-$B64)/Aggressive!$D$27,0)&lt;3,0.75,IF(ROUNDDOWN((G$59-$B64)/Aggressive!$D$27,0)&lt;4,0.875,0.9375)))))+HLOOKUP($B64,$C$59:$Q$60,2,FALSE)*Aggressive!$C$28*(1-IF(ROUNDDOWN((G$59-$B64)/Aggressive!$D$28,0)&lt;1,0,IF(ROUNDDOWN((G$59-$B64)/Aggressive!$D$28,0)&lt;2,0.5,IF(ROUNDDOWN((G$59-$B64)/Aggressive!$D$28,0)&lt;3,0.75,IF(ROUNDDOWN((G$59-$B64)/Aggressive!$D$28,0)&lt;4,0.875,0.9375)))))</f>
        <v>0</v>
      </c>
      <c r="H64" s="135">
        <f>HLOOKUP($B64,$C$59:$Q$60,2,FALSE)*Aggressive!$C$23*(1-IF(ROUNDDOWN((H$59-$B64)/Aggressive!$D$23,0)&lt;1,0,IF(ROUNDDOWN((H$59-$B64)/Aggressive!$D$23,0)&lt;2,0.5,IF(ROUNDDOWN((H$59-$B64)/Aggressive!$D$23,0)&lt;3,0.75,IF(ROUNDDOWN((H$59-$B64)/Aggressive!$D$23,0)&lt;4,0.875,0.9375)))))+HLOOKUP($B64,$C$59:$Q$60,2,FALSE)*Aggressive!$C$24*(1-IF(ROUNDDOWN((H$59-$B64)/Aggressive!$D$24,0)&lt;1,0,IF(ROUNDDOWN((H$59-$B64)/Aggressive!$D$24,0)&lt;2,0.5,IF(ROUNDDOWN((H$59-$B64)/Aggressive!$D$24,0)&lt;3,0.75,IF(ROUNDDOWN((H$59-$B64)/Aggressive!$D$24,0)&lt;4,0.875,0.9375)))))+HLOOKUP($B64,$C$59:$Q$60,2,FALSE)*Aggressive!$C$25*(1-IF(ROUNDDOWN((H$59-$B64)/Aggressive!$D$25,0)&lt;1,0,IF(ROUNDDOWN((H$59-$B64)/Aggressive!$D$25,0)&lt;2,0.5,IF(ROUNDDOWN((H$59-$B64)/Aggressive!$D$25,0)&lt;3,0.75,IF(ROUNDDOWN((H$59-$B64)/Aggressive!$D$25,0)&lt;4,0.875,0.9375)))))+HLOOKUP($B64,$C$59:$Q$60,2,FALSE)*Aggressive!$C$26*(1-IF(ROUNDDOWN((H$59-$B64)/Aggressive!$D$26,0)&lt;1,0,IF(ROUNDDOWN((H$59-$B64)/Aggressive!$D$26,0)&lt;2,0.5,IF(ROUNDDOWN((H$59-$B64)/Aggressive!$D$26,0)&lt;3,0.75,IF(ROUNDDOWN((H$59-$B64)/Aggressive!$D$26,0)&lt;4,0.875,0.9375)))))+HLOOKUP($B64,$C$59:$Q$60,2,FALSE)*Aggressive!$C$27*(1-IF(ROUNDDOWN((H$59-$B64)/Aggressive!$D$27,0)&lt;1,0,IF(ROUNDDOWN((H$59-$B64)/Aggressive!$D$27,0)&lt;2,0.5,IF(ROUNDDOWN((H$59-$B64)/Aggressive!$D$27,0)&lt;3,0.75,IF(ROUNDDOWN((H$59-$B64)/Aggressive!$D$27,0)&lt;4,0.875,0.9375)))))+HLOOKUP($B64,$C$59:$Q$60,2,FALSE)*Aggressive!$C$28*(1-IF(ROUNDDOWN((H$59-$B64)/Aggressive!$D$28,0)&lt;1,0,IF(ROUNDDOWN((H$59-$B64)/Aggressive!$D$28,0)&lt;2,0.5,IF(ROUNDDOWN((H$59-$B64)/Aggressive!$D$28,0)&lt;3,0.75,IF(ROUNDDOWN((H$59-$B64)/Aggressive!$D$28,0)&lt;4,0.875,0.9375)))))</f>
        <v>0</v>
      </c>
      <c r="I64" s="135">
        <f>HLOOKUP($B64,$C$59:$Q$60,2,FALSE)*Aggressive!$C$23*(1-IF(ROUNDDOWN((I$59-$B64)/Aggressive!$D$23,0)&lt;1,0,IF(ROUNDDOWN((I$59-$B64)/Aggressive!$D$23,0)&lt;2,0.5,IF(ROUNDDOWN((I$59-$B64)/Aggressive!$D$23,0)&lt;3,0.75,IF(ROUNDDOWN((I$59-$B64)/Aggressive!$D$23,0)&lt;4,0.875,0.9375)))))+HLOOKUP($B64,$C$59:$Q$60,2,FALSE)*Aggressive!$C$24*(1-IF(ROUNDDOWN((I$59-$B64)/Aggressive!$D$24,0)&lt;1,0,IF(ROUNDDOWN((I$59-$B64)/Aggressive!$D$24,0)&lt;2,0.5,IF(ROUNDDOWN((I$59-$B64)/Aggressive!$D$24,0)&lt;3,0.75,IF(ROUNDDOWN((I$59-$B64)/Aggressive!$D$24,0)&lt;4,0.875,0.9375)))))+HLOOKUP($B64,$C$59:$Q$60,2,FALSE)*Aggressive!$C$25*(1-IF(ROUNDDOWN((I$59-$B64)/Aggressive!$D$25,0)&lt;1,0,IF(ROUNDDOWN((I$59-$B64)/Aggressive!$D$25,0)&lt;2,0.5,IF(ROUNDDOWN((I$59-$B64)/Aggressive!$D$25,0)&lt;3,0.75,IF(ROUNDDOWN((I$59-$B64)/Aggressive!$D$25,0)&lt;4,0.875,0.9375)))))+HLOOKUP($B64,$C$59:$Q$60,2,FALSE)*Aggressive!$C$26*(1-IF(ROUNDDOWN((I$59-$B64)/Aggressive!$D$26,0)&lt;1,0,IF(ROUNDDOWN((I$59-$B64)/Aggressive!$D$26,0)&lt;2,0.5,IF(ROUNDDOWN((I$59-$B64)/Aggressive!$D$26,0)&lt;3,0.75,IF(ROUNDDOWN((I$59-$B64)/Aggressive!$D$26,0)&lt;4,0.875,0.9375)))))+HLOOKUP($B64,$C$59:$Q$60,2,FALSE)*Aggressive!$C$27*(1-IF(ROUNDDOWN((I$59-$B64)/Aggressive!$D$27,0)&lt;1,0,IF(ROUNDDOWN((I$59-$B64)/Aggressive!$D$27,0)&lt;2,0.5,IF(ROUNDDOWN((I$59-$B64)/Aggressive!$D$27,0)&lt;3,0.75,IF(ROUNDDOWN((I$59-$B64)/Aggressive!$D$27,0)&lt;4,0.875,0.9375)))))+HLOOKUP($B64,$C$59:$Q$60,2,FALSE)*Aggressive!$C$28*(1-IF(ROUNDDOWN((I$59-$B64)/Aggressive!$D$28,0)&lt;1,0,IF(ROUNDDOWN((I$59-$B64)/Aggressive!$D$28,0)&lt;2,0.5,IF(ROUNDDOWN((I$59-$B64)/Aggressive!$D$28,0)&lt;3,0.75,IF(ROUNDDOWN((I$59-$B64)/Aggressive!$D$28,0)&lt;4,0.875,0.9375)))))</f>
        <v>0</v>
      </c>
      <c r="J64" s="135">
        <f>HLOOKUP($B64,$C$59:$Q$60,2,FALSE)*Aggressive!$C$23*(1-IF(ROUNDDOWN((J$59-$B64)/Aggressive!$D$23,0)&lt;1,0,IF(ROUNDDOWN((J$59-$B64)/Aggressive!$D$23,0)&lt;2,0.5,IF(ROUNDDOWN((J$59-$B64)/Aggressive!$D$23,0)&lt;3,0.75,IF(ROUNDDOWN((J$59-$B64)/Aggressive!$D$23,0)&lt;4,0.875,0.9375)))))+HLOOKUP($B64,$C$59:$Q$60,2,FALSE)*Aggressive!$C$24*(1-IF(ROUNDDOWN((J$59-$B64)/Aggressive!$D$24,0)&lt;1,0,IF(ROUNDDOWN((J$59-$B64)/Aggressive!$D$24,0)&lt;2,0.5,IF(ROUNDDOWN((J$59-$B64)/Aggressive!$D$24,0)&lt;3,0.75,IF(ROUNDDOWN((J$59-$B64)/Aggressive!$D$24,0)&lt;4,0.875,0.9375)))))+HLOOKUP($B64,$C$59:$Q$60,2,FALSE)*Aggressive!$C$25*(1-IF(ROUNDDOWN((J$59-$B64)/Aggressive!$D$25,0)&lt;1,0,IF(ROUNDDOWN((J$59-$B64)/Aggressive!$D$25,0)&lt;2,0.5,IF(ROUNDDOWN((J$59-$B64)/Aggressive!$D$25,0)&lt;3,0.75,IF(ROUNDDOWN((J$59-$B64)/Aggressive!$D$25,0)&lt;4,0.875,0.9375)))))+HLOOKUP($B64,$C$59:$Q$60,2,FALSE)*Aggressive!$C$26*(1-IF(ROUNDDOWN((J$59-$B64)/Aggressive!$D$26,0)&lt;1,0,IF(ROUNDDOWN((J$59-$B64)/Aggressive!$D$26,0)&lt;2,0.5,IF(ROUNDDOWN((J$59-$B64)/Aggressive!$D$26,0)&lt;3,0.75,IF(ROUNDDOWN((J$59-$B64)/Aggressive!$D$26,0)&lt;4,0.875,0.9375)))))+HLOOKUP($B64,$C$59:$Q$60,2,FALSE)*Aggressive!$C$27*(1-IF(ROUNDDOWN((J$59-$B64)/Aggressive!$D$27,0)&lt;1,0,IF(ROUNDDOWN((J$59-$B64)/Aggressive!$D$27,0)&lt;2,0.5,IF(ROUNDDOWN((J$59-$B64)/Aggressive!$D$27,0)&lt;3,0.75,IF(ROUNDDOWN((J$59-$B64)/Aggressive!$D$27,0)&lt;4,0.875,0.9375)))))+HLOOKUP($B64,$C$59:$Q$60,2,FALSE)*Aggressive!$C$28*(1-IF(ROUNDDOWN((J$59-$B64)/Aggressive!$D$28,0)&lt;1,0,IF(ROUNDDOWN((J$59-$B64)/Aggressive!$D$28,0)&lt;2,0.5,IF(ROUNDDOWN((J$59-$B64)/Aggressive!$D$28,0)&lt;3,0.75,IF(ROUNDDOWN((J$59-$B64)/Aggressive!$D$28,0)&lt;4,0.875,0.9375)))))</f>
        <v>0</v>
      </c>
      <c r="K64" s="135">
        <f>HLOOKUP($B64,$C$59:$Q$60,2,FALSE)*Aggressive!$C$23*(1-IF(ROUNDDOWN((K$59-$B64)/Aggressive!$D$23,0)&lt;1,0,IF(ROUNDDOWN((K$59-$B64)/Aggressive!$D$23,0)&lt;2,0.5,IF(ROUNDDOWN((K$59-$B64)/Aggressive!$D$23,0)&lt;3,0.75,IF(ROUNDDOWN((K$59-$B64)/Aggressive!$D$23,0)&lt;4,0.875,0.9375)))))+HLOOKUP($B64,$C$59:$Q$60,2,FALSE)*Aggressive!$C$24*(1-IF(ROUNDDOWN((K$59-$B64)/Aggressive!$D$24,0)&lt;1,0,IF(ROUNDDOWN((K$59-$B64)/Aggressive!$D$24,0)&lt;2,0.5,IF(ROUNDDOWN((K$59-$B64)/Aggressive!$D$24,0)&lt;3,0.75,IF(ROUNDDOWN((K$59-$B64)/Aggressive!$D$24,0)&lt;4,0.875,0.9375)))))+HLOOKUP($B64,$C$59:$Q$60,2,FALSE)*Aggressive!$C$25*(1-IF(ROUNDDOWN((K$59-$B64)/Aggressive!$D$25,0)&lt;1,0,IF(ROUNDDOWN((K$59-$B64)/Aggressive!$D$25,0)&lt;2,0.5,IF(ROUNDDOWN((K$59-$B64)/Aggressive!$D$25,0)&lt;3,0.75,IF(ROUNDDOWN((K$59-$B64)/Aggressive!$D$25,0)&lt;4,0.875,0.9375)))))+HLOOKUP($B64,$C$59:$Q$60,2,FALSE)*Aggressive!$C$26*(1-IF(ROUNDDOWN((K$59-$B64)/Aggressive!$D$26,0)&lt;1,0,IF(ROUNDDOWN((K$59-$B64)/Aggressive!$D$26,0)&lt;2,0.5,IF(ROUNDDOWN((K$59-$B64)/Aggressive!$D$26,0)&lt;3,0.75,IF(ROUNDDOWN((K$59-$B64)/Aggressive!$D$26,0)&lt;4,0.875,0.9375)))))+HLOOKUP($B64,$C$59:$Q$60,2,FALSE)*Aggressive!$C$27*(1-IF(ROUNDDOWN((K$59-$B64)/Aggressive!$D$27,0)&lt;1,0,IF(ROUNDDOWN((K$59-$B64)/Aggressive!$D$27,0)&lt;2,0.5,IF(ROUNDDOWN((K$59-$B64)/Aggressive!$D$27,0)&lt;3,0.75,IF(ROUNDDOWN((K$59-$B64)/Aggressive!$D$27,0)&lt;4,0.875,0.9375)))))+HLOOKUP($B64,$C$59:$Q$60,2,FALSE)*Aggressive!$C$28*(1-IF(ROUNDDOWN((K$59-$B64)/Aggressive!$D$28,0)&lt;1,0,IF(ROUNDDOWN((K$59-$B64)/Aggressive!$D$28,0)&lt;2,0.5,IF(ROUNDDOWN((K$59-$B64)/Aggressive!$D$28,0)&lt;3,0.75,IF(ROUNDDOWN((K$59-$B64)/Aggressive!$D$28,0)&lt;4,0.875,0.9375)))))</f>
        <v>0</v>
      </c>
      <c r="L64" s="135">
        <f>HLOOKUP($B64,$C$59:$Q$60,2,FALSE)*Aggressive!$C$23*(1-IF(ROUNDDOWN((L$59-$B64)/Aggressive!$D$23,0)&lt;1,0,IF(ROUNDDOWN((L$59-$B64)/Aggressive!$D$23,0)&lt;2,0.5,IF(ROUNDDOWN((L$59-$B64)/Aggressive!$D$23,0)&lt;3,0.75,IF(ROUNDDOWN((L$59-$B64)/Aggressive!$D$23,0)&lt;4,0.875,0.9375)))))+HLOOKUP($B64,$C$59:$Q$60,2,FALSE)*Aggressive!$C$24*(1-IF(ROUNDDOWN((L$59-$B64)/Aggressive!$D$24,0)&lt;1,0,IF(ROUNDDOWN((L$59-$B64)/Aggressive!$D$24,0)&lt;2,0.5,IF(ROUNDDOWN((L$59-$B64)/Aggressive!$D$24,0)&lt;3,0.75,IF(ROUNDDOWN((L$59-$B64)/Aggressive!$D$24,0)&lt;4,0.875,0.9375)))))+HLOOKUP($B64,$C$59:$Q$60,2,FALSE)*Aggressive!$C$25*(1-IF(ROUNDDOWN((L$59-$B64)/Aggressive!$D$25,0)&lt;1,0,IF(ROUNDDOWN((L$59-$B64)/Aggressive!$D$25,0)&lt;2,0.5,IF(ROUNDDOWN((L$59-$B64)/Aggressive!$D$25,0)&lt;3,0.75,IF(ROUNDDOWN((L$59-$B64)/Aggressive!$D$25,0)&lt;4,0.875,0.9375)))))+HLOOKUP($B64,$C$59:$Q$60,2,FALSE)*Aggressive!$C$26*(1-IF(ROUNDDOWN((L$59-$B64)/Aggressive!$D$26,0)&lt;1,0,IF(ROUNDDOWN((L$59-$B64)/Aggressive!$D$26,0)&lt;2,0.5,IF(ROUNDDOWN((L$59-$B64)/Aggressive!$D$26,0)&lt;3,0.75,IF(ROUNDDOWN((L$59-$B64)/Aggressive!$D$26,0)&lt;4,0.875,0.9375)))))+HLOOKUP($B64,$C$59:$Q$60,2,FALSE)*Aggressive!$C$27*(1-IF(ROUNDDOWN((L$59-$B64)/Aggressive!$D$27,0)&lt;1,0,IF(ROUNDDOWN((L$59-$B64)/Aggressive!$D$27,0)&lt;2,0.5,IF(ROUNDDOWN((L$59-$B64)/Aggressive!$D$27,0)&lt;3,0.75,IF(ROUNDDOWN((L$59-$B64)/Aggressive!$D$27,0)&lt;4,0.875,0.9375)))))+HLOOKUP($B64,$C$59:$Q$60,2,FALSE)*Aggressive!$C$28*(1-IF(ROUNDDOWN((L$59-$B64)/Aggressive!$D$28,0)&lt;1,0,IF(ROUNDDOWN((L$59-$B64)/Aggressive!$D$28,0)&lt;2,0.5,IF(ROUNDDOWN((L$59-$B64)/Aggressive!$D$28,0)&lt;3,0.75,IF(ROUNDDOWN((L$59-$B64)/Aggressive!$D$28,0)&lt;4,0.875,0.9375)))))</f>
        <v>0</v>
      </c>
      <c r="M64" s="135">
        <f>HLOOKUP($B64,$C$59:$Q$60,2,FALSE)*Aggressive!$C$23*(1-IF(ROUNDDOWN((M$59-$B64)/Aggressive!$D$23,0)&lt;1,0,IF(ROUNDDOWN((M$59-$B64)/Aggressive!$D$23,0)&lt;2,0.5,IF(ROUNDDOWN((M$59-$B64)/Aggressive!$D$23,0)&lt;3,0.75,IF(ROUNDDOWN((M$59-$B64)/Aggressive!$D$23,0)&lt;4,0.875,0.9375)))))+HLOOKUP($B64,$C$59:$Q$60,2,FALSE)*Aggressive!$C$24*(1-IF(ROUNDDOWN((M$59-$B64)/Aggressive!$D$24,0)&lt;1,0,IF(ROUNDDOWN((M$59-$B64)/Aggressive!$D$24,0)&lt;2,0.5,IF(ROUNDDOWN((M$59-$B64)/Aggressive!$D$24,0)&lt;3,0.75,IF(ROUNDDOWN((M$59-$B64)/Aggressive!$D$24,0)&lt;4,0.875,0.9375)))))+HLOOKUP($B64,$C$59:$Q$60,2,FALSE)*Aggressive!$C$25*(1-IF(ROUNDDOWN((M$59-$B64)/Aggressive!$D$25,0)&lt;1,0,IF(ROUNDDOWN((M$59-$B64)/Aggressive!$D$25,0)&lt;2,0.5,IF(ROUNDDOWN((M$59-$B64)/Aggressive!$D$25,0)&lt;3,0.75,IF(ROUNDDOWN((M$59-$B64)/Aggressive!$D$25,0)&lt;4,0.875,0.9375)))))+HLOOKUP($B64,$C$59:$Q$60,2,FALSE)*Aggressive!$C$26*(1-IF(ROUNDDOWN((M$59-$B64)/Aggressive!$D$26,0)&lt;1,0,IF(ROUNDDOWN((M$59-$B64)/Aggressive!$D$26,0)&lt;2,0.5,IF(ROUNDDOWN((M$59-$B64)/Aggressive!$D$26,0)&lt;3,0.75,IF(ROUNDDOWN((M$59-$B64)/Aggressive!$D$26,0)&lt;4,0.875,0.9375)))))+HLOOKUP($B64,$C$59:$Q$60,2,FALSE)*Aggressive!$C$27*(1-IF(ROUNDDOWN((M$59-$B64)/Aggressive!$D$27,0)&lt;1,0,IF(ROUNDDOWN((M$59-$B64)/Aggressive!$D$27,0)&lt;2,0.5,IF(ROUNDDOWN((M$59-$B64)/Aggressive!$D$27,0)&lt;3,0.75,IF(ROUNDDOWN((M$59-$B64)/Aggressive!$D$27,0)&lt;4,0.875,0.9375)))))+HLOOKUP($B64,$C$59:$Q$60,2,FALSE)*Aggressive!$C$28*(1-IF(ROUNDDOWN((M$59-$B64)/Aggressive!$D$28,0)&lt;1,0,IF(ROUNDDOWN((M$59-$B64)/Aggressive!$D$28,0)&lt;2,0.5,IF(ROUNDDOWN((M$59-$B64)/Aggressive!$D$28,0)&lt;3,0.75,IF(ROUNDDOWN((M$59-$B64)/Aggressive!$D$28,0)&lt;4,0.875,0.9375)))))</f>
        <v>0</v>
      </c>
      <c r="N64" s="135">
        <f>HLOOKUP($B64,$C$59:$Q$60,2,FALSE)*Aggressive!$C$23*(1-IF(ROUNDDOWN((N$59-$B64)/Aggressive!$D$23,0)&lt;1,0,IF(ROUNDDOWN((N$59-$B64)/Aggressive!$D$23,0)&lt;2,0.5,IF(ROUNDDOWN((N$59-$B64)/Aggressive!$D$23,0)&lt;3,0.75,IF(ROUNDDOWN((N$59-$B64)/Aggressive!$D$23,0)&lt;4,0.875,0.9375)))))+HLOOKUP($B64,$C$59:$Q$60,2,FALSE)*Aggressive!$C$24*(1-IF(ROUNDDOWN((N$59-$B64)/Aggressive!$D$24,0)&lt;1,0,IF(ROUNDDOWN((N$59-$B64)/Aggressive!$D$24,0)&lt;2,0.5,IF(ROUNDDOWN((N$59-$B64)/Aggressive!$D$24,0)&lt;3,0.75,IF(ROUNDDOWN((N$59-$B64)/Aggressive!$D$24,0)&lt;4,0.875,0.9375)))))+HLOOKUP($B64,$C$59:$Q$60,2,FALSE)*Aggressive!$C$25*(1-IF(ROUNDDOWN((N$59-$B64)/Aggressive!$D$25,0)&lt;1,0,IF(ROUNDDOWN((N$59-$B64)/Aggressive!$D$25,0)&lt;2,0.5,IF(ROUNDDOWN((N$59-$B64)/Aggressive!$D$25,0)&lt;3,0.75,IF(ROUNDDOWN((N$59-$B64)/Aggressive!$D$25,0)&lt;4,0.875,0.9375)))))+HLOOKUP($B64,$C$59:$Q$60,2,FALSE)*Aggressive!$C$26*(1-IF(ROUNDDOWN((N$59-$B64)/Aggressive!$D$26,0)&lt;1,0,IF(ROUNDDOWN((N$59-$B64)/Aggressive!$D$26,0)&lt;2,0.5,IF(ROUNDDOWN((N$59-$B64)/Aggressive!$D$26,0)&lt;3,0.75,IF(ROUNDDOWN((N$59-$B64)/Aggressive!$D$26,0)&lt;4,0.875,0.9375)))))+HLOOKUP($B64,$C$59:$Q$60,2,FALSE)*Aggressive!$C$27*(1-IF(ROUNDDOWN((N$59-$B64)/Aggressive!$D$27,0)&lt;1,0,IF(ROUNDDOWN((N$59-$B64)/Aggressive!$D$27,0)&lt;2,0.5,IF(ROUNDDOWN((N$59-$B64)/Aggressive!$D$27,0)&lt;3,0.75,IF(ROUNDDOWN((N$59-$B64)/Aggressive!$D$27,0)&lt;4,0.875,0.9375)))))+HLOOKUP($B64,$C$59:$Q$60,2,FALSE)*Aggressive!$C$28*(1-IF(ROUNDDOWN((N$59-$B64)/Aggressive!$D$28,0)&lt;1,0,IF(ROUNDDOWN((N$59-$B64)/Aggressive!$D$28,0)&lt;2,0.5,IF(ROUNDDOWN((N$59-$B64)/Aggressive!$D$28,0)&lt;3,0.75,IF(ROUNDDOWN((N$59-$B64)/Aggressive!$D$28,0)&lt;4,0.875,0.9375)))))</f>
        <v>0</v>
      </c>
      <c r="O64" s="135">
        <f>HLOOKUP($B64,$C$59:$Q$60,2,FALSE)*Aggressive!$C$23*(1-IF(ROUNDDOWN((O$59-$B64)/Aggressive!$D$23,0)&lt;1,0,IF(ROUNDDOWN((O$59-$B64)/Aggressive!$D$23,0)&lt;2,0.5,IF(ROUNDDOWN((O$59-$B64)/Aggressive!$D$23,0)&lt;3,0.75,IF(ROUNDDOWN((O$59-$B64)/Aggressive!$D$23,0)&lt;4,0.875,0.9375)))))+HLOOKUP($B64,$C$59:$Q$60,2,FALSE)*Aggressive!$C$24*(1-IF(ROUNDDOWN((O$59-$B64)/Aggressive!$D$24,0)&lt;1,0,IF(ROUNDDOWN((O$59-$B64)/Aggressive!$D$24,0)&lt;2,0.5,IF(ROUNDDOWN((O$59-$B64)/Aggressive!$D$24,0)&lt;3,0.75,IF(ROUNDDOWN((O$59-$B64)/Aggressive!$D$24,0)&lt;4,0.875,0.9375)))))+HLOOKUP($B64,$C$59:$Q$60,2,FALSE)*Aggressive!$C$25*(1-IF(ROUNDDOWN((O$59-$B64)/Aggressive!$D$25,0)&lt;1,0,IF(ROUNDDOWN((O$59-$B64)/Aggressive!$D$25,0)&lt;2,0.5,IF(ROUNDDOWN((O$59-$B64)/Aggressive!$D$25,0)&lt;3,0.75,IF(ROUNDDOWN((O$59-$B64)/Aggressive!$D$25,0)&lt;4,0.875,0.9375)))))+HLOOKUP($B64,$C$59:$Q$60,2,FALSE)*Aggressive!$C$26*(1-IF(ROUNDDOWN((O$59-$B64)/Aggressive!$D$26,0)&lt;1,0,IF(ROUNDDOWN((O$59-$B64)/Aggressive!$D$26,0)&lt;2,0.5,IF(ROUNDDOWN((O$59-$B64)/Aggressive!$D$26,0)&lt;3,0.75,IF(ROUNDDOWN((O$59-$B64)/Aggressive!$D$26,0)&lt;4,0.875,0.9375)))))+HLOOKUP($B64,$C$59:$Q$60,2,FALSE)*Aggressive!$C$27*(1-IF(ROUNDDOWN((O$59-$B64)/Aggressive!$D$27,0)&lt;1,0,IF(ROUNDDOWN((O$59-$B64)/Aggressive!$D$27,0)&lt;2,0.5,IF(ROUNDDOWN((O$59-$B64)/Aggressive!$D$27,0)&lt;3,0.75,IF(ROUNDDOWN((O$59-$B64)/Aggressive!$D$27,0)&lt;4,0.875,0.9375)))))+HLOOKUP($B64,$C$59:$Q$60,2,FALSE)*Aggressive!$C$28*(1-IF(ROUNDDOWN((O$59-$B64)/Aggressive!$D$28,0)&lt;1,0,IF(ROUNDDOWN((O$59-$B64)/Aggressive!$D$28,0)&lt;2,0.5,IF(ROUNDDOWN((O$59-$B64)/Aggressive!$D$28,0)&lt;3,0.75,IF(ROUNDDOWN((O$59-$B64)/Aggressive!$D$28,0)&lt;4,0.875,0.9375)))))</f>
        <v>0</v>
      </c>
      <c r="P64" s="135">
        <f>HLOOKUP($B64,$C$59:$Q$60,2,FALSE)*Aggressive!$C$23*(1-IF(ROUNDDOWN((P$59-$B64)/Aggressive!$D$23,0)&lt;1,0,IF(ROUNDDOWN((P$59-$B64)/Aggressive!$D$23,0)&lt;2,0.5,IF(ROUNDDOWN((P$59-$B64)/Aggressive!$D$23,0)&lt;3,0.75,IF(ROUNDDOWN((P$59-$B64)/Aggressive!$D$23,0)&lt;4,0.875,0.9375)))))+HLOOKUP($B64,$C$59:$Q$60,2,FALSE)*Aggressive!$C$24*(1-IF(ROUNDDOWN((P$59-$B64)/Aggressive!$D$24,0)&lt;1,0,IF(ROUNDDOWN((P$59-$B64)/Aggressive!$D$24,0)&lt;2,0.5,IF(ROUNDDOWN((P$59-$B64)/Aggressive!$D$24,0)&lt;3,0.75,IF(ROUNDDOWN((P$59-$B64)/Aggressive!$D$24,0)&lt;4,0.875,0.9375)))))+HLOOKUP($B64,$C$59:$Q$60,2,FALSE)*Aggressive!$C$25*(1-IF(ROUNDDOWN((P$59-$B64)/Aggressive!$D$25,0)&lt;1,0,IF(ROUNDDOWN((P$59-$B64)/Aggressive!$D$25,0)&lt;2,0.5,IF(ROUNDDOWN((P$59-$B64)/Aggressive!$D$25,0)&lt;3,0.75,IF(ROUNDDOWN((P$59-$B64)/Aggressive!$D$25,0)&lt;4,0.875,0.9375)))))+HLOOKUP($B64,$C$59:$Q$60,2,FALSE)*Aggressive!$C$26*(1-IF(ROUNDDOWN((P$59-$B64)/Aggressive!$D$26,0)&lt;1,0,IF(ROUNDDOWN((P$59-$B64)/Aggressive!$D$26,0)&lt;2,0.5,IF(ROUNDDOWN((P$59-$B64)/Aggressive!$D$26,0)&lt;3,0.75,IF(ROUNDDOWN((P$59-$B64)/Aggressive!$D$26,0)&lt;4,0.875,0.9375)))))+HLOOKUP($B64,$C$59:$Q$60,2,FALSE)*Aggressive!$C$27*(1-IF(ROUNDDOWN((P$59-$B64)/Aggressive!$D$27,0)&lt;1,0,IF(ROUNDDOWN((P$59-$B64)/Aggressive!$D$27,0)&lt;2,0.5,IF(ROUNDDOWN((P$59-$B64)/Aggressive!$D$27,0)&lt;3,0.75,IF(ROUNDDOWN((P$59-$B64)/Aggressive!$D$27,0)&lt;4,0.875,0.9375)))))+HLOOKUP($B64,$C$59:$Q$60,2,FALSE)*Aggressive!$C$28*(1-IF(ROUNDDOWN((P$59-$B64)/Aggressive!$D$28,0)&lt;1,0,IF(ROUNDDOWN((P$59-$B64)/Aggressive!$D$28,0)&lt;2,0.5,IF(ROUNDDOWN((P$59-$B64)/Aggressive!$D$28,0)&lt;3,0.75,IF(ROUNDDOWN((P$59-$B64)/Aggressive!$D$28,0)&lt;4,0.875,0.9375)))))</f>
        <v>0</v>
      </c>
      <c r="Q64" s="135">
        <f>HLOOKUP($B64,$C$59:$Q$60,2,FALSE)*Aggressive!$C$23*(1-IF(ROUNDDOWN((Q$59-$B64)/Aggressive!$D$23,0)&lt;1,0,IF(ROUNDDOWN((Q$59-$B64)/Aggressive!$D$23,0)&lt;2,0.5,IF(ROUNDDOWN((Q$59-$B64)/Aggressive!$D$23,0)&lt;3,0.75,IF(ROUNDDOWN((Q$59-$B64)/Aggressive!$D$23,0)&lt;4,0.875,0.9375)))))+HLOOKUP($B64,$C$59:$Q$60,2,FALSE)*Aggressive!$C$24*(1-IF(ROUNDDOWN((Q$59-$B64)/Aggressive!$D$24,0)&lt;1,0,IF(ROUNDDOWN((Q$59-$B64)/Aggressive!$D$24,0)&lt;2,0.5,IF(ROUNDDOWN((Q$59-$B64)/Aggressive!$D$24,0)&lt;3,0.75,IF(ROUNDDOWN((Q$59-$B64)/Aggressive!$D$24,0)&lt;4,0.875,0.9375)))))+HLOOKUP($B64,$C$59:$Q$60,2,FALSE)*Aggressive!$C$25*(1-IF(ROUNDDOWN((Q$59-$B64)/Aggressive!$D$25,0)&lt;1,0,IF(ROUNDDOWN((Q$59-$B64)/Aggressive!$D$25,0)&lt;2,0.5,IF(ROUNDDOWN((Q$59-$B64)/Aggressive!$D$25,0)&lt;3,0.75,IF(ROUNDDOWN((Q$59-$B64)/Aggressive!$D$25,0)&lt;4,0.875,0.9375)))))+HLOOKUP($B64,$C$59:$Q$60,2,FALSE)*Aggressive!$C$26*(1-IF(ROUNDDOWN((Q$59-$B64)/Aggressive!$D$26,0)&lt;1,0,IF(ROUNDDOWN((Q$59-$B64)/Aggressive!$D$26,0)&lt;2,0.5,IF(ROUNDDOWN((Q$59-$B64)/Aggressive!$D$26,0)&lt;3,0.75,IF(ROUNDDOWN((Q$59-$B64)/Aggressive!$D$26,0)&lt;4,0.875,0.9375)))))+HLOOKUP($B64,$C$59:$Q$60,2,FALSE)*Aggressive!$C$27*(1-IF(ROUNDDOWN((Q$59-$B64)/Aggressive!$D$27,0)&lt;1,0,IF(ROUNDDOWN((Q$59-$B64)/Aggressive!$D$27,0)&lt;2,0.5,IF(ROUNDDOWN((Q$59-$B64)/Aggressive!$D$27,0)&lt;3,0.75,IF(ROUNDDOWN((Q$59-$B64)/Aggressive!$D$27,0)&lt;4,0.875,0.9375)))))+HLOOKUP($B64,$C$59:$Q$60,2,FALSE)*Aggressive!$C$28*(1-IF(ROUNDDOWN((Q$59-$B64)/Aggressive!$D$28,0)&lt;1,0,IF(ROUNDDOWN((Q$59-$B64)/Aggressive!$D$28,0)&lt;2,0.5,IF(ROUNDDOWN((Q$59-$B64)/Aggressive!$D$28,0)&lt;3,0.75,IF(ROUNDDOWN((Q$59-$B64)/Aggressive!$D$28,0)&lt;4,0.875,0.9375)))))</f>
        <v>0</v>
      </c>
      <c r="R64" s="50"/>
    </row>
    <row r="65" spans="2:18" x14ac:dyDescent="0.3">
      <c r="B65" s="237">
        <f t="shared" si="14"/>
        <v>2017</v>
      </c>
      <c r="C65" s="135"/>
      <c r="D65" s="135"/>
      <c r="E65" s="135">
        <f>HLOOKUP($B65,$C$59:$Q$60,2,FALSE)*Aggressive!$C$23*(1-IF(ROUNDDOWN((E$59-$B65)/Aggressive!$D$23,0)&lt;1,0,IF(ROUNDDOWN((E$59-$B65)/Aggressive!$D$23,0)&lt;2,0.5,IF(ROUNDDOWN((E$59-$B65)/Aggressive!$D$23,0)&lt;3,0.75,IF(ROUNDDOWN((E$59-$B65)/Aggressive!$D$23,0)&lt;4,0.875,0.9375)))))+HLOOKUP($B65,$C$59:$Q$60,2,FALSE)*Aggressive!$C$24*(1-IF(ROUNDDOWN((E$59-$B65)/Aggressive!$D$24,0)&lt;1,0,IF(ROUNDDOWN((E$59-$B65)/Aggressive!$D$24,0)&lt;2,0.5,IF(ROUNDDOWN((E$59-$B65)/Aggressive!$D$24,0)&lt;3,0.75,IF(ROUNDDOWN((E$59-$B65)/Aggressive!$D$24,0)&lt;4,0.875,0.9375)))))+HLOOKUP($B65,$C$59:$Q$60,2,FALSE)*Aggressive!$C$25*(1-IF(ROUNDDOWN((E$59-$B65)/Aggressive!$D$25,0)&lt;1,0,IF(ROUNDDOWN((E$59-$B65)/Aggressive!$D$25,0)&lt;2,0.5,IF(ROUNDDOWN((E$59-$B65)/Aggressive!$D$25,0)&lt;3,0.75,IF(ROUNDDOWN((E$59-$B65)/Aggressive!$D$25,0)&lt;4,0.875,0.9375)))))+HLOOKUP($B65,$C$59:$Q$60,2,FALSE)*Aggressive!$C$26*(1-IF(ROUNDDOWN((E$59-$B65)/Aggressive!$D$26,0)&lt;1,0,IF(ROUNDDOWN((E$59-$B65)/Aggressive!$D$26,0)&lt;2,0.5,IF(ROUNDDOWN((E$59-$B65)/Aggressive!$D$26,0)&lt;3,0.75,IF(ROUNDDOWN((E$59-$B65)/Aggressive!$D$26,0)&lt;4,0.875,0.9375)))))+HLOOKUP($B65,$C$59:$Q$60,2,FALSE)*Aggressive!$C$27*(1-IF(ROUNDDOWN((E$59-$B65)/Aggressive!$D$27,0)&lt;1,0,IF(ROUNDDOWN((E$59-$B65)/Aggressive!$D$27,0)&lt;2,0.5,IF(ROUNDDOWN((E$59-$B65)/Aggressive!$D$27,0)&lt;3,0.75,IF(ROUNDDOWN((E$59-$B65)/Aggressive!$D$27,0)&lt;4,0.875,0.9375)))))+HLOOKUP($B65,$C$59:$Q$60,2,FALSE)*Aggressive!$C$28*(1-IF(ROUNDDOWN((E$59-$B65)/Aggressive!$D$28,0)&lt;1,0,IF(ROUNDDOWN((E$59-$B65)/Aggressive!$D$28,0)&lt;2,0.5,IF(ROUNDDOWN((E$59-$B65)/Aggressive!$D$28,0)&lt;3,0.75,IF(ROUNDDOWN((E$59-$B65)/Aggressive!$D$28,0)&lt;4,0.875,0.9375)))))</f>
        <v>0</v>
      </c>
      <c r="F65" s="135">
        <f>HLOOKUP($B65,$C$59:$Q$60,2,FALSE)*Aggressive!$C$23*(1-IF(ROUNDDOWN((F$59-$B65)/Aggressive!$D$23,0)&lt;1,0,IF(ROUNDDOWN((F$59-$B65)/Aggressive!$D$23,0)&lt;2,0.5,IF(ROUNDDOWN((F$59-$B65)/Aggressive!$D$23,0)&lt;3,0.75,IF(ROUNDDOWN((F$59-$B65)/Aggressive!$D$23,0)&lt;4,0.875,0.9375)))))+HLOOKUP($B65,$C$59:$Q$60,2,FALSE)*Aggressive!$C$24*(1-IF(ROUNDDOWN((F$59-$B65)/Aggressive!$D$24,0)&lt;1,0,IF(ROUNDDOWN((F$59-$B65)/Aggressive!$D$24,0)&lt;2,0.5,IF(ROUNDDOWN((F$59-$B65)/Aggressive!$D$24,0)&lt;3,0.75,IF(ROUNDDOWN((F$59-$B65)/Aggressive!$D$24,0)&lt;4,0.875,0.9375)))))+HLOOKUP($B65,$C$59:$Q$60,2,FALSE)*Aggressive!$C$25*(1-IF(ROUNDDOWN((F$59-$B65)/Aggressive!$D$25,0)&lt;1,0,IF(ROUNDDOWN((F$59-$B65)/Aggressive!$D$25,0)&lt;2,0.5,IF(ROUNDDOWN((F$59-$B65)/Aggressive!$D$25,0)&lt;3,0.75,IF(ROUNDDOWN((F$59-$B65)/Aggressive!$D$25,0)&lt;4,0.875,0.9375)))))+HLOOKUP($B65,$C$59:$Q$60,2,FALSE)*Aggressive!$C$26*(1-IF(ROUNDDOWN((F$59-$B65)/Aggressive!$D$26,0)&lt;1,0,IF(ROUNDDOWN((F$59-$B65)/Aggressive!$D$26,0)&lt;2,0.5,IF(ROUNDDOWN((F$59-$B65)/Aggressive!$D$26,0)&lt;3,0.75,IF(ROUNDDOWN((F$59-$B65)/Aggressive!$D$26,0)&lt;4,0.875,0.9375)))))+HLOOKUP($B65,$C$59:$Q$60,2,FALSE)*Aggressive!$C$27*(1-IF(ROUNDDOWN((F$59-$B65)/Aggressive!$D$27,0)&lt;1,0,IF(ROUNDDOWN((F$59-$B65)/Aggressive!$D$27,0)&lt;2,0.5,IF(ROUNDDOWN((F$59-$B65)/Aggressive!$D$27,0)&lt;3,0.75,IF(ROUNDDOWN((F$59-$B65)/Aggressive!$D$27,0)&lt;4,0.875,0.9375)))))+HLOOKUP($B65,$C$59:$Q$60,2,FALSE)*Aggressive!$C$28*(1-IF(ROUNDDOWN((F$59-$B65)/Aggressive!$D$28,0)&lt;1,0,IF(ROUNDDOWN((F$59-$B65)/Aggressive!$D$28,0)&lt;2,0.5,IF(ROUNDDOWN((F$59-$B65)/Aggressive!$D$28,0)&lt;3,0.75,IF(ROUNDDOWN((F$59-$B65)/Aggressive!$D$28,0)&lt;4,0.875,0.9375)))))</f>
        <v>0</v>
      </c>
      <c r="G65" s="135">
        <f>HLOOKUP($B65,$C$59:$Q$60,2,FALSE)*Aggressive!$C$23*(1-IF(ROUNDDOWN((G$59-$B65)/Aggressive!$D$23,0)&lt;1,0,IF(ROUNDDOWN((G$59-$B65)/Aggressive!$D$23,0)&lt;2,0.5,IF(ROUNDDOWN((G$59-$B65)/Aggressive!$D$23,0)&lt;3,0.75,IF(ROUNDDOWN((G$59-$B65)/Aggressive!$D$23,0)&lt;4,0.875,0.9375)))))+HLOOKUP($B65,$C$59:$Q$60,2,FALSE)*Aggressive!$C$24*(1-IF(ROUNDDOWN((G$59-$B65)/Aggressive!$D$24,0)&lt;1,0,IF(ROUNDDOWN((G$59-$B65)/Aggressive!$D$24,0)&lt;2,0.5,IF(ROUNDDOWN((G$59-$B65)/Aggressive!$D$24,0)&lt;3,0.75,IF(ROUNDDOWN((G$59-$B65)/Aggressive!$D$24,0)&lt;4,0.875,0.9375)))))+HLOOKUP($B65,$C$59:$Q$60,2,FALSE)*Aggressive!$C$25*(1-IF(ROUNDDOWN((G$59-$B65)/Aggressive!$D$25,0)&lt;1,0,IF(ROUNDDOWN((G$59-$B65)/Aggressive!$D$25,0)&lt;2,0.5,IF(ROUNDDOWN((G$59-$B65)/Aggressive!$D$25,0)&lt;3,0.75,IF(ROUNDDOWN((G$59-$B65)/Aggressive!$D$25,0)&lt;4,0.875,0.9375)))))+HLOOKUP($B65,$C$59:$Q$60,2,FALSE)*Aggressive!$C$26*(1-IF(ROUNDDOWN((G$59-$B65)/Aggressive!$D$26,0)&lt;1,0,IF(ROUNDDOWN((G$59-$B65)/Aggressive!$D$26,0)&lt;2,0.5,IF(ROUNDDOWN((G$59-$B65)/Aggressive!$D$26,0)&lt;3,0.75,IF(ROUNDDOWN((G$59-$B65)/Aggressive!$D$26,0)&lt;4,0.875,0.9375)))))+HLOOKUP($B65,$C$59:$Q$60,2,FALSE)*Aggressive!$C$27*(1-IF(ROUNDDOWN((G$59-$B65)/Aggressive!$D$27,0)&lt;1,0,IF(ROUNDDOWN((G$59-$B65)/Aggressive!$D$27,0)&lt;2,0.5,IF(ROUNDDOWN((G$59-$B65)/Aggressive!$D$27,0)&lt;3,0.75,IF(ROUNDDOWN((G$59-$B65)/Aggressive!$D$27,0)&lt;4,0.875,0.9375)))))+HLOOKUP($B65,$C$59:$Q$60,2,FALSE)*Aggressive!$C$28*(1-IF(ROUNDDOWN((G$59-$B65)/Aggressive!$D$28,0)&lt;1,0,IF(ROUNDDOWN((G$59-$B65)/Aggressive!$D$28,0)&lt;2,0.5,IF(ROUNDDOWN((G$59-$B65)/Aggressive!$D$28,0)&lt;3,0.75,IF(ROUNDDOWN((G$59-$B65)/Aggressive!$D$28,0)&lt;4,0.875,0.9375)))))</f>
        <v>0</v>
      </c>
      <c r="H65" s="135">
        <f>HLOOKUP($B65,$C$59:$Q$60,2,FALSE)*Aggressive!$C$23*(1-IF(ROUNDDOWN((H$59-$B65)/Aggressive!$D$23,0)&lt;1,0,IF(ROUNDDOWN((H$59-$B65)/Aggressive!$D$23,0)&lt;2,0.5,IF(ROUNDDOWN((H$59-$B65)/Aggressive!$D$23,0)&lt;3,0.75,IF(ROUNDDOWN((H$59-$B65)/Aggressive!$D$23,0)&lt;4,0.875,0.9375)))))+HLOOKUP($B65,$C$59:$Q$60,2,FALSE)*Aggressive!$C$24*(1-IF(ROUNDDOWN((H$59-$B65)/Aggressive!$D$24,0)&lt;1,0,IF(ROUNDDOWN((H$59-$B65)/Aggressive!$D$24,0)&lt;2,0.5,IF(ROUNDDOWN((H$59-$B65)/Aggressive!$D$24,0)&lt;3,0.75,IF(ROUNDDOWN((H$59-$B65)/Aggressive!$D$24,0)&lt;4,0.875,0.9375)))))+HLOOKUP($B65,$C$59:$Q$60,2,FALSE)*Aggressive!$C$25*(1-IF(ROUNDDOWN((H$59-$B65)/Aggressive!$D$25,0)&lt;1,0,IF(ROUNDDOWN((H$59-$B65)/Aggressive!$D$25,0)&lt;2,0.5,IF(ROUNDDOWN((H$59-$B65)/Aggressive!$D$25,0)&lt;3,0.75,IF(ROUNDDOWN((H$59-$B65)/Aggressive!$D$25,0)&lt;4,0.875,0.9375)))))+HLOOKUP($B65,$C$59:$Q$60,2,FALSE)*Aggressive!$C$26*(1-IF(ROUNDDOWN((H$59-$B65)/Aggressive!$D$26,0)&lt;1,0,IF(ROUNDDOWN((H$59-$B65)/Aggressive!$D$26,0)&lt;2,0.5,IF(ROUNDDOWN((H$59-$B65)/Aggressive!$D$26,0)&lt;3,0.75,IF(ROUNDDOWN((H$59-$B65)/Aggressive!$D$26,0)&lt;4,0.875,0.9375)))))+HLOOKUP($B65,$C$59:$Q$60,2,FALSE)*Aggressive!$C$27*(1-IF(ROUNDDOWN((H$59-$B65)/Aggressive!$D$27,0)&lt;1,0,IF(ROUNDDOWN((H$59-$B65)/Aggressive!$D$27,0)&lt;2,0.5,IF(ROUNDDOWN((H$59-$B65)/Aggressive!$D$27,0)&lt;3,0.75,IF(ROUNDDOWN((H$59-$B65)/Aggressive!$D$27,0)&lt;4,0.875,0.9375)))))+HLOOKUP($B65,$C$59:$Q$60,2,FALSE)*Aggressive!$C$28*(1-IF(ROUNDDOWN((H$59-$B65)/Aggressive!$D$28,0)&lt;1,0,IF(ROUNDDOWN((H$59-$B65)/Aggressive!$D$28,0)&lt;2,0.5,IF(ROUNDDOWN((H$59-$B65)/Aggressive!$D$28,0)&lt;3,0.75,IF(ROUNDDOWN((H$59-$B65)/Aggressive!$D$28,0)&lt;4,0.875,0.9375)))))</f>
        <v>0</v>
      </c>
      <c r="I65" s="135">
        <f>HLOOKUP($B65,$C$59:$Q$60,2,FALSE)*Aggressive!$C$23*(1-IF(ROUNDDOWN((I$59-$B65)/Aggressive!$D$23,0)&lt;1,0,IF(ROUNDDOWN((I$59-$B65)/Aggressive!$D$23,0)&lt;2,0.5,IF(ROUNDDOWN((I$59-$B65)/Aggressive!$D$23,0)&lt;3,0.75,IF(ROUNDDOWN((I$59-$B65)/Aggressive!$D$23,0)&lt;4,0.875,0.9375)))))+HLOOKUP($B65,$C$59:$Q$60,2,FALSE)*Aggressive!$C$24*(1-IF(ROUNDDOWN((I$59-$B65)/Aggressive!$D$24,0)&lt;1,0,IF(ROUNDDOWN((I$59-$B65)/Aggressive!$D$24,0)&lt;2,0.5,IF(ROUNDDOWN((I$59-$B65)/Aggressive!$D$24,0)&lt;3,0.75,IF(ROUNDDOWN((I$59-$B65)/Aggressive!$D$24,0)&lt;4,0.875,0.9375)))))+HLOOKUP($B65,$C$59:$Q$60,2,FALSE)*Aggressive!$C$25*(1-IF(ROUNDDOWN((I$59-$B65)/Aggressive!$D$25,0)&lt;1,0,IF(ROUNDDOWN((I$59-$B65)/Aggressive!$D$25,0)&lt;2,0.5,IF(ROUNDDOWN((I$59-$B65)/Aggressive!$D$25,0)&lt;3,0.75,IF(ROUNDDOWN((I$59-$B65)/Aggressive!$D$25,0)&lt;4,0.875,0.9375)))))+HLOOKUP($B65,$C$59:$Q$60,2,FALSE)*Aggressive!$C$26*(1-IF(ROUNDDOWN((I$59-$B65)/Aggressive!$D$26,0)&lt;1,0,IF(ROUNDDOWN((I$59-$B65)/Aggressive!$D$26,0)&lt;2,0.5,IF(ROUNDDOWN((I$59-$B65)/Aggressive!$D$26,0)&lt;3,0.75,IF(ROUNDDOWN((I$59-$B65)/Aggressive!$D$26,0)&lt;4,0.875,0.9375)))))+HLOOKUP($B65,$C$59:$Q$60,2,FALSE)*Aggressive!$C$27*(1-IF(ROUNDDOWN((I$59-$B65)/Aggressive!$D$27,0)&lt;1,0,IF(ROUNDDOWN((I$59-$B65)/Aggressive!$D$27,0)&lt;2,0.5,IF(ROUNDDOWN((I$59-$B65)/Aggressive!$D$27,0)&lt;3,0.75,IF(ROUNDDOWN((I$59-$B65)/Aggressive!$D$27,0)&lt;4,0.875,0.9375)))))+HLOOKUP($B65,$C$59:$Q$60,2,FALSE)*Aggressive!$C$28*(1-IF(ROUNDDOWN((I$59-$B65)/Aggressive!$D$28,0)&lt;1,0,IF(ROUNDDOWN((I$59-$B65)/Aggressive!$D$28,0)&lt;2,0.5,IF(ROUNDDOWN((I$59-$B65)/Aggressive!$D$28,0)&lt;3,0.75,IF(ROUNDDOWN((I$59-$B65)/Aggressive!$D$28,0)&lt;4,0.875,0.9375)))))</f>
        <v>0</v>
      </c>
      <c r="J65" s="135">
        <f>HLOOKUP($B65,$C$59:$Q$60,2,FALSE)*Aggressive!$C$23*(1-IF(ROUNDDOWN((J$59-$B65)/Aggressive!$D$23,0)&lt;1,0,IF(ROUNDDOWN((J$59-$B65)/Aggressive!$D$23,0)&lt;2,0.5,IF(ROUNDDOWN((J$59-$B65)/Aggressive!$D$23,0)&lt;3,0.75,IF(ROUNDDOWN((J$59-$B65)/Aggressive!$D$23,0)&lt;4,0.875,0.9375)))))+HLOOKUP($B65,$C$59:$Q$60,2,FALSE)*Aggressive!$C$24*(1-IF(ROUNDDOWN((J$59-$B65)/Aggressive!$D$24,0)&lt;1,0,IF(ROUNDDOWN((J$59-$B65)/Aggressive!$D$24,0)&lt;2,0.5,IF(ROUNDDOWN((J$59-$B65)/Aggressive!$D$24,0)&lt;3,0.75,IF(ROUNDDOWN((J$59-$B65)/Aggressive!$D$24,0)&lt;4,0.875,0.9375)))))+HLOOKUP($B65,$C$59:$Q$60,2,FALSE)*Aggressive!$C$25*(1-IF(ROUNDDOWN((J$59-$B65)/Aggressive!$D$25,0)&lt;1,0,IF(ROUNDDOWN((J$59-$B65)/Aggressive!$D$25,0)&lt;2,0.5,IF(ROUNDDOWN((J$59-$B65)/Aggressive!$D$25,0)&lt;3,0.75,IF(ROUNDDOWN((J$59-$B65)/Aggressive!$D$25,0)&lt;4,0.875,0.9375)))))+HLOOKUP($B65,$C$59:$Q$60,2,FALSE)*Aggressive!$C$26*(1-IF(ROUNDDOWN((J$59-$B65)/Aggressive!$D$26,0)&lt;1,0,IF(ROUNDDOWN((J$59-$B65)/Aggressive!$D$26,0)&lt;2,0.5,IF(ROUNDDOWN((J$59-$B65)/Aggressive!$D$26,0)&lt;3,0.75,IF(ROUNDDOWN((J$59-$B65)/Aggressive!$D$26,0)&lt;4,0.875,0.9375)))))+HLOOKUP($B65,$C$59:$Q$60,2,FALSE)*Aggressive!$C$27*(1-IF(ROUNDDOWN((J$59-$B65)/Aggressive!$D$27,0)&lt;1,0,IF(ROUNDDOWN((J$59-$B65)/Aggressive!$D$27,0)&lt;2,0.5,IF(ROUNDDOWN((J$59-$B65)/Aggressive!$D$27,0)&lt;3,0.75,IF(ROUNDDOWN((J$59-$B65)/Aggressive!$D$27,0)&lt;4,0.875,0.9375)))))+HLOOKUP($B65,$C$59:$Q$60,2,FALSE)*Aggressive!$C$28*(1-IF(ROUNDDOWN((J$59-$B65)/Aggressive!$D$28,0)&lt;1,0,IF(ROUNDDOWN((J$59-$B65)/Aggressive!$D$28,0)&lt;2,0.5,IF(ROUNDDOWN((J$59-$B65)/Aggressive!$D$28,0)&lt;3,0.75,IF(ROUNDDOWN((J$59-$B65)/Aggressive!$D$28,0)&lt;4,0.875,0.9375)))))</f>
        <v>0</v>
      </c>
      <c r="K65" s="135">
        <f>HLOOKUP($B65,$C$59:$Q$60,2,FALSE)*Aggressive!$C$23*(1-IF(ROUNDDOWN((K$59-$B65)/Aggressive!$D$23,0)&lt;1,0,IF(ROUNDDOWN((K$59-$B65)/Aggressive!$D$23,0)&lt;2,0.5,IF(ROUNDDOWN((K$59-$B65)/Aggressive!$D$23,0)&lt;3,0.75,IF(ROUNDDOWN((K$59-$B65)/Aggressive!$D$23,0)&lt;4,0.875,0.9375)))))+HLOOKUP($B65,$C$59:$Q$60,2,FALSE)*Aggressive!$C$24*(1-IF(ROUNDDOWN((K$59-$B65)/Aggressive!$D$24,0)&lt;1,0,IF(ROUNDDOWN((K$59-$B65)/Aggressive!$D$24,0)&lt;2,0.5,IF(ROUNDDOWN((K$59-$B65)/Aggressive!$D$24,0)&lt;3,0.75,IF(ROUNDDOWN((K$59-$B65)/Aggressive!$D$24,0)&lt;4,0.875,0.9375)))))+HLOOKUP($B65,$C$59:$Q$60,2,FALSE)*Aggressive!$C$25*(1-IF(ROUNDDOWN((K$59-$B65)/Aggressive!$D$25,0)&lt;1,0,IF(ROUNDDOWN((K$59-$B65)/Aggressive!$D$25,0)&lt;2,0.5,IF(ROUNDDOWN((K$59-$B65)/Aggressive!$D$25,0)&lt;3,0.75,IF(ROUNDDOWN((K$59-$B65)/Aggressive!$D$25,0)&lt;4,0.875,0.9375)))))+HLOOKUP($B65,$C$59:$Q$60,2,FALSE)*Aggressive!$C$26*(1-IF(ROUNDDOWN((K$59-$B65)/Aggressive!$D$26,0)&lt;1,0,IF(ROUNDDOWN((K$59-$B65)/Aggressive!$D$26,0)&lt;2,0.5,IF(ROUNDDOWN((K$59-$B65)/Aggressive!$D$26,0)&lt;3,0.75,IF(ROUNDDOWN((K$59-$B65)/Aggressive!$D$26,0)&lt;4,0.875,0.9375)))))+HLOOKUP($B65,$C$59:$Q$60,2,FALSE)*Aggressive!$C$27*(1-IF(ROUNDDOWN((K$59-$B65)/Aggressive!$D$27,0)&lt;1,0,IF(ROUNDDOWN((K$59-$B65)/Aggressive!$D$27,0)&lt;2,0.5,IF(ROUNDDOWN((K$59-$B65)/Aggressive!$D$27,0)&lt;3,0.75,IF(ROUNDDOWN((K$59-$B65)/Aggressive!$D$27,0)&lt;4,0.875,0.9375)))))+HLOOKUP($B65,$C$59:$Q$60,2,FALSE)*Aggressive!$C$28*(1-IF(ROUNDDOWN((K$59-$B65)/Aggressive!$D$28,0)&lt;1,0,IF(ROUNDDOWN((K$59-$B65)/Aggressive!$D$28,0)&lt;2,0.5,IF(ROUNDDOWN((K$59-$B65)/Aggressive!$D$28,0)&lt;3,0.75,IF(ROUNDDOWN((K$59-$B65)/Aggressive!$D$28,0)&lt;4,0.875,0.9375)))))</f>
        <v>0</v>
      </c>
      <c r="L65" s="135">
        <f>HLOOKUP($B65,$C$59:$Q$60,2,FALSE)*Aggressive!$C$23*(1-IF(ROUNDDOWN((L$59-$B65)/Aggressive!$D$23,0)&lt;1,0,IF(ROUNDDOWN((L$59-$B65)/Aggressive!$D$23,0)&lt;2,0.5,IF(ROUNDDOWN((L$59-$B65)/Aggressive!$D$23,0)&lt;3,0.75,IF(ROUNDDOWN((L$59-$B65)/Aggressive!$D$23,0)&lt;4,0.875,0.9375)))))+HLOOKUP($B65,$C$59:$Q$60,2,FALSE)*Aggressive!$C$24*(1-IF(ROUNDDOWN((L$59-$B65)/Aggressive!$D$24,0)&lt;1,0,IF(ROUNDDOWN((L$59-$B65)/Aggressive!$D$24,0)&lt;2,0.5,IF(ROUNDDOWN((L$59-$B65)/Aggressive!$D$24,0)&lt;3,0.75,IF(ROUNDDOWN((L$59-$B65)/Aggressive!$D$24,0)&lt;4,0.875,0.9375)))))+HLOOKUP($B65,$C$59:$Q$60,2,FALSE)*Aggressive!$C$25*(1-IF(ROUNDDOWN((L$59-$B65)/Aggressive!$D$25,0)&lt;1,0,IF(ROUNDDOWN((L$59-$B65)/Aggressive!$D$25,0)&lt;2,0.5,IF(ROUNDDOWN((L$59-$B65)/Aggressive!$D$25,0)&lt;3,0.75,IF(ROUNDDOWN((L$59-$B65)/Aggressive!$D$25,0)&lt;4,0.875,0.9375)))))+HLOOKUP($B65,$C$59:$Q$60,2,FALSE)*Aggressive!$C$26*(1-IF(ROUNDDOWN((L$59-$B65)/Aggressive!$D$26,0)&lt;1,0,IF(ROUNDDOWN((L$59-$B65)/Aggressive!$D$26,0)&lt;2,0.5,IF(ROUNDDOWN((L$59-$B65)/Aggressive!$D$26,0)&lt;3,0.75,IF(ROUNDDOWN((L$59-$B65)/Aggressive!$D$26,0)&lt;4,0.875,0.9375)))))+HLOOKUP($B65,$C$59:$Q$60,2,FALSE)*Aggressive!$C$27*(1-IF(ROUNDDOWN((L$59-$B65)/Aggressive!$D$27,0)&lt;1,0,IF(ROUNDDOWN((L$59-$B65)/Aggressive!$D$27,0)&lt;2,0.5,IF(ROUNDDOWN((L$59-$B65)/Aggressive!$D$27,0)&lt;3,0.75,IF(ROUNDDOWN((L$59-$B65)/Aggressive!$D$27,0)&lt;4,0.875,0.9375)))))+HLOOKUP($B65,$C$59:$Q$60,2,FALSE)*Aggressive!$C$28*(1-IF(ROUNDDOWN((L$59-$B65)/Aggressive!$D$28,0)&lt;1,0,IF(ROUNDDOWN((L$59-$B65)/Aggressive!$D$28,0)&lt;2,0.5,IF(ROUNDDOWN((L$59-$B65)/Aggressive!$D$28,0)&lt;3,0.75,IF(ROUNDDOWN((L$59-$B65)/Aggressive!$D$28,0)&lt;4,0.875,0.9375)))))</f>
        <v>0</v>
      </c>
      <c r="M65" s="135">
        <f>HLOOKUP($B65,$C$59:$Q$60,2,FALSE)*Aggressive!$C$23*(1-IF(ROUNDDOWN((M$59-$B65)/Aggressive!$D$23,0)&lt;1,0,IF(ROUNDDOWN((M$59-$B65)/Aggressive!$D$23,0)&lt;2,0.5,IF(ROUNDDOWN((M$59-$B65)/Aggressive!$D$23,0)&lt;3,0.75,IF(ROUNDDOWN((M$59-$B65)/Aggressive!$D$23,0)&lt;4,0.875,0.9375)))))+HLOOKUP($B65,$C$59:$Q$60,2,FALSE)*Aggressive!$C$24*(1-IF(ROUNDDOWN((M$59-$B65)/Aggressive!$D$24,0)&lt;1,0,IF(ROUNDDOWN((M$59-$B65)/Aggressive!$D$24,0)&lt;2,0.5,IF(ROUNDDOWN((M$59-$B65)/Aggressive!$D$24,0)&lt;3,0.75,IF(ROUNDDOWN((M$59-$B65)/Aggressive!$D$24,0)&lt;4,0.875,0.9375)))))+HLOOKUP($B65,$C$59:$Q$60,2,FALSE)*Aggressive!$C$25*(1-IF(ROUNDDOWN((M$59-$B65)/Aggressive!$D$25,0)&lt;1,0,IF(ROUNDDOWN((M$59-$B65)/Aggressive!$D$25,0)&lt;2,0.5,IF(ROUNDDOWN((M$59-$B65)/Aggressive!$D$25,0)&lt;3,0.75,IF(ROUNDDOWN((M$59-$B65)/Aggressive!$D$25,0)&lt;4,0.875,0.9375)))))+HLOOKUP($B65,$C$59:$Q$60,2,FALSE)*Aggressive!$C$26*(1-IF(ROUNDDOWN((M$59-$B65)/Aggressive!$D$26,0)&lt;1,0,IF(ROUNDDOWN((M$59-$B65)/Aggressive!$D$26,0)&lt;2,0.5,IF(ROUNDDOWN((M$59-$B65)/Aggressive!$D$26,0)&lt;3,0.75,IF(ROUNDDOWN((M$59-$B65)/Aggressive!$D$26,0)&lt;4,0.875,0.9375)))))+HLOOKUP($B65,$C$59:$Q$60,2,FALSE)*Aggressive!$C$27*(1-IF(ROUNDDOWN((M$59-$B65)/Aggressive!$D$27,0)&lt;1,0,IF(ROUNDDOWN((M$59-$B65)/Aggressive!$D$27,0)&lt;2,0.5,IF(ROUNDDOWN((M$59-$B65)/Aggressive!$D$27,0)&lt;3,0.75,IF(ROUNDDOWN((M$59-$B65)/Aggressive!$D$27,0)&lt;4,0.875,0.9375)))))+HLOOKUP($B65,$C$59:$Q$60,2,FALSE)*Aggressive!$C$28*(1-IF(ROUNDDOWN((M$59-$B65)/Aggressive!$D$28,0)&lt;1,0,IF(ROUNDDOWN((M$59-$B65)/Aggressive!$D$28,0)&lt;2,0.5,IF(ROUNDDOWN((M$59-$B65)/Aggressive!$D$28,0)&lt;3,0.75,IF(ROUNDDOWN((M$59-$B65)/Aggressive!$D$28,0)&lt;4,0.875,0.9375)))))</f>
        <v>0</v>
      </c>
      <c r="N65" s="135">
        <f>HLOOKUP($B65,$C$59:$Q$60,2,FALSE)*Aggressive!$C$23*(1-IF(ROUNDDOWN((N$59-$B65)/Aggressive!$D$23,0)&lt;1,0,IF(ROUNDDOWN((N$59-$B65)/Aggressive!$D$23,0)&lt;2,0.5,IF(ROUNDDOWN((N$59-$B65)/Aggressive!$D$23,0)&lt;3,0.75,IF(ROUNDDOWN((N$59-$B65)/Aggressive!$D$23,0)&lt;4,0.875,0.9375)))))+HLOOKUP($B65,$C$59:$Q$60,2,FALSE)*Aggressive!$C$24*(1-IF(ROUNDDOWN((N$59-$B65)/Aggressive!$D$24,0)&lt;1,0,IF(ROUNDDOWN((N$59-$B65)/Aggressive!$D$24,0)&lt;2,0.5,IF(ROUNDDOWN((N$59-$B65)/Aggressive!$D$24,0)&lt;3,0.75,IF(ROUNDDOWN((N$59-$B65)/Aggressive!$D$24,0)&lt;4,0.875,0.9375)))))+HLOOKUP($B65,$C$59:$Q$60,2,FALSE)*Aggressive!$C$25*(1-IF(ROUNDDOWN((N$59-$B65)/Aggressive!$D$25,0)&lt;1,0,IF(ROUNDDOWN((N$59-$B65)/Aggressive!$D$25,0)&lt;2,0.5,IF(ROUNDDOWN((N$59-$B65)/Aggressive!$D$25,0)&lt;3,0.75,IF(ROUNDDOWN((N$59-$B65)/Aggressive!$D$25,0)&lt;4,0.875,0.9375)))))+HLOOKUP($B65,$C$59:$Q$60,2,FALSE)*Aggressive!$C$26*(1-IF(ROUNDDOWN((N$59-$B65)/Aggressive!$D$26,0)&lt;1,0,IF(ROUNDDOWN((N$59-$B65)/Aggressive!$D$26,0)&lt;2,0.5,IF(ROUNDDOWN((N$59-$B65)/Aggressive!$D$26,0)&lt;3,0.75,IF(ROUNDDOWN((N$59-$B65)/Aggressive!$D$26,0)&lt;4,0.875,0.9375)))))+HLOOKUP($B65,$C$59:$Q$60,2,FALSE)*Aggressive!$C$27*(1-IF(ROUNDDOWN((N$59-$B65)/Aggressive!$D$27,0)&lt;1,0,IF(ROUNDDOWN((N$59-$B65)/Aggressive!$D$27,0)&lt;2,0.5,IF(ROUNDDOWN((N$59-$B65)/Aggressive!$D$27,0)&lt;3,0.75,IF(ROUNDDOWN((N$59-$B65)/Aggressive!$D$27,0)&lt;4,0.875,0.9375)))))+HLOOKUP($B65,$C$59:$Q$60,2,FALSE)*Aggressive!$C$28*(1-IF(ROUNDDOWN((N$59-$B65)/Aggressive!$D$28,0)&lt;1,0,IF(ROUNDDOWN((N$59-$B65)/Aggressive!$D$28,0)&lt;2,0.5,IF(ROUNDDOWN((N$59-$B65)/Aggressive!$D$28,0)&lt;3,0.75,IF(ROUNDDOWN((N$59-$B65)/Aggressive!$D$28,0)&lt;4,0.875,0.9375)))))</f>
        <v>0</v>
      </c>
      <c r="O65" s="135">
        <f>HLOOKUP($B65,$C$59:$Q$60,2,FALSE)*Aggressive!$C$23*(1-IF(ROUNDDOWN((O$59-$B65)/Aggressive!$D$23,0)&lt;1,0,IF(ROUNDDOWN((O$59-$B65)/Aggressive!$D$23,0)&lt;2,0.5,IF(ROUNDDOWN((O$59-$B65)/Aggressive!$D$23,0)&lt;3,0.75,IF(ROUNDDOWN((O$59-$B65)/Aggressive!$D$23,0)&lt;4,0.875,0.9375)))))+HLOOKUP($B65,$C$59:$Q$60,2,FALSE)*Aggressive!$C$24*(1-IF(ROUNDDOWN((O$59-$B65)/Aggressive!$D$24,0)&lt;1,0,IF(ROUNDDOWN((O$59-$B65)/Aggressive!$D$24,0)&lt;2,0.5,IF(ROUNDDOWN((O$59-$B65)/Aggressive!$D$24,0)&lt;3,0.75,IF(ROUNDDOWN((O$59-$B65)/Aggressive!$D$24,0)&lt;4,0.875,0.9375)))))+HLOOKUP($B65,$C$59:$Q$60,2,FALSE)*Aggressive!$C$25*(1-IF(ROUNDDOWN((O$59-$B65)/Aggressive!$D$25,0)&lt;1,0,IF(ROUNDDOWN((O$59-$B65)/Aggressive!$D$25,0)&lt;2,0.5,IF(ROUNDDOWN((O$59-$B65)/Aggressive!$D$25,0)&lt;3,0.75,IF(ROUNDDOWN((O$59-$B65)/Aggressive!$D$25,0)&lt;4,0.875,0.9375)))))+HLOOKUP($B65,$C$59:$Q$60,2,FALSE)*Aggressive!$C$26*(1-IF(ROUNDDOWN((O$59-$B65)/Aggressive!$D$26,0)&lt;1,0,IF(ROUNDDOWN((O$59-$B65)/Aggressive!$D$26,0)&lt;2,0.5,IF(ROUNDDOWN((O$59-$B65)/Aggressive!$D$26,0)&lt;3,0.75,IF(ROUNDDOWN((O$59-$B65)/Aggressive!$D$26,0)&lt;4,0.875,0.9375)))))+HLOOKUP($B65,$C$59:$Q$60,2,FALSE)*Aggressive!$C$27*(1-IF(ROUNDDOWN((O$59-$B65)/Aggressive!$D$27,0)&lt;1,0,IF(ROUNDDOWN((O$59-$B65)/Aggressive!$D$27,0)&lt;2,0.5,IF(ROUNDDOWN((O$59-$B65)/Aggressive!$D$27,0)&lt;3,0.75,IF(ROUNDDOWN((O$59-$B65)/Aggressive!$D$27,0)&lt;4,0.875,0.9375)))))+HLOOKUP($B65,$C$59:$Q$60,2,FALSE)*Aggressive!$C$28*(1-IF(ROUNDDOWN((O$59-$B65)/Aggressive!$D$28,0)&lt;1,0,IF(ROUNDDOWN((O$59-$B65)/Aggressive!$D$28,0)&lt;2,0.5,IF(ROUNDDOWN((O$59-$B65)/Aggressive!$D$28,0)&lt;3,0.75,IF(ROUNDDOWN((O$59-$B65)/Aggressive!$D$28,0)&lt;4,0.875,0.9375)))))</f>
        <v>0</v>
      </c>
      <c r="P65" s="135">
        <f>HLOOKUP($B65,$C$59:$Q$60,2,FALSE)*Aggressive!$C$23*(1-IF(ROUNDDOWN((P$59-$B65)/Aggressive!$D$23,0)&lt;1,0,IF(ROUNDDOWN((P$59-$B65)/Aggressive!$D$23,0)&lt;2,0.5,IF(ROUNDDOWN((P$59-$B65)/Aggressive!$D$23,0)&lt;3,0.75,IF(ROUNDDOWN((P$59-$B65)/Aggressive!$D$23,0)&lt;4,0.875,0.9375)))))+HLOOKUP($B65,$C$59:$Q$60,2,FALSE)*Aggressive!$C$24*(1-IF(ROUNDDOWN((P$59-$B65)/Aggressive!$D$24,0)&lt;1,0,IF(ROUNDDOWN((P$59-$B65)/Aggressive!$D$24,0)&lt;2,0.5,IF(ROUNDDOWN((P$59-$B65)/Aggressive!$D$24,0)&lt;3,0.75,IF(ROUNDDOWN((P$59-$B65)/Aggressive!$D$24,0)&lt;4,0.875,0.9375)))))+HLOOKUP($B65,$C$59:$Q$60,2,FALSE)*Aggressive!$C$25*(1-IF(ROUNDDOWN((P$59-$B65)/Aggressive!$D$25,0)&lt;1,0,IF(ROUNDDOWN((P$59-$B65)/Aggressive!$D$25,0)&lt;2,0.5,IF(ROUNDDOWN((P$59-$B65)/Aggressive!$D$25,0)&lt;3,0.75,IF(ROUNDDOWN((P$59-$B65)/Aggressive!$D$25,0)&lt;4,0.875,0.9375)))))+HLOOKUP($B65,$C$59:$Q$60,2,FALSE)*Aggressive!$C$26*(1-IF(ROUNDDOWN((P$59-$B65)/Aggressive!$D$26,0)&lt;1,0,IF(ROUNDDOWN((P$59-$B65)/Aggressive!$D$26,0)&lt;2,0.5,IF(ROUNDDOWN((P$59-$B65)/Aggressive!$D$26,0)&lt;3,0.75,IF(ROUNDDOWN((P$59-$B65)/Aggressive!$D$26,0)&lt;4,0.875,0.9375)))))+HLOOKUP($B65,$C$59:$Q$60,2,FALSE)*Aggressive!$C$27*(1-IF(ROUNDDOWN((P$59-$B65)/Aggressive!$D$27,0)&lt;1,0,IF(ROUNDDOWN((P$59-$B65)/Aggressive!$D$27,0)&lt;2,0.5,IF(ROUNDDOWN((P$59-$B65)/Aggressive!$D$27,0)&lt;3,0.75,IF(ROUNDDOWN((P$59-$B65)/Aggressive!$D$27,0)&lt;4,0.875,0.9375)))))+HLOOKUP($B65,$C$59:$Q$60,2,FALSE)*Aggressive!$C$28*(1-IF(ROUNDDOWN((P$59-$B65)/Aggressive!$D$28,0)&lt;1,0,IF(ROUNDDOWN((P$59-$B65)/Aggressive!$D$28,0)&lt;2,0.5,IF(ROUNDDOWN((P$59-$B65)/Aggressive!$D$28,0)&lt;3,0.75,IF(ROUNDDOWN((P$59-$B65)/Aggressive!$D$28,0)&lt;4,0.875,0.9375)))))</f>
        <v>0</v>
      </c>
      <c r="Q65" s="135">
        <f>HLOOKUP($B65,$C$59:$Q$60,2,FALSE)*Aggressive!$C$23*(1-IF(ROUNDDOWN((Q$59-$B65)/Aggressive!$D$23,0)&lt;1,0,IF(ROUNDDOWN((Q$59-$B65)/Aggressive!$D$23,0)&lt;2,0.5,IF(ROUNDDOWN((Q$59-$B65)/Aggressive!$D$23,0)&lt;3,0.75,IF(ROUNDDOWN((Q$59-$B65)/Aggressive!$D$23,0)&lt;4,0.875,0.9375)))))+HLOOKUP($B65,$C$59:$Q$60,2,FALSE)*Aggressive!$C$24*(1-IF(ROUNDDOWN((Q$59-$B65)/Aggressive!$D$24,0)&lt;1,0,IF(ROUNDDOWN((Q$59-$B65)/Aggressive!$D$24,0)&lt;2,0.5,IF(ROUNDDOWN((Q$59-$B65)/Aggressive!$D$24,0)&lt;3,0.75,IF(ROUNDDOWN((Q$59-$B65)/Aggressive!$D$24,0)&lt;4,0.875,0.9375)))))+HLOOKUP($B65,$C$59:$Q$60,2,FALSE)*Aggressive!$C$25*(1-IF(ROUNDDOWN((Q$59-$B65)/Aggressive!$D$25,0)&lt;1,0,IF(ROUNDDOWN((Q$59-$B65)/Aggressive!$D$25,0)&lt;2,0.5,IF(ROUNDDOWN((Q$59-$B65)/Aggressive!$D$25,0)&lt;3,0.75,IF(ROUNDDOWN((Q$59-$B65)/Aggressive!$D$25,0)&lt;4,0.875,0.9375)))))+HLOOKUP($B65,$C$59:$Q$60,2,FALSE)*Aggressive!$C$26*(1-IF(ROUNDDOWN((Q$59-$B65)/Aggressive!$D$26,0)&lt;1,0,IF(ROUNDDOWN((Q$59-$B65)/Aggressive!$D$26,0)&lt;2,0.5,IF(ROUNDDOWN((Q$59-$B65)/Aggressive!$D$26,0)&lt;3,0.75,IF(ROUNDDOWN((Q$59-$B65)/Aggressive!$D$26,0)&lt;4,0.875,0.9375)))))+HLOOKUP($B65,$C$59:$Q$60,2,FALSE)*Aggressive!$C$27*(1-IF(ROUNDDOWN((Q$59-$B65)/Aggressive!$D$27,0)&lt;1,0,IF(ROUNDDOWN((Q$59-$B65)/Aggressive!$D$27,0)&lt;2,0.5,IF(ROUNDDOWN((Q$59-$B65)/Aggressive!$D$27,0)&lt;3,0.75,IF(ROUNDDOWN((Q$59-$B65)/Aggressive!$D$27,0)&lt;4,0.875,0.9375)))))+HLOOKUP($B65,$C$59:$Q$60,2,FALSE)*Aggressive!$C$28*(1-IF(ROUNDDOWN((Q$59-$B65)/Aggressive!$D$28,0)&lt;1,0,IF(ROUNDDOWN((Q$59-$B65)/Aggressive!$D$28,0)&lt;2,0.5,IF(ROUNDDOWN((Q$59-$B65)/Aggressive!$D$28,0)&lt;3,0.75,IF(ROUNDDOWN((Q$59-$B65)/Aggressive!$D$28,0)&lt;4,0.875,0.9375)))))</f>
        <v>0</v>
      </c>
      <c r="R65" s="50"/>
    </row>
    <row r="66" spans="2:18" x14ac:dyDescent="0.3">
      <c r="B66" s="237">
        <f t="shared" si="14"/>
        <v>2018</v>
      </c>
      <c r="C66" s="135"/>
      <c r="D66" s="135"/>
      <c r="E66" s="135"/>
      <c r="F66" s="135">
        <f>HLOOKUP($B66,$C$59:$Q$60,2,FALSE)*Aggressive!$C$23*(1-IF(ROUNDDOWN((F$59-$B66)/Aggressive!$D$23,0)&lt;1,0,IF(ROUNDDOWN((F$59-$B66)/Aggressive!$D$23,0)&lt;2,0.5,IF(ROUNDDOWN((F$59-$B66)/Aggressive!$D$23,0)&lt;3,0.75,IF(ROUNDDOWN((F$59-$B66)/Aggressive!$D$23,0)&lt;4,0.875,0.9375)))))+HLOOKUP($B66,$C$59:$Q$60,2,FALSE)*Aggressive!$C$24*(1-IF(ROUNDDOWN((F$59-$B66)/Aggressive!$D$24,0)&lt;1,0,IF(ROUNDDOWN((F$59-$B66)/Aggressive!$D$24,0)&lt;2,0.5,IF(ROUNDDOWN((F$59-$B66)/Aggressive!$D$24,0)&lt;3,0.75,IF(ROUNDDOWN((F$59-$B66)/Aggressive!$D$24,0)&lt;4,0.875,0.9375)))))+HLOOKUP($B66,$C$59:$Q$60,2,FALSE)*Aggressive!$C$25*(1-IF(ROUNDDOWN((F$59-$B66)/Aggressive!$D$25,0)&lt;1,0,IF(ROUNDDOWN((F$59-$B66)/Aggressive!$D$25,0)&lt;2,0.5,IF(ROUNDDOWN((F$59-$B66)/Aggressive!$D$25,0)&lt;3,0.75,IF(ROUNDDOWN((F$59-$B66)/Aggressive!$D$25,0)&lt;4,0.875,0.9375)))))+HLOOKUP($B66,$C$59:$Q$60,2,FALSE)*Aggressive!$C$26*(1-IF(ROUNDDOWN((F$59-$B66)/Aggressive!$D$26,0)&lt;1,0,IF(ROUNDDOWN((F$59-$B66)/Aggressive!$D$26,0)&lt;2,0.5,IF(ROUNDDOWN((F$59-$B66)/Aggressive!$D$26,0)&lt;3,0.75,IF(ROUNDDOWN((F$59-$B66)/Aggressive!$D$26,0)&lt;4,0.875,0.9375)))))+HLOOKUP($B66,$C$59:$Q$60,2,FALSE)*Aggressive!$C$27*(1-IF(ROUNDDOWN((F$59-$B66)/Aggressive!$D$27,0)&lt;1,0,IF(ROUNDDOWN((F$59-$B66)/Aggressive!$D$27,0)&lt;2,0.5,IF(ROUNDDOWN((F$59-$B66)/Aggressive!$D$27,0)&lt;3,0.75,IF(ROUNDDOWN((F$59-$B66)/Aggressive!$D$27,0)&lt;4,0.875,0.9375)))))+HLOOKUP($B66,$C$59:$Q$60,2,FALSE)*Aggressive!$C$28*(1-IF(ROUNDDOWN((F$59-$B66)/Aggressive!$D$28,0)&lt;1,0,IF(ROUNDDOWN((F$59-$B66)/Aggressive!$D$28,0)&lt;2,0.5,IF(ROUNDDOWN((F$59-$B66)/Aggressive!$D$28,0)&lt;3,0.75,IF(ROUNDDOWN((F$59-$B66)/Aggressive!$D$28,0)&lt;4,0.875,0.9375)))))</f>
        <v>0</v>
      </c>
      <c r="G66" s="135">
        <f>HLOOKUP($B66,$C$59:$Q$60,2,FALSE)*Aggressive!$C$23*(1-IF(ROUNDDOWN((G$59-$B66)/Aggressive!$D$23,0)&lt;1,0,IF(ROUNDDOWN((G$59-$B66)/Aggressive!$D$23,0)&lt;2,0.5,IF(ROUNDDOWN((G$59-$B66)/Aggressive!$D$23,0)&lt;3,0.75,IF(ROUNDDOWN((G$59-$B66)/Aggressive!$D$23,0)&lt;4,0.875,0.9375)))))+HLOOKUP($B66,$C$59:$Q$60,2,FALSE)*Aggressive!$C$24*(1-IF(ROUNDDOWN((G$59-$B66)/Aggressive!$D$24,0)&lt;1,0,IF(ROUNDDOWN((G$59-$B66)/Aggressive!$D$24,0)&lt;2,0.5,IF(ROUNDDOWN((G$59-$B66)/Aggressive!$D$24,0)&lt;3,0.75,IF(ROUNDDOWN((G$59-$B66)/Aggressive!$D$24,0)&lt;4,0.875,0.9375)))))+HLOOKUP($B66,$C$59:$Q$60,2,FALSE)*Aggressive!$C$25*(1-IF(ROUNDDOWN((G$59-$B66)/Aggressive!$D$25,0)&lt;1,0,IF(ROUNDDOWN((G$59-$B66)/Aggressive!$D$25,0)&lt;2,0.5,IF(ROUNDDOWN((G$59-$B66)/Aggressive!$D$25,0)&lt;3,0.75,IF(ROUNDDOWN((G$59-$B66)/Aggressive!$D$25,0)&lt;4,0.875,0.9375)))))+HLOOKUP($B66,$C$59:$Q$60,2,FALSE)*Aggressive!$C$26*(1-IF(ROUNDDOWN((G$59-$B66)/Aggressive!$D$26,0)&lt;1,0,IF(ROUNDDOWN((G$59-$B66)/Aggressive!$D$26,0)&lt;2,0.5,IF(ROUNDDOWN((G$59-$B66)/Aggressive!$D$26,0)&lt;3,0.75,IF(ROUNDDOWN((G$59-$B66)/Aggressive!$D$26,0)&lt;4,0.875,0.9375)))))+HLOOKUP($B66,$C$59:$Q$60,2,FALSE)*Aggressive!$C$27*(1-IF(ROUNDDOWN((G$59-$B66)/Aggressive!$D$27,0)&lt;1,0,IF(ROUNDDOWN((G$59-$B66)/Aggressive!$D$27,0)&lt;2,0.5,IF(ROUNDDOWN((G$59-$B66)/Aggressive!$D$27,0)&lt;3,0.75,IF(ROUNDDOWN((G$59-$B66)/Aggressive!$D$27,0)&lt;4,0.875,0.9375)))))+HLOOKUP($B66,$C$59:$Q$60,2,FALSE)*Aggressive!$C$28*(1-IF(ROUNDDOWN((G$59-$B66)/Aggressive!$D$28,0)&lt;1,0,IF(ROUNDDOWN((G$59-$B66)/Aggressive!$D$28,0)&lt;2,0.5,IF(ROUNDDOWN((G$59-$B66)/Aggressive!$D$28,0)&lt;3,0.75,IF(ROUNDDOWN((G$59-$B66)/Aggressive!$D$28,0)&lt;4,0.875,0.9375)))))</f>
        <v>0</v>
      </c>
      <c r="H66" s="135">
        <f>HLOOKUP($B66,$C$59:$Q$60,2,FALSE)*Aggressive!$C$23*(1-IF(ROUNDDOWN((H$59-$B66)/Aggressive!$D$23,0)&lt;1,0,IF(ROUNDDOWN((H$59-$B66)/Aggressive!$D$23,0)&lt;2,0.5,IF(ROUNDDOWN((H$59-$B66)/Aggressive!$D$23,0)&lt;3,0.75,IF(ROUNDDOWN((H$59-$B66)/Aggressive!$D$23,0)&lt;4,0.875,0.9375)))))+HLOOKUP($B66,$C$59:$Q$60,2,FALSE)*Aggressive!$C$24*(1-IF(ROUNDDOWN((H$59-$B66)/Aggressive!$D$24,0)&lt;1,0,IF(ROUNDDOWN((H$59-$B66)/Aggressive!$D$24,0)&lt;2,0.5,IF(ROUNDDOWN((H$59-$B66)/Aggressive!$D$24,0)&lt;3,0.75,IF(ROUNDDOWN((H$59-$B66)/Aggressive!$D$24,0)&lt;4,0.875,0.9375)))))+HLOOKUP($B66,$C$59:$Q$60,2,FALSE)*Aggressive!$C$25*(1-IF(ROUNDDOWN((H$59-$B66)/Aggressive!$D$25,0)&lt;1,0,IF(ROUNDDOWN((H$59-$B66)/Aggressive!$D$25,0)&lt;2,0.5,IF(ROUNDDOWN((H$59-$B66)/Aggressive!$D$25,0)&lt;3,0.75,IF(ROUNDDOWN((H$59-$B66)/Aggressive!$D$25,0)&lt;4,0.875,0.9375)))))+HLOOKUP($B66,$C$59:$Q$60,2,FALSE)*Aggressive!$C$26*(1-IF(ROUNDDOWN((H$59-$B66)/Aggressive!$D$26,0)&lt;1,0,IF(ROUNDDOWN((H$59-$B66)/Aggressive!$D$26,0)&lt;2,0.5,IF(ROUNDDOWN((H$59-$B66)/Aggressive!$D$26,0)&lt;3,0.75,IF(ROUNDDOWN((H$59-$B66)/Aggressive!$D$26,0)&lt;4,0.875,0.9375)))))+HLOOKUP($B66,$C$59:$Q$60,2,FALSE)*Aggressive!$C$27*(1-IF(ROUNDDOWN((H$59-$B66)/Aggressive!$D$27,0)&lt;1,0,IF(ROUNDDOWN((H$59-$B66)/Aggressive!$D$27,0)&lt;2,0.5,IF(ROUNDDOWN((H$59-$B66)/Aggressive!$D$27,0)&lt;3,0.75,IF(ROUNDDOWN((H$59-$B66)/Aggressive!$D$27,0)&lt;4,0.875,0.9375)))))+HLOOKUP($B66,$C$59:$Q$60,2,FALSE)*Aggressive!$C$28*(1-IF(ROUNDDOWN((H$59-$B66)/Aggressive!$D$28,0)&lt;1,0,IF(ROUNDDOWN((H$59-$B66)/Aggressive!$D$28,0)&lt;2,0.5,IF(ROUNDDOWN((H$59-$B66)/Aggressive!$D$28,0)&lt;3,0.75,IF(ROUNDDOWN((H$59-$B66)/Aggressive!$D$28,0)&lt;4,0.875,0.9375)))))</f>
        <v>0</v>
      </c>
      <c r="I66" s="135">
        <f>HLOOKUP($B66,$C$59:$Q$60,2,FALSE)*Aggressive!$C$23*(1-IF(ROUNDDOWN((I$59-$B66)/Aggressive!$D$23,0)&lt;1,0,IF(ROUNDDOWN((I$59-$B66)/Aggressive!$D$23,0)&lt;2,0.5,IF(ROUNDDOWN((I$59-$B66)/Aggressive!$D$23,0)&lt;3,0.75,IF(ROUNDDOWN((I$59-$B66)/Aggressive!$D$23,0)&lt;4,0.875,0.9375)))))+HLOOKUP($B66,$C$59:$Q$60,2,FALSE)*Aggressive!$C$24*(1-IF(ROUNDDOWN((I$59-$B66)/Aggressive!$D$24,0)&lt;1,0,IF(ROUNDDOWN((I$59-$B66)/Aggressive!$D$24,0)&lt;2,0.5,IF(ROUNDDOWN((I$59-$B66)/Aggressive!$D$24,0)&lt;3,0.75,IF(ROUNDDOWN((I$59-$B66)/Aggressive!$D$24,0)&lt;4,0.875,0.9375)))))+HLOOKUP($B66,$C$59:$Q$60,2,FALSE)*Aggressive!$C$25*(1-IF(ROUNDDOWN((I$59-$B66)/Aggressive!$D$25,0)&lt;1,0,IF(ROUNDDOWN((I$59-$B66)/Aggressive!$D$25,0)&lt;2,0.5,IF(ROUNDDOWN((I$59-$B66)/Aggressive!$D$25,0)&lt;3,0.75,IF(ROUNDDOWN((I$59-$B66)/Aggressive!$D$25,0)&lt;4,0.875,0.9375)))))+HLOOKUP($B66,$C$59:$Q$60,2,FALSE)*Aggressive!$C$26*(1-IF(ROUNDDOWN((I$59-$B66)/Aggressive!$D$26,0)&lt;1,0,IF(ROUNDDOWN((I$59-$B66)/Aggressive!$D$26,0)&lt;2,0.5,IF(ROUNDDOWN((I$59-$B66)/Aggressive!$D$26,0)&lt;3,0.75,IF(ROUNDDOWN((I$59-$B66)/Aggressive!$D$26,0)&lt;4,0.875,0.9375)))))+HLOOKUP($B66,$C$59:$Q$60,2,FALSE)*Aggressive!$C$27*(1-IF(ROUNDDOWN((I$59-$B66)/Aggressive!$D$27,0)&lt;1,0,IF(ROUNDDOWN((I$59-$B66)/Aggressive!$D$27,0)&lt;2,0.5,IF(ROUNDDOWN((I$59-$B66)/Aggressive!$D$27,0)&lt;3,0.75,IF(ROUNDDOWN((I$59-$B66)/Aggressive!$D$27,0)&lt;4,0.875,0.9375)))))+HLOOKUP($B66,$C$59:$Q$60,2,FALSE)*Aggressive!$C$28*(1-IF(ROUNDDOWN((I$59-$B66)/Aggressive!$D$28,0)&lt;1,0,IF(ROUNDDOWN((I$59-$B66)/Aggressive!$D$28,0)&lt;2,0.5,IF(ROUNDDOWN((I$59-$B66)/Aggressive!$D$28,0)&lt;3,0.75,IF(ROUNDDOWN((I$59-$B66)/Aggressive!$D$28,0)&lt;4,0.875,0.9375)))))</f>
        <v>0</v>
      </c>
      <c r="J66" s="135">
        <f>HLOOKUP($B66,$C$59:$Q$60,2,FALSE)*Aggressive!$C$23*(1-IF(ROUNDDOWN((J$59-$B66)/Aggressive!$D$23,0)&lt;1,0,IF(ROUNDDOWN((J$59-$B66)/Aggressive!$D$23,0)&lt;2,0.5,IF(ROUNDDOWN((J$59-$B66)/Aggressive!$D$23,0)&lt;3,0.75,IF(ROUNDDOWN((J$59-$B66)/Aggressive!$D$23,0)&lt;4,0.875,0.9375)))))+HLOOKUP($B66,$C$59:$Q$60,2,FALSE)*Aggressive!$C$24*(1-IF(ROUNDDOWN((J$59-$B66)/Aggressive!$D$24,0)&lt;1,0,IF(ROUNDDOWN((J$59-$B66)/Aggressive!$D$24,0)&lt;2,0.5,IF(ROUNDDOWN((J$59-$B66)/Aggressive!$D$24,0)&lt;3,0.75,IF(ROUNDDOWN((J$59-$B66)/Aggressive!$D$24,0)&lt;4,0.875,0.9375)))))+HLOOKUP($B66,$C$59:$Q$60,2,FALSE)*Aggressive!$C$25*(1-IF(ROUNDDOWN((J$59-$B66)/Aggressive!$D$25,0)&lt;1,0,IF(ROUNDDOWN((J$59-$B66)/Aggressive!$D$25,0)&lt;2,0.5,IF(ROUNDDOWN((J$59-$B66)/Aggressive!$D$25,0)&lt;3,0.75,IF(ROUNDDOWN((J$59-$B66)/Aggressive!$D$25,0)&lt;4,0.875,0.9375)))))+HLOOKUP($B66,$C$59:$Q$60,2,FALSE)*Aggressive!$C$26*(1-IF(ROUNDDOWN((J$59-$B66)/Aggressive!$D$26,0)&lt;1,0,IF(ROUNDDOWN((J$59-$B66)/Aggressive!$D$26,0)&lt;2,0.5,IF(ROUNDDOWN((J$59-$B66)/Aggressive!$D$26,0)&lt;3,0.75,IF(ROUNDDOWN((J$59-$B66)/Aggressive!$D$26,0)&lt;4,0.875,0.9375)))))+HLOOKUP($B66,$C$59:$Q$60,2,FALSE)*Aggressive!$C$27*(1-IF(ROUNDDOWN((J$59-$B66)/Aggressive!$D$27,0)&lt;1,0,IF(ROUNDDOWN((J$59-$B66)/Aggressive!$D$27,0)&lt;2,0.5,IF(ROUNDDOWN((J$59-$B66)/Aggressive!$D$27,0)&lt;3,0.75,IF(ROUNDDOWN((J$59-$B66)/Aggressive!$D$27,0)&lt;4,0.875,0.9375)))))+HLOOKUP($B66,$C$59:$Q$60,2,FALSE)*Aggressive!$C$28*(1-IF(ROUNDDOWN((J$59-$B66)/Aggressive!$D$28,0)&lt;1,0,IF(ROUNDDOWN((J$59-$B66)/Aggressive!$D$28,0)&lt;2,0.5,IF(ROUNDDOWN((J$59-$B66)/Aggressive!$D$28,0)&lt;3,0.75,IF(ROUNDDOWN((J$59-$B66)/Aggressive!$D$28,0)&lt;4,0.875,0.9375)))))</f>
        <v>0</v>
      </c>
      <c r="K66" s="135">
        <f>HLOOKUP($B66,$C$59:$Q$60,2,FALSE)*Aggressive!$C$23*(1-IF(ROUNDDOWN((K$59-$B66)/Aggressive!$D$23,0)&lt;1,0,IF(ROUNDDOWN((K$59-$B66)/Aggressive!$D$23,0)&lt;2,0.5,IF(ROUNDDOWN((K$59-$B66)/Aggressive!$D$23,0)&lt;3,0.75,IF(ROUNDDOWN((K$59-$B66)/Aggressive!$D$23,0)&lt;4,0.875,0.9375)))))+HLOOKUP($B66,$C$59:$Q$60,2,FALSE)*Aggressive!$C$24*(1-IF(ROUNDDOWN((K$59-$B66)/Aggressive!$D$24,0)&lt;1,0,IF(ROUNDDOWN((K$59-$B66)/Aggressive!$D$24,0)&lt;2,0.5,IF(ROUNDDOWN((K$59-$B66)/Aggressive!$D$24,0)&lt;3,0.75,IF(ROUNDDOWN((K$59-$B66)/Aggressive!$D$24,0)&lt;4,0.875,0.9375)))))+HLOOKUP($B66,$C$59:$Q$60,2,FALSE)*Aggressive!$C$25*(1-IF(ROUNDDOWN((K$59-$B66)/Aggressive!$D$25,0)&lt;1,0,IF(ROUNDDOWN((K$59-$B66)/Aggressive!$D$25,0)&lt;2,0.5,IF(ROUNDDOWN((K$59-$B66)/Aggressive!$D$25,0)&lt;3,0.75,IF(ROUNDDOWN((K$59-$B66)/Aggressive!$D$25,0)&lt;4,0.875,0.9375)))))+HLOOKUP($B66,$C$59:$Q$60,2,FALSE)*Aggressive!$C$26*(1-IF(ROUNDDOWN((K$59-$B66)/Aggressive!$D$26,0)&lt;1,0,IF(ROUNDDOWN((K$59-$B66)/Aggressive!$D$26,0)&lt;2,0.5,IF(ROUNDDOWN((K$59-$B66)/Aggressive!$D$26,0)&lt;3,0.75,IF(ROUNDDOWN((K$59-$B66)/Aggressive!$D$26,0)&lt;4,0.875,0.9375)))))+HLOOKUP($B66,$C$59:$Q$60,2,FALSE)*Aggressive!$C$27*(1-IF(ROUNDDOWN((K$59-$B66)/Aggressive!$D$27,0)&lt;1,0,IF(ROUNDDOWN((K$59-$B66)/Aggressive!$D$27,0)&lt;2,0.5,IF(ROUNDDOWN((K$59-$B66)/Aggressive!$D$27,0)&lt;3,0.75,IF(ROUNDDOWN((K$59-$B66)/Aggressive!$D$27,0)&lt;4,0.875,0.9375)))))+HLOOKUP($B66,$C$59:$Q$60,2,FALSE)*Aggressive!$C$28*(1-IF(ROUNDDOWN((K$59-$B66)/Aggressive!$D$28,0)&lt;1,0,IF(ROUNDDOWN((K$59-$B66)/Aggressive!$D$28,0)&lt;2,0.5,IF(ROUNDDOWN((K$59-$B66)/Aggressive!$D$28,0)&lt;3,0.75,IF(ROUNDDOWN((K$59-$B66)/Aggressive!$D$28,0)&lt;4,0.875,0.9375)))))</f>
        <v>0</v>
      </c>
      <c r="L66" s="135">
        <f>HLOOKUP($B66,$C$59:$Q$60,2,FALSE)*Aggressive!$C$23*(1-IF(ROUNDDOWN((L$59-$B66)/Aggressive!$D$23,0)&lt;1,0,IF(ROUNDDOWN((L$59-$B66)/Aggressive!$D$23,0)&lt;2,0.5,IF(ROUNDDOWN((L$59-$B66)/Aggressive!$D$23,0)&lt;3,0.75,IF(ROUNDDOWN((L$59-$B66)/Aggressive!$D$23,0)&lt;4,0.875,0.9375)))))+HLOOKUP($B66,$C$59:$Q$60,2,FALSE)*Aggressive!$C$24*(1-IF(ROUNDDOWN((L$59-$B66)/Aggressive!$D$24,0)&lt;1,0,IF(ROUNDDOWN((L$59-$B66)/Aggressive!$D$24,0)&lt;2,0.5,IF(ROUNDDOWN((L$59-$B66)/Aggressive!$D$24,0)&lt;3,0.75,IF(ROUNDDOWN((L$59-$B66)/Aggressive!$D$24,0)&lt;4,0.875,0.9375)))))+HLOOKUP($B66,$C$59:$Q$60,2,FALSE)*Aggressive!$C$25*(1-IF(ROUNDDOWN((L$59-$B66)/Aggressive!$D$25,0)&lt;1,0,IF(ROUNDDOWN((L$59-$B66)/Aggressive!$D$25,0)&lt;2,0.5,IF(ROUNDDOWN((L$59-$B66)/Aggressive!$D$25,0)&lt;3,0.75,IF(ROUNDDOWN((L$59-$B66)/Aggressive!$D$25,0)&lt;4,0.875,0.9375)))))+HLOOKUP($B66,$C$59:$Q$60,2,FALSE)*Aggressive!$C$26*(1-IF(ROUNDDOWN((L$59-$B66)/Aggressive!$D$26,0)&lt;1,0,IF(ROUNDDOWN((L$59-$B66)/Aggressive!$D$26,0)&lt;2,0.5,IF(ROUNDDOWN((L$59-$B66)/Aggressive!$D$26,0)&lt;3,0.75,IF(ROUNDDOWN((L$59-$B66)/Aggressive!$D$26,0)&lt;4,0.875,0.9375)))))+HLOOKUP($B66,$C$59:$Q$60,2,FALSE)*Aggressive!$C$27*(1-IF(ROUNDDOWN((L$59-$B66)/Aggressive!$D$27,0)&lt;1,0,IF(ROUNDDOWN((L$59-$B66)/Aggressive!$D$27,0)&lt;2,0.5,IF(ROUNDDOWN((L$59-$B66)/Aggressive!$D$27,0)&lt;3,0.75,IF(ROUNDDOWN((L$59-$B66)/Aggressive!$D$27,0)&lt;4,0.875,0.9375)))))+HLOOKUP($B66,$C$59:$Q$60,2,FALSE)*Aggressive!$C$28*(1-IF(ROUNDDOWN((L$59-$B66)/Aggressive!$D$28,0)&lt;1,0,IF(ROUNDDOWN((L$59-$B66)/Aggressive!$D$28,0)&lt;2,0.5,IF(ROUNDDOWN((L$59-$B66)/Aggressive!$D$28,0)&lt;3,0.75,IF(ROUNDDOWN((L$59-$B66)/Aggressive!$D$28,0)&lt;4,0.875,0.9375)))))</f>
        <v>0</v>
      </c>
      <c r="M66" s="135">
        <f>HLOOKUP($B66,$C$59:$Q$60,2,FALSE)*Aggressive!$C$23*(1-IF(ROUNDDOWN((M$59-$B66)/Aggressive!$D$23,0)&lt;1,0,IF(ROUNDDOWN((M$59-$B66)/Aggressive!$D$23,0)&lt;2,0.5,IF(ROUNDDOWN((M$59-$B66)/Aggressive!$D$23,0)&lt;3,0.75,IF(ROUNDDOWN((M$59-$B66)/Aggressive!$D$23,0)&lt;4,0.875,0.9375)))))+HLOOKUP($B66,$C$59:$Q$60,2,FALSE)*Aggressive!$C$24*(1-IF(ROUNDDOWN((M$59-$B66)/Aggressive!$D$24,0)&lt;1,0,IF(ROUNDDOWN((M$59-$B66)/Aggressive!$D$24,0)&lt;2,0.5,IF(ROUNDDOWN((M$59-$B66)/Aggressive!$D$24,0)&lt;3,0.75,IF(ROUNDDOWN((M$59-$B66)/Aggressive!$D$24,0)&lt;4,0.875,0.9375)))))+HLOOKUP($B66,$C$59:$Q$60,2,FALSE)*Aggressive!$C$25*(1-IF(ROUNDDOWN((M$59-$B66)/Aggressive!$D$25,0)&lt;1,0,IF(ROUNDDOWN((M$59-$B66)/Aggressive!$D$25,0)&lt;2,0.5,IF(ROUNDDOWN((M$59-$B66)/Aggressive!$D$25,0)&lt;3,0.75,IF(ROUNDDOWN((M$59-$B66)/Aggressive!$D$25,0)&lt;4,0.875,0.9375)))))+HLOOKUP($B66,$C$59:$Q$60,2,FALSE)*Aggressive!$C$26*(1-IF(ROUNDDOWN((M$59-$B66)/Aggressive!$D$26,0)&lt;1,0,IF(ROUNDDOWN((M$59-$B66)/Aggressive!$D$26,0)&lt;2,0.5,IF(ROUNDDOWN((M$59-$B66)/Aggressive!$D$26,0)&lt;3,0.75,IF(ROUNDDOWN((M$59-$B66)/Aggressive!$D$26,0)&lt;4,0.875,0.9375)))))+HLOOKUP($B66,$C$59:$Q$60,2,FALSE)*Aggressive!$C$27*(1-IF(ROUNDDOWN((M$59-$B66)/Aggressive!$D$27,0)&lt;1,0,IF(ROUNDDOWN((M$59-$B66)/Aggressive!$D$27,0)&lt;2,0.5,IF(ROUNDDOWN((M$59-$B66)/Aggressive!$D$27,0)&lt;3,0.75,IF(ROUNDDOWN((M$59-$B66)/Aggressive!$D$27,0)&lt;4,0.875,0.9375)))))+HLOOKUP($B66,$C$59:$Q$60,2,FALSE)*Aggressive!$C$28*(1-IF(ROUNDDOWN((M$59-$B66)/Aggressive!$D$28,0)&lt;1,0,IF(ROUNDDOWN((M$59-$B66)/Aggressive!$D$28,0)&lt;2,0.5,IF(ROUNDDOWN((M$59-$B66)/Aggressive!$D$28,0)&lt;3,0.75,IF(ROUNDDOWN((M$59-$B66)/Aggressive!$D$28,0)&lt;4,0.875,0.9375)))))</f>
        <v>0</v>
      </c>
      <c r="N66" s="135">
        <f>HLOOKUP($B66,$C$59:$Q$60,2,FALSE)*Aggressive!$C$23*(1-IF(ROUNDDOWN((N$59-$B66)/Aggressive!$D$23,0)&lt;1,0,IF(ROUNDDOWN((N$59-$B66)/Aggressive!$D$23,0)&lt;2,0.5,IF(ROUNDDOWN((N$59-$B66)/Aggressive!$D$23,0)&lt;3,0.75,IF(ROUNDDOWN((N$59-$B66)/Aggressive!$D$23,0)&lt;4,0.875,0.9375)))))+HLOOKUP($B66,$C$59:$Q$60,2,FALSE)*Aggressive!$C$24*(1-IF(ROUNDDOWN((N$59-$B66)/Aggressive!$D$24,0)&lt;1,0,IF(ROUNDDOWN((N$59-$B66)/Aggressive!$D$24,0)&lt;2,0.5,IF(ROUNDDOWN((N$59-$B66)/Aggressive!$D$24,0)&lt;3,0.75,IF(ROUNDDOWN((N$59-$B66)/Aggressive!$D$24,0)&lt;4,0.875,0.9375)))))+HLOOKUP($B66,$C$59:$Q$60,2,FALSE)*Aggressive!$C$25*(1-IF(ROUNDDOWN((N$59-$B66)/Aggressive!$D$25,0)&lt;1,0,IF(ROUNDDOWN((N$59-$B66)/Aggressive!$D$25,0)&lt;2,0.5,IF(ROUNDDOWN((N$59-$B66)/Aggressive!$D$25,0)&lt;3,0.75,IF(ROUNDDOWN((N$59-$B66)/Aggressive!$D$25,0)&lt;4,0.875,0.9375)))))+HLOOKUP($B66,$C$59:$Q$60,2,FALSE)*Aggressive!$C$26*(1-IF(ROUNDDOWN((N$59-$B66)/Aggressive!$D$26,0)&lt;1,0,IF(ROUNDDOWN((N$59-$B66)/Aggressive!$D$26,0)&lt;2,0.5,IF(ROUNDDOWN((N$59-$B66)/Aggressive!$D$26,0)&lt;3,0.75,IF(ROUNDDOWN((N$59-$B66)/Aggressive!$D$26,0)&lt;4,0.875,0.9375)))))+HLOOKUP($B66,$C$59:$Q$60,2,FALSE)*Aggressive!$C$27*(1-IF(ROUNDDOWN((N$59-$B66)/Aggressive!$D$27,0)&lt;1,0,IF(ROUNDDOWN((N$59-$B66)/Aggressive!$D$27,0)&lt;2,0.5,IF(ROUNDDOWN((N$59-$B66)/Aggressive!$D$27,0)&lt;3,0.75,IF(ROUNDDOWN((N$59-$B66)/Aggressive!$D$27,0)&lt;4,0.875,0.9375)))))+HLOOKUP($B66,$C$59:$Q$60,2,FALSE)*Aggressive!$C$28*(1-IF(ROUNDDOWN((N$59-$B66)/Aggressive!$D$28,0)&lt;1,0,IF(ROUNDDOWN((N$59-$B66)/Aggressive!$D$28,0)&lt;2,0.5,IF(ROUNDDOWN((N$59-$B66)/Aggressive!$D$28,0)&lt;3,0.75,IF(ROUNDDOWN((N$59-$B66)/Aggressive!$D$28,0)&lt;4,0.875,0.9375)))))</f>
        <v>0</v>
      </c>
      <c r="O66" s="135">
        <f>HLOOKUP($B66,$C$59:$Q$60,2,FALSE)*Aggressive!$C$23*(1-IF(ROUNDDOWN((O$59-$B66)/Aggressive!$D$23,0)&lt;1,0,IF(ROUNDDOWN((O$59-$B66)/Aggressive!$D$23,0)&lt;2,0.5,IF(ROUNDDOWN((O$59-$B66)/Aggressive!$D$23,0)&lt;3,0.75,IF(ROUNDDOWN((O$59-$B66)/Aggressive!$D$23,0)&lt;4,0.875,0.9375)))))+HLOOKUP($B66,$C$59:$Q$60,2,FALSE)*Aggressive!$C$24*(1-IF(ROUNDDOWN((O$59-$B66)/Aggressive!$D$24,0)&lt;1,0,IF(ROUNDDOWN((O$59-$B66)/Aggressive!$D$24,0)&lt;2,0.5,IF(ROUNDDOWN((O$59-$B66)/Aggressive!$D$24,0)&lt;3,0.75,IF(ROUNDDOWN((O$59-$B66)/Aggressive!$D$24,0)&lt;4,0.875,0.9375)))))+HLOOKUP($B66,$C$59:$Q$60,2,FALSE)*Aggressive!$C$25*(1-IF(ROUNDDOWN((O$59-$B66)/Aggressive!$D$25,0)&lt;1,0,IF(ROUNDDOWN((O$59-$B66)/Aggressive!$D$25,0)&lt;2,0.5,IF(ROUNDDOWN((O$59-$B66)/Aggressive!$D$25,0)&lt;3,0.75,IF(ROUNDDOWN((O$59-$B66)/Aggressive!$D$25,0)&lt;4,0.875,0.9375)))))+HLOOKUP($B66,$C$59:$Q$60,2,FALSE)*Aggressive!$C$26*(1-IF(ROUNDDOWN((O$59-$B66)/Aggressive!$D$26,0)&lt;1,0,IF(ROUNDDOWN((O$59-$B66)/Aggressive!$D$26,0)&lt;2,0.5,IF(ROUNDDOWN((O$59-$B66)/Aggressive!$D$26,0)&lt;3,0.75,IF(ROUNDDOWN((O$59-$B66)/Aggressive!$D$26,0)&lt;4,0.875,0.9375)))))+HLOOKUP($B66,$C$59:$Q$60,2,FALSE)*Aggressive!$C$27*(1-IF(ROUNDDOWN((O$59-$B66)/Aggressive!$D$27,0)&lt;1,0,IF(ROUNDDOWN((O$59-$B66)/Aggressive!$D$27,0)&lt;2,0.5,IF(ROUNDDOWN((O$59-$B66)/Aggressive!$D$27,0)&lt;3,0.75,IF(ROUNDDOWN((O$59-$B66)/Aggressive!$D$27,0)&lt;4,0.875,0.9375)))))+HLOOKUP($B66,$C$59:$Q$60,2,FALSE)*Aggressive!$C$28*(1-IF(ROUNDDOWN((O$59-$B66)/Aggressive!$D$28,0)&lt;1,0,IF(ROUNDDOWN((O$59-$B66)/Aggressive!$D$28,0)&lt;2,0.5,IF(ROUNDDOWN((O$59-$B66)/Aggressive!$D$28,0)&lt;3,0.75,IF(ROUNDDOWN((O$59-$B66)/Aggressive!$D$28,0)&lt;4,0.875,0.9375)))))</f>
        <v>0</v>
      </c>
      <c r="P66" s="135">
        <f>HLOOKUP($B66,$C$59:$Q$60,2,FALSE)*Aggressive!$C$23*(1-IF(ROUNDDOWN((P$59-$B66)/Aggressive!$D$23,0)&lt;1,0,IF(ROUNDDOWN((P$59-$B66)/Aggressive!$D$23,0)&lt;2,0.5,IF(ROUNDDOWN((P$59-$B66)/Aggressive!$D$23,0)&lt;3,0.75,IF(ROUNDDOWN((P$59-$B66)/Aggressive!$D$23,0)&lt;4,0.875,0.9375)))))+HLOOKUP($B66,$C$59:$Q$60,2,FALSE)*Aggressive!$C$24*(1-IF(ROUNDDOWN((P$59-$B66)/Aggressive!$D$24,0)&lt;1,0,IF(ROUNDDOWN((P$59-$B66)/Aggressive!$D$24,0)&lt;2,0.5,IF(ROUNDDOWN((P$59-$B66)/Aggressive!$D$24,0)&lt;3,0.75,IF(ROUNDDOWN((P$59-$B66)/Aggressive!$D$24,0)&lt;4,0.875,0.9375)))))+HLOOKUP($B66,$C$59:$Q$60,2,FALSE)*Aggressive!$C$25*(1-IF(ROUNDDOWN((P$59-$B66)/Aggressive!$D$25,0)&lt;1,0,IF(ROUNDDOWN((P$59-$B66)/Aggressive!$D$25,0)&lt;2,0.5,IF(ROUNDDOWN((P$59-$B66)/Aggressive!$D$25,0)&lt;3,0.75,IF(ROUNDDOWN((P$59-$B66)/Aggressive!$D$25,0)&lt;4,0.875,0.9375)))))+HLOOKUP($B66,$C$59:$Q$60,2,FALSE)*Aggressive!$C$26*(1-IF(ROUNDDOWN((P$59-$B66)/Aggressive!$D$26,0)&lt;1,0,IF(ROUNDDOWN((P$59-$B66)/Aggressive!$D$26,0)&lt;2,0.5,IF(ROUNDDOWN((P$59-$B66)/Aggressive!$D$26,0)&lt;3,0.75,IF(ROUNDDOWN((P$59-$B66)/Aggressive!$D$26,0)&lt;4,0.875,0.9375)))))+HLOOKUP($B66,$C$59:$Q$60,2,FALSE)*Aggressive!$C$27*(1-IF(ROUNDDOWN((P$59-$B66)/Aggressive!$D$27,0)&lt;1,0,IF(ROUNDDOWN((P$59-$B66)/Aggressive!$D$27,0)&lt;2,0.5,IF(ROUNDDOWN((P$59-$B66)/Aggressive!$D$27,0)&lt;3,0.75,IF(ROUNDDOWN((P$59-$B66)/Aggressive!$D$27,0)&lt;4,0.875,0.9375)))))+HLOOKUP($B66,$C$59:$Q$60,2,FALSE)*Aggressive!$C$28*(1-IF(ROUNDDOWN((P$59-$B66)/Aggressive!$D$28,0)&lt;1,0,IF(ROUNDDOWN((P$59-$B66)/Aggressive!$D$28,0)&lt;2,0.5,IF(ROUNDDOWN((P$59-$B66)/Aggressive!$D$28,0)&lt;3,0.75,IF(ROUNDDOWN((P$59-$B66)/Aggressive!$D$28,0)&lt;4,0.875,0.9375)))))</f>
        <v>0</v>
      </c>
      <c r="Q66" s="135">
        <f>HLOOKUP($B66,$C$59:$Q$60,2,FALSE)*Aggressive!$C$23*(1-IF(ROUNDDOWN((Q$59-$B66)/Aggressive!$D$23,0)&lt;1,0,IF(ROUNDDOWN((Q$59-$B66)/Aggressive!$D$23,0)&lt;2,0.5,IF(ROUNDDOWN((Q$59-$B66)/Aggressive!$D$23,0)&lt;3,0.75,IF(ROUNDDOWN((Q$59-$B66)/Aggressive!$D$23,0)&lt;4,0.875,0.9375)))))+HLOOKUP($B66,$C$59:$Q$60,2,FALSE)*Aggressive!$C$24*(1-IF(ROUNDDOWN((Q$59-$B66)/Aggressive!$D$24,0)&lt;1,0,IF(ROUNDDOWN((Q$59-$B66)/Aggressive!$D$24,0)&lt;2,0.5,IF(ROUNDDOWN((Q$59-$B66)/Aggressive!$D$24,0)&lt;3,0.75,IF(ROUNDDOWN((Q$59-$B66)/Aggressive!$D$24,0)&lt;4,0.875,0.9375)))))+HLOOKUP($B66,$C$59:$Q$60,2,FALSE)*Aggressive!$C$25*(1-IF(ROUNDDOWN((Q$59-$B66)/Aggressive!$D$25,0)&lt;1,0,IF(ROUNDDOWN((Q$59-$B66)/Aggressive!$D$25,0)&lt;2,0.5,IF(ROUNDDOWN((Q$59-$B66)/Aggressive!$D$25,0)&lt;3,0.75,IF(ROUNDDOWN((Q$59-$B66)/Aggressive!$D$25,0)&lt;4,0.875,0.9375)))))+HLOOKUP($B66,$C$59:$Q$60,2,FALSE)*Aggressive!$C$26*(1-IF(ROUNDDOWN((Q$59-$B66)/Aggressive!$D$26,0)&lt;1,0,IF(ROUNDDOWN((Q$59-$B66)/Aggressive!$D$26,0)&lt;2,0.5,IF(ROUNDDOWN((Q$59-$B66)/Aggressive!$D$26,0)&lt;3,0.75,IF(ROUNDDOWN((Q$59-$B66)/Aggressive!$D$26,0)&lt;4,0.875,0.9375)))))+HLOOKUP($B66,$C$59:$Q$60,2,FALSE)*Aggressive!$C$27*(1-IF(ROUNDDOWN((Q$59-$B66)/Aggressive!$D$27,0)&lt;1,0,IF(ROUNDDOWN((Q$59-$B66)/Aggressive!$D$27,0)&lt;2,0.5,IF(ROUNDDOWN((Q$59-$B66)/Aggressive!$D$27,0)&lt;3,0.75,IF(ROUNDDOWN((Q$59-$B66)/Aggressive!$D$27,0)&lt;4,0.875,0.9375)))))+HLOOKUP($B66,$C$59:$Q$60,2,FALSE)*Aggressive!$C$28*(1-IF(ROUNDDOWN((Q$59-$B66)/Aggressive!$D$28,0)&lt;1,0,IF(ROUNDDOWN((Q$59-$B66)/Aggressive!$D$28,0)&lt;2,0.5,IF(ROUNDDOWN((Q$59-$B66)/Aggressive!$D$28,0)&lt;3,0.75,IF(ROUNDDOWN((Q$59-$B66)/Aggressive!$D$28,0)&lt;4,0.875,0.9375)))))</f>
        <v>0</v>
      </c>
      <c r="R66" s="50"/>
    </row>
    <row r="67" spans="2:18" x14ac:dyDescent="0.3">
      <c r="B67" s="237">
        <f t="shared" si="14"/>
        <v>2019</v>
      </c>
      <c r="C67" s="135"/>
      <c r="D67" s="135"/>
      <c r="E67" s="135"/>
      <c r="F67" s="135"/>
      <c r="G67" s="135">
        <f>HLOOKUP($B67,$C$59:$Q$60,2,FALSE)*Aggressive!$C$23*(1-IF(ROUNDDOWN((G$59-$B67)/Aggressive!$D$23,0)&lt;1,0,IF(ROUNDDOWN((G$59-$B67)/Aggressive!$D$23,0)&lt;2,0.5,IF(ROUNDDOWN((G$59-$B67)/Aggressive!$D$23,0)&lt;3,0.75,IF(ROUNDDOWN((G$59-$B67)/Aggressive!$D$23,0)&lt;4,0.875,0.9375)))))+HLOOKUP($B67,$C$59:$Q$60,2,FALSE)*Aggressive!$C$24*(1-IF(ROUNDDOWN((G$59-$B67)/Aggressive!$D$24,0)&lt;1,0,IF(ROUNDDOWN((G$59-$B67)/Aggressive!$D$24,0)&lt;2,0.5,IF(ROUNDDOWN((G$59-$B67)/Aggressive!$D$24,0)&lt;3,0.75,IF(ROUNDDOWN((G$59-$B67)/Aggressive!$D$24,0)&lt;4,0.875,0.9375)))))+HLOOKUP($B67,$C$59:$Q$60,2,FALSE)*Aggressive!$C$25*(1-IF(ROUNDDOWN((G$59-$B67)/Aggressive!$D$25,0)&lt;1,0,IF(ROUNDDOWN((G$59-$B67)/Aggressive!$D$25,0)&lt;2,0.5,IF(ROUNDDOWN((G$59-$B67)/Aggressive!$D$25,0)&lt;3,0.75,IF(ROUNDDOWN((G$59-$B67)/Aggressive!$D$25,0)&lt;4,0.875,0.9375)))))+HLOOKUP($B67,$C$59:$Q$60,2,FALSE)*Aggressive!$C$26*(1-IF(ROUNDDOWN((G$59-$B67)/Aggressive!$D$26,0)&lt;1,0,IF(ROUNDDOWN((G$59-$B67)/Aggressive!$D$26,0)&lt;2,0.5,IF(ROUNDDOWN((G$59-$B67)/Aggressive!$D$26,0)&lt;3,0.75,IF(ROUNDDOWN((G$59-$B67)/Aggressive!$D$26,0)&lt;4,0.875,0.9375)))))+HLOOKUP($B67,$C$59:$Q$60,2,FALSE)*Aggressive!$C$27*(1-IF(ROUNDDOWN((G$59-$B67)/Aggressive!$D$27,0)&lt;1,0,IF(ROUNDDOWN((G$59-$B67)/Aggressive!$D$27,0)&lt;2,0.5,IF(ROUNDDOWN((G$59-$B67)/Aggressive!$D$27,0)&lt;3,0.75,IF(ROUNDDOWN((G$59-$B67)/Aggressive!$D$27,0)&lt;4,0.875,0.9375)))))+HLOOKUP($B67,$C$59:$Q$60,2,FALSE)*Aggressive!$C$28*(1-IF(ROUNDDOWN((G$59-$B67)/Aggressive!$D$28,0)&lt;1,0,IF(ROUNDDOWN((G$59-$B67)/Aggressive!$D$28,0)&lt;2,0.5,IF(ROUNDDOWN((G$59-$B67)/Aggressive!$D$28,0)&lt;3,0.75,IF(ROUNDDOWN((G$59-$B67)/Aggressive!$D$28,0)&lt;4,0.875,0.9375)))))</f>
        <v>0</v>
      </c>
      <c r="H67" s="135">
        <f>HLOOKUP($B67,$C$59:$Q$60,2,FALSE)*Aggressive!$C$23*(1-IF(ROUNDDOWN((H$59-$B67)/Aggressive!$D$23,0)&lt;1,0,IF(ROUNDDOWN((H$59-$B67)/Aggressive!$D$23,0)&lt;2,0.5,IF(ROUNDDOWN((H$59-$B67)/Aggressive!$D$23,0)&lt;3,0.75,IF(ROUNDDOWN((H$59-$B67)/Aggressive!$D$23,0)&lt;4,0.875,0.9375)))))+HLOOKUP($B67,$C$59:$Q$60,2,FALSE)*Aggressive!$C$24*(1-IF(ROUNDDOWN((H$59-$B67)/Aggressive!$D$24,0)&lt;1,0,IF(ROUNDDOWN((H$59-$B67)/Aggressive!$D$24,0)&lt;2,0.5,IF(ROUNDDOWN((H$59-$B67)/Aggressive!$D$24,0)&lt;3,0.75,IF(ROUNDDOWN((H$59-$B67)/Aggressive!$D$24,0)&lt;4,0.875,0.9375)))))+HLOOKUP($B67,$C$59:$Q$60,2,FALSE)*Aggressive!$C$25*(1-IF(ROUNDDOWN((H$59-$B67)/Aggressive!$D$25,0)&lt;1,0,IF(ROUNDDOWN((H$59-$B67)/Aggressive!$D$25,0)&lt;2,0.5,IF(ROUNDDOWN((H$59-$B67)/Aggressive!$D$25,0)&lt;3,0.75,IF(ROUNDDOWN((H$59-$B67)/Aggressive!$D$25,0)&lt;4,0.875,0.9375)))))+HLOOKUP($B67,$C$59:$Q$60,2,FALSE)*Aggressive!$C$26*(1-IF(ROUNDDOWN((H$59-$B67)/Aggressive!$D$26,0)&lt;1,0,IF(ROUNDDOWN((H$59-$B67)/Aggressive!$D$26,0)&lt;2,0.5,IF(ROUNDDOWN((H$59-$B67)/Aggressive!$D$26,0)&lt;3,0.75,IF(ROUNDDOWN((H$59-$B67)/Aggressive!$D$26,0)&lt;4,0.875,0.9375)))))+HLOOKUP($B67,$C$59:$Q$60,2,FALSE)*Aggressive!$C$27*(1-IF(ROUNDDOWN((H$59-$B67)/Aggressive!$D$27,0)&lt;1,0,IF(ROUNDDOWN((H$59-$B67)/Aggressive!$D$27,0)&lt;2,0.5,IF(ROUNDDOWN((H$59-$B67)/Aggressive!$D$27,0)&lt;3,0.75,IF(ROUNDDOWN((H$59-$B67)/Aggressive!$D$27,0)&lt;4,0.875,0.9375)))))+HLOOKUP($B67,$C$59:$Q$60,2,FALSE)*Aggressive!$C$28*(1-IF(ROUNDDOWN((H$59-$B67)/Aggressive!$D$28,0)&lt;1,0,IF(ROUNDDOWN((H$59-$B67)/Aggressive!$D$28,0)&lt;2,0.5,IF(ROUNDDOWN((H$59-$B67)/Aggressive!$D$28,0)&lt;3,0.75,IF(ROUNDDOWN((H$59-$B67)/Aggressive!$D$28,0)&lt;4,0.875,0.9375)))))</f>
        <v>0</v>
      </c>
      <c r="I67" s="135">
        <f>HLOOKUP($B67,$C$59:$Q$60,2,FALSE)*Aggressive!$C$23*(1-IF(ROUNDDOWN((I$59-$B67)/Aggressive!$D$23,0)&lt;1,0,IF(ROUNDDOWN((I$59-$B67)/Aggressive!$D$23,0)&lt;2,0.5,IF(ROUNDDOWN((I$59-$B67)/Aggressive!$D$23,0)&lt;3,0.75,IF(ROUNDDOWN((I$59-$B67)/Aggressive!$D$23,0)&lt;4,0.875,0.9375)))))+HLOOKUP($B67,$C$59:$Q$60,2,FALSE)*Aggressive!$C$24*(1-IF(ROUNDDOWN((I$59-$B67)/Aggressive!$D$24,0)&lt;1,0,IF(ROUNDDOWN((I$59-$B67)/Aggressive!$D$24,0)&lt;2,0.5,IF(ROUNDDOWN((I$59-$B67)/Aggressive!$D$24,0)&lt;3,0.75,IF(ROUNDDOWN((I$59-$B67)/Aggressive!$D$24,0)&lt;4,0.875,0.9375)))))+HLOOKUP($B67,$C$59:$Q$60,2,FALSE)*Aggressive!$C$25*(1-IF(ROUNDDOWN((I$59-$B67)/Aggressive!$D$25,0)&lt;1,0,IF(ROUNDDOWN((I$59-$B67)/Aggressive!$D$25,0)&lt;2,0.5,IF(ROUNDDOWN((I$59-$B67)/Aggressive!$D$25,0)&lt;3,0.75,IF(ROUNDDOWN((I$59-$B67)/Aggressive!$D$25,0)&lt;4,0.875,0.9375)))))+HLOOKUP($B67,$C$59:$Q$60,2,FALSE)*Aggressive!$C$26*(1-IF(ROUNDDOWN((I$59-$B67)/Aggressive!$D$26,0)&lt;1,0,IF(ROUNDDOWN((I$59-$B67)/Aggressive!$D$26,0)&lt;2,0.5,IF(ROUNDDOWN((I$59-$B67)/Aggressive!$D$26,0)&lt;3,0.75,IF(ROUNDDOWN((I$59-$B67)/Aggressive!$D$26,0)&lt;4,0.875,0.9375)))))+HLOOKUP($B67,$C$59:$Q$60,2,FALSE)*Aggressive!$C$27*(1-IF(ROUNDDOWN((I$59-$B67)/Aggressive!$D$27,0)&lt;1,0,IF(ROUNDDOWN((I$59-$B67)/Aggressive!$D$27,0)&lt;2,0.5,IF(ROUNDDOWN((I$59-$B67)/Aggressive!$D$27,0)&lt;3,0.75,IF(ROUNDDOWN((I$59-$B67)/Aggressive!$D$27,0)&lt;4,0.875,0.9375)))))+HLOOKUP($B67,$C$59:$Q$60,2,FALSE)*Aggressive!$C$28*(1-IF(ROUNDDOWN((I$59-$B67)/Aggressive!$D$28,0)&lt;1,0,IF(ROUNDDOWN((I$59-$B67)/Aggressive!$D$28,0)&lt;2,0.5,IF(ROUNDDOWN((I$59-$B67)/Aggressive!$D$28,0)&lt;3,0.75,IF(ROUNDDOWN((I$59-$B67)/Aggressive!$D$28,0)&lt;4,0.875,0.9375)))))</f>
        <v>0</v>
      </c>
      <c r="J67" s="135">
        <f>HLOOKUP($B67,$C$59:$Q$60,2,FALSE)*Aggressive!$C$23*(1-IF(ROUNDDOWN((J$59-$B67)/Aggressive!$D$23,0)&lt;1,0,IF(ROUNDDOWN((J$59-$B67)/Aggressive!$D$23,0)&lt;2,0.5,IF(ROUNDDOWN((J$59-$B67)/Aggressive!$D$23,0)&lt;3,0.75,IF(ROUNDDOWN((J$59-$B67)/Aggressive!$D$23,0)&lt;4,0.875,0.9375)))))+HLOOKUP($B67,$C$59:$Q$60,2,FALSE)*Aggressive!$C$24*(1-IF(ROUNDDOWN((J$59-$B67)/Aggressive!$D$24,0)&lt;1,0,IF(ROUNDDOWN((J$59-$B67)/Aggressive!$D$24,0)&lt;2,0.5,IF(ROUNDDOWN((J$59-$B67)/Aggressive!$D$24,0)&lt;3,0.75,IF(ROUNDDOWN((J$59-$B67)/Aggressive!$D$24,0)&lt;4,0.875,0.9375)))))+HLOOKUP($B67,$C$59:$Q$60,2,FALSE)*Aggressive!$C$25*(1-IF(ROUNDDOWN((J$59-$B67)/Aggressive!$D$25,0)&lt;1,0,IF(ROUNDDOWN((J$59-$B67)/Aggressive!$D$25,0)&lt;2,0.5,IF(ROUNDDOWN((J$59-$B67)/Aggressive!$D$25,0)&lt;3,0.75,IF(ROUNDDOWN((J$59-$B67)/Aggressive!$D$25,0)&lt;4,0.875,0.9375)))))+HLOOKUP($B67,$C$59:$Q$60,2,FALSE)*Aggressive!$C$26*(1-IF(ROUNDDOWN((J$59-$B67)/Aggressive!$D$26,0)&lt;1,0,IF(ROUNDDOWN((J$59-$B67)/Aggressive!$D$26,0)&lt;2,0.5,IF(ROUNDDOWN((J$59-$B67)/Aggressive!$D$26,0)&lt;3,0.75,IF(ROUNDDOWN((J$59-$B67)/Aggressive!$D$26,0)&lt;4,0.875,0.9375)))))+HLOOKUP($B67,$C$59:$Q$60,2,FALSE)*Aggressive!$C$27*(1-IF(ROUNDDOWN((J$59-$B67)/Aggressive!$D$27,0)&lt;1,0,IF(ROUNDDOWN((J$59-$B67)/Aggressive!$D$27,0)&lt;2,0.5,IF(ROUNDDOWN((J$59-$B67)/Aggressive!$D$27,0)&lt;3,0.75,IF(ROUNDDOWN((J$59-$B67)/Aggressive!$D$27,0)&lt;4,0.875,0.9375)))))+HLOOKUP($B67,$C$59:$Q$60,2,FALSE)*Aggressive!$C$28*(1-IF(ROUNDDOWN((J$59-$B67)/Aggressive!$D$28,0)&lt;1,0,IF(ROUNDDOWN((J$59-$B67)/Aggressive!$D$28,0)&lt;2,0.5,IF(ROUNDDOWN((J$59-$B67)/Aggressive!$D$28,0)&lt;3,0.75,IF(ROUNDDOWN((J$59-$B67)/Aggressive!$D$28,0)&lt;4,0.875,0.9375)))))</f>
        <v>0</v>
      </c>
      <c r="K67" s="135">
        <f>HLOOKUP($B67,$C$59:$Q$60,2,FALSE)*Aggressive!$C$23*(1-IF(ROUNDDOWN((K$59-$B67)/Aggressive!$D$23,0)&lt;1,0,IF(ROUNDDOWN((K$59-$B67)/Aggressive!$D$23,0)&lt;2,0.5,IF(ROUNDDOWN((K$59-$B67)/Aggressive!$D$23,0)&lt;3,0.75,IF(ROUNDDOWN((K$59-$B67)/Aggressive!$D$23,0)&lt;4,0.875,0.9375)))))+HLOOKUP($B67,$C$59:$Q$60,2,FALSE)*Aggressive!$C$24*(1-IF(ROUNDDOWN((K$59-$B67)/Aggressive!$D$24,0)&lt;1,0,IF(ROUNDDOWN((K$59-$B67)/Aggressive!$D$24,0)&lt;2,0.5,IF(ROUNDDOWN((K$59-$B67)/Aggressive!$D$24,0)&lt;3,0.75,IF(ROUNDDOWN((K$59-$B67)/Aggressive!$D$24,0)&lt;4,0.875,0.9375)))))+HLOOKUP($B67,$C$59:$Q$60,2,FALSE)*Aggressive!$C$25*(1-IF(ROUNDDOWN((K$59-$B67)/Aggressive!$D$25,0)&lt;1,0,IF(ROUNDDOWN((K$59-$B67)/Aggressive!$D$25,0)&lt;2,0.5,IF(ROUNDDOWN((K$59-$B67)/Aggressive!$D$25,0)&lt;3,0.75,IF(ROUNDDOWN((K$59-$B67)/Aggressive!$D$25,0)&lt;4,0.875,0.9375)))))+HLOOKUP($B67,$C$59:$Q$60,2,FALSE)*Aggressive!$C$26*(1-IF(ROUNDDOWN((K$59-$B67)/Aggressive!$D$26,0)&lt;1,0,IF(ROUNDDOWN((K$59-$B67)/Aggressive!$D$26,0)&lt;2,0.5,IF(ROUNDDOWN((K$59-$B67)/Aggressive!$D$26,0)&lt;3,0.75,IF(ROUNDDOWN((K$59-$B67)/Aggressive!$D$26,0)&lt;4,0.875,0.9375)))))+HLOOKUP($B67,$C$59:$Q$60,2,FALSE)*Aggressive!$C$27*(1-IF(ROUNDDOWN((K$59-$B67)/Aggressive!$D$27,0)&lt;1,0,IF(ROUNDDOWN((K$59-$B67)/Aggressive!$D$27,0)&lt;2,0.5,IF(ROUNDDOWN((K$59-$B67)/Aggressive!$D$27,0)&lt;3,0.75,IF(ROUNDDOWN((K$59-$B67)/Aggressive!$D$27,0)&lt;4,0.875,0.9375)))))+HLOOKUP($B67,$C$59:$Q$60,2,FALSE)*Aggressive!$C$28*(1-IF(ROUNDDOWN((K$59-$B67)/Aggressive!$D$28,0)&lt;1,0,IF(ROUNDDOWN((K$59-$B67)/Aggressive!$D$28,0)&lt;2,0.5,IF(ROUNDDOWN((K$59-$B67)/Aggressive!$D$28,0)&lt;3,0.75,IF(ROUNDDOWN((K$59-$B67)/Aggressive!$D$28,0)&lt;4,0.875,0.9375)))))</f>
        <v>0</v>
      </c>
      <c r="L67" s="135">
        <f>HLOOKUP($B67,$C$59:$Q$60,2,FALSE)*Aggressive!$C$23*(1-IF(ROUNDDOWN((L$59-$B67)/Aggressive!$D$23,0)&lt;1,0,IF(ROUNDDOWN((L$59-$B67)/Aggressive!$D$23,0)&lt;2,0.5,IF(ROUNDDOWN((L$59-$B67)/Aggressive!$D$23,0)&lt;3,0.75,IF(ROUNDDOWN((L$59-$B67)/Aggressive!$D$23,0)&lt;4,0.875,0.9375)))))+HLOOKUP($B67,$C$59:$Q$60,2,FALSE)*Aggressive!$C$24*(1-IF(ROUNDDOWN((L$59-$B67)/Aggressive!$D$24,0)&lt;1,0,IF(ROUNDDOWN((L$59-$B67)/Aggressive!$D$24,0)&lt;2,0.5,IF(ROUNDDOWN((L$59-$B67)/Aggressive!$D$24,0)&lt;3,0.75,IF(ROUNDDOWN((L$59-$B67)/Aggressive!$D$24,0)&lt;4,0.875,0.9375)))))+HLOOKUP($B67,$C$59:$Q$60,2,FALSE)*Aggressive!$C$25*(1-IF(ROUNDDOWN((L$59-$B67)/Aggressive!$D$25,0)&lt;1,0,IF(ROUNDDOWN((L$59-$B67)/Aggressive!$D$25,0)&lt;2,0.5,IF(ROUNDDOWN((L$59-$B67)/Aggressive!$D$25,0)&lt;3,0.75,IF(ROUNDDOWN((L$59-$B67)/Aggressive!$D$25,0)&lt;4,0.875,0.9375)))))+HLOOKUP($B67,$C$59:$Q$60,2,FALSE)*Aggressive!$C$26*(1-IF(ROUNDDOWN((L$59-$B67)/Aggressive!$D$26,0)&lt;1,0,IF(ROUNDDOWN((L$59-$B67)/Aggressive!$D$26,0)&lt;2,0.5,IF(ROUNDDOWN((L$59-$B67)/Aggressive!$D$26,0)&lt;3,0.75,IF(ROUNDDOWN((L$59-$B67)/Aggressive!$D$26,0)&lt;4,0.875,0.9375)))))+HLOOKUP($B67,$C$59:$Q$60,2,FALSE)*Aggressive!$C$27*(1-IF(ROUNDDOWN((L$59-$B67)/Aggressive!$D$27,0)&lt;1,0,IF(ROUNDDOWN((L$59-$B67)/Aggressive!$D$27,0)&lt;2,0.5,IF(ROUNDDOWN((L$59-$B67)/Aggressive!$D$27,0)&lt;3,0.75,IF(ROUNDDOWN((L$59-$B67)/Aggressive!$D$27,0)&lt;4,0.875,0.9375)))))+HLOOKUP($B67,$C$59:$Q$60,2,FALSE)*Aggressive!$C$28*(1-IF(ROUNDDOWN((L$59-$B67)/Aggressive!$D$28,0)&lt;1,0,IF(ROUNDDOWN((L$59-$B67)/Aggressive!$D$28,0)&lt;2,0.5,IF(ROUNDDOWN((L$59-$B67)/Aggressive!$D$28,0)&lt;3,0.75,IF(ROUNDDOWN((L$59-$B67)/Aggressive!$D$28,0)&lt;4,0.875,0.9375)))))</f>
        <v>0</v>
      </c>
      <c r="M67" s="135">
        <f>HLOOKUP($B67,$C$59:$Q$60,2,FALSE)*Aggressive!$C$23*(1-IF(ROUNDDOWN((M$59-$B67)/Aggressive!$D$23,0)&lt;1,0,IF(ROUNDDOWN((M$59-$B67)/Aggressive!$D$23,0)&lt;2,0.5,IF(ROUNDDOWN((M$59-$B67)/Aggressive!$D$23,0)&lt;3,0.75,IF(ROUNDDOWN((M$59-$B67)/Aggressive!$D$23,0)&lt;4,0.875,0.9375)))))+HLOOKUP($B67,$C$59:$Q$60,2,FALSE)*Aggressive!$C$24*(1-IF(ROUNDDOWN((M$59-$B67)/Aggressive!$D$24,0)&lt;1,0,IF(ROUNDDOWN((M$59-$B67)/Aggressive!$D$24,0)&lt;2,0.5,IF(ROUNDDOWN((M$59-$B67)/Aggressive!$D$24,0)&lt;3,0.75,IF(ROUNDDOWN((M$59-$B67)/Aggressive!$D$24,0)&lt;4,0.875,0.9375)))))+HLOOKUP($B67,$C$59:$Q$60,2,FALSE)*Aggressive!$C$25*(1-IF(ROUNDDOWN((M$59-$B67)/Aggressive!$D$25,0)&lt;1,0,IF(ROUNDDOWN((M$59-$B67)/Aggressive!$D$25,0)&lt;2,0.5,IF(ROUNDDOWN((M$59-$B67)/Aggressive!$D$25,0)&lt;3,0.75,IF(ROUNDDOWN((M$59-$B67)/Aggressive!$D$25,0)&lt;4,0.875,0.9375)))))+HLOOKUP($B67,$C$59:$Q$60,2,FALSE)*Aggressive!$C$26*(1-IF(ROUNDDOWN((M$59-$B67)/Aggressive!$D$26,0)&lt;1,0,IF(ROUNDDOWN((M$59-$B67)/Aggressive!$D$26,0)&lt;2,0.5,IF(ROUNDDOWN((M$59-$B67)/Aggressive!$D$26,0)&lt;3,0.75,IF(ROUNDDOWN((M$59-$B67)/Aggressive!$D$26,0)&lt;4,0.875,0.9375)))))+HLOOKUP($B67,$C$59:$Q$60,2,FALSE)*Aggressive!$C$27*(1-IF(ROUNDDOWN((M$59-$B67)/Aggressive!$D$27,0)&lt;1,0,IF(ROUNDDOWN((M$59-$B67)/Aggressive!$D$27,0)&lt;2,0.5,IF(ROUNDDOWN((M$59-$B67)/Aggressive!$D$27,0)&lt;3,0.75,IF(ROUNDDOWN((M$59-$B67)/Aggressive!$D$27,0)&lt;4,0.875,0.9375)))))+HLOOKUP($B67,$C$59:$Q$60,2,FALSE)*Aggressive!$C$28*(1-IF(ROUNDDOWN((M$59-$B67)/Aggressive!$D$28,0)&lt;1,0,IF(ROUNDDOWN((M$59-$B67)/Aggressive!$D$28,0)&lt;2,0.5,IF(ROUNDDOWN((M$59-$B67)/Aggressive!$D$28,0)&lt;3,0.75,IF(ROUNDDOWN((M$59-$B67)/Aggressive!$D$28,0)&lt;4,0.875,0.9375)))))</f>
        <v>0</v>
      </c>
      <c r="N67" s="135">
        <f>HLOOKUP($B67,$C$59:$Q$60,2,FALSE)*Aggressive!$C$23*(1-IF(ROUNDDOWN((N$59-$B67)/Aggressive!$D$23,0)&lt;1,0,IF(ROUNDDOWN((N$59-$B67)/Aggressive!$D$23,0)&lt;2,0.5,IF(ROUNDDOWN((N$59-$B67)/Aggressive!$D$23,0)&lt;3,0.75,IF(ROUNDDOWN((N$59-$B67)/Aggressive!$D$23,0)&lt;4,0.875,0.9375)))))+HLOOKUP($B67,$C$59:$Q$60,2,FALSE)*Aggressive!$C$24*(1-IF(ROUNDDOWN((N$59-$B67)/Aggressive!$D$24,0)&lt;1,0,IF(ROUNDDOWN((N$59-$B67)/Aggressive!$D$24,0)&lt;2,0.5,IF(ROUNDDOWN((N$59-$B67)/Aggressive!$D$24,0)&lt;3,0.75,IF(ROUNDDOWN((N$59-$B67)/Aggressive!$D$24,0)&lt;4,0.875,0.9375)))))+HLOOKUP($B67,$C$59:$Q$60,2,FALSE)*Aggressive!$C$25*(1-IF(ROUNDDOWN((N$59-$B67)/Aggressive!$D$25,0)&lt;1,0,IF(ROUNDDOWN((N$59-$B67)/Aggressive!$D$25,0)&lt;2,0.5,IF(ROUNDDOWN((N$59-$B67)/Aggressive!$D$25,0)&lt;3,0.75,IF(ROUNDDOWN((N$59-$B67)/Aggressive!$D$25,0)&lt;4,0.875,0.9375)))))+HLOOKUP($B67,$C$59:$Q$60,2,FALSE)*Aggressive!$C$26*(1-IF(ROUNDDOWN((N$59-$B67)/Aggressive!$D$26,0)&lt;1,0,IF(ROUNDDOWN((N$59-$B67)/Aggressive!$D$26,0)&lt;2,0.5,IF(ROUNDDOWN((N$59-$B67)/Aggressive!$D$26,0)&lt;3,0.75,IF(ROUNDDOWN((N$59-$B67)/Aggressive!$D$26,0)&lt;4,0.875,0.9375)))))+HLOOKUP($B67,$C$59:$Q$60,2,FALSE)*Aggressive!$C$27*(1-IF(ROUNDDOWN((N$59-$B67)/Aggressive!$D$27,0)&lt;1,0,IF(ROUNDDOWN((N$59-$B67)/Aggressive!$D$27,0)&lt;2,0.5,IF(ROUNDDOWN((N$59-$B67)/Aggressive!$D$27,0)&lt;3,0.75,IF(ROUNDDOWN((N$59-$B67)/Aggressive!$D$27,0)&lt;4,0.875,0.9375)))))+HLOOKUP($B67,$C$59:$Q$60,2,FALSE)*Aggressive!$C$28*(1-IF(ROUNDDOWN((N$59-$B67)/Aggressive!$D$28,0)&lt;1,0,IF(ROUNDDOWN((N$59-$B67)/Aggressive!$D$28,0)&lt;2,0.5,IF(ROUNDDOWN((N$59-$B67)/Aggressive!$D$28,0)&lt;3,0.75,IF(ROUNDDOWN((N$59-$B67)/Aggressive!$D$28,0)&lt;4,0.875,0.9375)))))</f>
        <v>0</v>
      </c>
      <c r="O67" s="135">
        <f>HLOOKUP($B67,$C$59:$Q$60,2,FALSE)*Aggressive!$C$23*(1-IF(ROUNDDOWN((O$59-$B67)/Aggressive!$D$23,0)&lt;1,0,IF(ROUNDDOWN((O$59-$B67)/Aggressive!$D$23,0)&lt;2,0.5,IF(ROUNDDOWN((O$59-$B67)/Aggressive!$D$23,0)&lt;3,0.75,IF(ROUNDDOWN((O$59-$B67)/Aggressive!$D$23,0)&lt;4,0.875,0.9375)))))+HLOOKUP($B67,$C$59:$Q$60,2,FALSE)*Aggressive!$C$24*(1-IF(ROUNDDOWN((O$59-$B67)/Aggressive!$D$24,0)&lt;1,0,IF(ROUNDDOWN((O$59-$B67)/Aggressive!$D$24,0)&lt;2,0.5,IF(ROUNDDOWN((O$59-$B67)/Aggressive!$D$24,0)&lt;3,0.75,IF(ROUNDDOWN((O$59-$B67)/Aggressive!$D$24,0)&lt;4,0.875,0.9375)))))+HLOOKUP($B67,$C$59:$Q$60,2,FALSE)*Aggressive!$C$25*(1-IF(ROUNDDOWN((O$59-$B67)/Aggressive!$D$25,0)&lt;1,0,IF(ROUNDDOWN((O$59-$B67)/Aggressive!$D$25,0)&lt;2,0.5,IF(ROUNDDOWN((O$59-$B67)/Aggressive!$D$25,0)&lt;3,0.75,IF(ROUNDDOWN((O$59-$B67)/Aggressive!$D$25,0)&lt;4,0.875,0.9375)))))+HLOOKUP($B67,$C$59:$Q$60,2,FALSE)*Aggressive!$C$26*(1-IF(ROUNDDOWN((O$59-$B67)/Aggressive!$D$26,0)&lt;1,0,IF(ROUNDDOWN((O$59-$B67)/Aggressive!$D$26,0)&lt;2,0.5,IF(ROUNDDOWN((O$59-$B67)/Aggressive!$D$26,0)&lt;3,0.75,IF(ROUNDDOWN((O$59-$B67)/Aggressive!$D$26,0)&lt;4,0.875,0.9375)))))+HLOOKUP($B67,$C$59:$Q$60,2,FALSE)*Aggressive!$C$27*(1-IF(ROUNDDOWN((O$59-$B67)/Aggressive!$D$27,0)&lt;1,0,IF(ROUNDDOWN((O$59-$B67)/Aggressive!$D$27,0)&lt;2,0.5,IF(ROUNDDOWN((O$59-$B67)/Aggressive!$D$27,0)&lt;3,0.75,IF(ROUNDDOWN((O$59-$B67)/Aggressive!$D$27,0)&lt;4,0.875,0.9375)))))+HLOOKUP($B67,$C$59:$Q$60,2,FALSE)*Aggressive!$C$28*(1-IF(ROUNDDOWN((O$59-$B67)/Aggressive!$D$28,0)&lt;1,0,IF(ROUNDDOWN((O$59-$B67)/Aggressive!$D$28,0)&lt;2,0.5,IF(ROUNDDOWN((O$59-$B67)/Aggressive!$D$28,0)&lt;3,0.75,IF(ROUNDDOWN((O$59-$B67)/Aggressive!$D$28,0)&lt;4,0.875,0.9375)))))</f>
        <v>0</v>
      </c>
      <c r="P67" s="135">
        <f>HLOOKUP($B67,$C$59:$Q$60,2,FALSE)*Aggressive!$C$23*(1-IF(ROUNDDOWN((P$59-$B67)/Aggressive!$D$23,0)&lt;1,0,IF(ROUNDDOWN((P$59-$B67)/Aggressive!$D$23,0)&lt;2,0.5,IF(ROUNDDOWN((P$59-$B67)/Aggressive!$D$23,0)&lt;3,0.75,IF(ROUNDDOWN((P$59-$B67)/Aggressive!$D$23,0)&lt;4,0.875,0.9375)))))+HLOOKUP($B67,$C$59:$Q$60,2,FALSE)*Aggressive!$C$24*(1-IF(ROUNDDOWN((P$59-$B67)/Aggressive!$D$24,0)&lt;1,0,IF(ROUNDDOWN((P$59-$B67)/Aggressive!$D$24,0)&lt;2,0.5,IF(ROUNDDOWN((P$59-$B67)/Aggressive!$D$24,0)&lt;3,0.75,IF(ROUNDDOWN((P$59-$B67)/Aggressive!$D$24,0)&lt;4,0.875,0.9375)))))+HLOOKUP($B67,$C$59:$Q$60,2,FALSE)*Aggressive!$C$25*(1-IF(ROUNDDOWN((P$59-$B67)/Aggressive!$D$25,0)&lt;1,0,IF(ROUNDDOWN((P$59-$B67)/Aggressive!$D$25,0)&lt;2,0.5,IF(ROUNDDOWN((P$59-$B67)/Aggressive!$D$25,0)&lt;3,0.75,IF(ROUNDDOWN((P$59-$B67)/Aggressive!$D$25,0)&lt;4,0.875,0.9375)))))+HLOOKUP($B67,$C$59:$Q$60,2,FALSE)*Aggressive!$C$26*(1-IF(ROUNDDOWN((P$59-$B67)/Aggressive!$D$26,0)&lt;1,0,IF(ROUNDDOWN((P$59-$B67)/Aggressive!$D$26,0)&lt;2,0.5,IF(ROUNDDOWN((P$59-$B67)/Aggressive!$D$26,0)&lt;3,0.75,IF(ROUNDDOWN((P$59-$B67)/Aggressive!$D$26,0)&lt;4,0.875,0.9375)))))+HLOOKUP($B67,$C$59:$Q$60,2,FALSE)*Aggressive!$C$27*(1-IF(ROUNDDOWN((P$59-$B67)/Aggressive!$D$27,0)&lt;1,0,IF(ROUNDDOWN((P$59-$B67)/Aggressive!$D$27,0)&lt;2,0.5,IF(ROUNDDOWN((P$59-$B67)/Aggressive!$D$27,0)&lt;3,0.75,IF(ROUNDDOWN((P$59-$B67)/Aggressive!$D$27,0)&lt;4,0.875,0.9375)))))+HLOOKUP($B67,$C$59:$Q$60,2,FALSE)*Aggressive!$C$28*(1-IF(ROUNDDOWN((P$59-$B67)/Aggressive!$D$28,0)&lt;1,0,IF(ROUNDDOWN((P$59-$B67)/Aggressive!$D$28,0)&lt;2,0.5,IF(ROUNDDOWN((P$59-$B67)/Aggressive!$D$28,0)&lt;3,0.75,IF(ROUNDDOWN((P$59-$B67)/Aggressive!$D$28,0)&lt;4,0.875,0.9375)))))</f>
        <v>0</v>
      </c>
      <c r="Q67" s="135">
        <f>HLOOKUP($B67,$C$59:$Q$60,2,FALSE)*Aggressive!$C$23*(1-IF(ROUNDDOWN((Q$59-$B67)/Aggressive!$D$23,0)&lt;1,0,IF(ROUNDDOWN((Q$59-$B67)/Aggressive!$D$23,0)&lt;2,0.5,IF(ROUNDDOWN((Q$59-$B67)/Aggressive!$D$23,0)&lt;3,0.75,IF(ROUNDDOWN((Q$59-$B67)/Aggressive!$D$23,0)&lt;4,0.875,0.9375)))))+HLOOKUP($B67,$C$59:$Q$60,2,FALSE)*Aggressive!$C$24*(1-IF(ROUNDDOWN((Q$59-$B67)/Aggressive!$D$24,0)&lt;1,0,IF(ROUNDDOWN((Q$59-$B67)/Aggressive!$D$24,0)&lt;2,0.5,IF(ROUNDDOWN((Q$59-$B67)/Aggressive!$D$24,0)&lt;3,0.75,IF(ROUNDDOWN((Q$59-$B67)/Aggressive!$D$24,0)&lt;4,0.875,0.9375)))))+HLOOKUP($B67,$C$59:$Q$60,2,FALSE)*Aggressive!$C$25*(1-IF(ROUNDDOWN((Q$59-$B67)/Aggressive!$D$25,0)&lt;1,0,IF(ROUNDDOWN((Q$59-$B67)/Aggressive!$D$25,0)&lt;2,0.5,IF(ROUNDDOWN((Q$59-$B67)/Aggressive!$D$25,0)&lt;3,0.75,IF(ROUNDDOWN((Q$59-$B67)/Aggressive!$D$25,0)&lt;4,0.875,0.9375)))))+HLOOKUP($B67,$C$59:$Q$60,2,FALSE)*Aggressive!$C$26*(1-IF(ROUNDDOWN((Q$59-$B67)/Aggressive!$D$26,0)&lt;1,0,IF(ROUNDDOWN((Q$59-$B67)/Aggressive!$D$26,0)&lt;2,0.5,IF(ROUNDDOWN((Q$59-$B67)/Aggressive!$D$26,0)&lt;3,0.75,IF(ROUNDDOWN((Q$59-$B67)/Aggressive!$D$26,0)&lt;4,0.875,0.9375)))))+HLOOKUP($B67,$C$59:$Q$60,2,FALSE)*Aggressive!$C$27*(1-IF(ROUNDDOWN((Q$59-$B67)/Aggressive!$D$27,0)&lt;1,0,IF(ROUNDDOWN((Q$59-$B67)/Aggressive!$D$27,0)&lt;2,0.5,IF(ROUNDDOWN((Q$59-$B67)/Aggressive!$D$27,0)&lt;3,0.75,IF(ROUNDDOWN((Q$59-$B67)/Aggressive!$D$27,0)&lt;4,0.875,0.9375)))))+HLOOKUP($B67,$C$59:$Q$60,2,FALSE)*Aggressive!$C$28*(1-IF(ROUNDDOWN((Q$59-$B67)/Aggressive!$D$28,0)&lt;1,0,IF(ROUNDDOWN((Q$59-$B67)/Aggressive!$D$28,0)&lt;2,0.5,IF(ROUNDDOWN((Q$59-$B67)/Aggressive!$D$28,0)&lt;3,0.75,IF(ROUNDDOWN((Q$59-$B67)/Aggressive!$D$28,0)&lt;4,0.875,0.9375)))))</f>
        <v>0</v>
      </c>
      <c r="R67" s="50"/>
    </row>
    <row r="68" spans="2:18" x14ac:dyDescent="0.3">
      <c r="B68" s="237">
        <f t="shared" si="14"/>
        <v>2020</v>
      </c>
      <c r="C68" s="135"/>
      <c r="D68" s="135"/>
      <c r="E68" s="135"/>
      <c r="F68" s="135"/>
      <c r="G68" s="135"/>
      <c r="H68" s="135">
        <f>HLOOKUP($B68,$C$59:$Q$60,2,FALSE)*Aggressive!$C$23*(1-IF(ROUNDDOWN((H$59-$B68)/Aggressive!$D$23,0)&lt;1,0,IF(ROUNDDOWN((H$59-$B68)/Aggressive!$D$23,0)&lt;2,0.5,IF(ROUNDDOWN((H$59-$B68)/Aggressive!$D$23,0)&lt;3,0.75,IF(ROUNDDOWN((H$59-$B68)/Aggressive!$D$23,0)&lt;4,0.875,0.9375)))))+HLOOKUP($B68,$C$59:$Q$60,2,FALSE)*Aggressive!$C$24*(1-IF(ROUNDDOWN((H$59-$B68)/Aggressive!$D$24,0)&lt;1,0,IF(ROUNDDOWN((H$59-$B68)/Aggressive!$D$24,0)&lt;2,0.5,IF(ROUNDDOWN((H$59-$B68)/Aggressive!$D$24,0)&lt;3,0.75,IF(ROUNDDOWN((H$59-$B68)/Aggressive!$D$24,0)&lt;4,0.875,0.9375)))))+HLOOKUP($B68,$C$59:$Q$60,2,FALSE)*Aggressive!$C$25*(1-IF(ROUNDDOWN((H$59-$B68)/Aggressive!$D$25,0)&lt;1,0,IF(ROUNDDOWN((H$59-$B68)/Aggressive!$D$25,0)&lt;2,0.5,IF(ROUNDDOWN((H$59-$B68)/Aggressive!$D$25,0)&lt;3,0.75,IF(ROUNDDOWN((H$59-$B68)/Aggressive!$D$25,0)&lt;4,0.875,0.9375)))))+HLOOKUP($B68,$C$59:$Q$60,2,FALSE)*Aggressive!$C$26*(1-IF(ROUNDDOWN((H$59-$B68)/Aggressive!$D$26,0)&lt;1,0,IF(ROUNDDOWN((H$59-$B68)/Aggressive!$D$26,0)&lt;2,0.5,IF(ROUNDDOWN((H$59-$B68)/Aggressive!$D$26,0)&lt;3,0.75,IF(ROUNDDOWN((H$59-$B68)/Aggressive!$D$26,0)&lt;4,0.875,0.9375)))))+HLOOKUP($B68,$C$59:$Q$60,2,FALSE)*Aggressive!$C$27*(1-IF(ROUNDDOWN((H$59-$B68)/Aggressive!$D$27,0)&lt;1,0,IF(ROUNDDOWN((H$59-$B68)/Aggressive!$D$27,0)&lt;2,0.5,IF(ROUNDDOWN((H$59-$B68)/Aggressive!$D$27,0)&lt;3,0.75,IF(ROUNDDOWN((H$59-$B68)/Aggressive!$D$27,0)&lt;4,0.875,0.9375)))))+HLOOKUP($B68,$C$59:$Q$60,2,FALSE)*Aggressive!$C$28*(1-IF(ROUNDDOWN((H$59-$B68)/Aggressive!$D$28,0)&lt;1,0,IF(ROUNDDOWN((H$59-$B68)/Aggressive!$D$28,0)&lt;2,0.5,IF(ROUNDDOWN((H$59-$B68)/Aggressive!$D$28,0)&lt;3,0.75,IF(ROUNDDOWN((H$59-$B68)/Aggressive!$D$28,0)&lt;4,0.875,0.9375)))))</f>
        <v>0</v>
      </c>
      <c r="I68" s="135">
        <f>HLOOKUP($B68,$C$59:$Q$60,2,FALSE)*Aggressive!$C$23*(1-IF(ROUNDDOWN((I$59-$B68)/Aggressive!$D$23,0)&lt;1,0,IF(ROUNDDOWN((I$59-$B68)/Aggressive!$D$23,0)&lt;2,0.5,IF(ROUNDDOWN((I$59-$B68)/Aggressive!$D$23,0)&lt;3,0.75,IF(ROUNDDOWN((I$59-$B68)/Aggressive!$D$23,0)&lt;4,0.875,0.9375)))))+HLOOKUP($B68,$C$59:$Q$60,2,FALSE)*Aggressive!$C$24*(1-IF(ROUNDDOWN((I$59-$B68)/Aggressive!$D$24,0)&lt;1,0,IF(ROUNDDOWN((I$59-$B68)/Aggressive!$D$24,0)&lt;2,0.5,IF(ROUNDDOWN((I$59-$B68)/Aggressive!$D$24,0)&lt;3,0.75,IF(ROUNDDOWN((I$59-$B68)/Aggressive!$D$24,0)&lt;4,0.875,0.9375)))))+HLOOKUP($B68,$C$59:$Q$60,2,FALSE)*Aggressive!$C$25*(1-IF(ROUNDDOWN((I$59-$B68)/Aggressive!$D$25,0)&lt;1,0,IF(ROUNDDOWN((I$59-$B68)/Aggressive!$D$25,0)&lt;2,0.5,IF(ROUNDDOWN((I$59-$B68)/Aggressive!$D$25,0)&lt;3,0.75,IF(ROUNDDOWN((I$59-$B68)/Aggressive!$D$25,0)&lt;4,0.875,0.9375)))))+HLOOKUP($B68,$C$59:$Q$60,2,FALSE)*Aggressive!$C$26*(1-IF(ROUNDDOWN((I$59-$B68)/Aggressive!$D$26,0)&lt;1,0,IF(ROUNDDOWN((I$59-$B68)/Aggressive!$D$26,0)&lt;2,0.5,IF(ROUNDDOWN((I$59-$B68)/Aggressive!$D$26,0)&lt;3,0.75,IF(ROUNDDOWN((I$59-$B68)/Aggressive!$D$26,0)&lt;4,0.875,0.9375)))))+HLOOKUP($B68,$C$59:$Q$60,2,FALSE)*Aggressive!$C$27*(1-IF(ROUNDDOWN((I$59-$B68)/Aggressive!$D$27,0)&lt;1,0,IF(ROUNDDOWN((I$59-$B68)/Aggressive!$D$27,0)&lt;2,0.5,IF(ROUNDDOWN((I$59-$B68)/Aggressive!$D$27,0)&lt;3,0.75,IF(ROUNDDOWN((I$59-$B68)/Aggressive!$D$27,0)&lt;4,0.875,0.9375)))))+HLOOKUP($B68,$C$59:$Q$60,2,FALSE)*Aggressive!$C$28*(1-IF(ROUNDDOWN((I$59-$B68)/Aggressive!$D$28,0)&lt;1,0,IF(ROUNDDOWN((I$59-$B68)/Aggressive!$D$28,0)&lt;2,0.5,IF(ROUNDDOWN((I$59-$B68)/Aggressive!$D$28,0)&lt;3,0.75,IF(ROUNDDOWN((I$59-$B68)/Aggressive!$D$28,0)&lt;4,0.875,0.9375)))))</f>
        <v>0</v>
      </c>
      <c r="J68" s="135">
        <f>HLOOKUP($B68,$C$59:$Q$60,2,FALSE)*Aggressive!$C$23*(1-IF(ROUNDDOWN((J$59-$B68)/Aggressive!$D$23,0)&lt;1,0,IF(ROUNDDOWN((J$59-$B68)/Aggressive!$D$23,0)&lt;2,0.5,IF(ROUNDDOWN((J$59-$B68)/Aggressive!$D$23,0)&lt;3,0.75,IF(ROUNDDOWN((J$59-$B68)/Aggressive!$D$23,0)&lt;4,0.875,0.9375)))))+HLOOKUP($B68,$C$59:$Q$60,2,FALSE)*Aggressive!$C$24*(1-IF(ROUNDDOWN((J$59-$B68)/Aggressive!$D$24,0)&lt;1,0,IF(ROUNDDOWN((J$59-$B68)/Aggressive!$D$24,0)&lt;2,0.5,IF(ROUNDDOWN((J$59-$B68)/Aggressive!$D$24,0)&lt;3,0.75,IF(ROUNDDOWN((J$59-$B68)/Aggressive!$D$24,0)&lt;4,0.875,0.9375)))))+HLOOKUP($B68,$C$59:$Q$60,2,FALSE)*Aggressive!$C$25*(1-IF(ROUNDDOWN((J$59-$B68)/Aggressive!$D$25,0)&lt;1,0,IF(ROUNDDOWN((J$59-$B68)/Aggressive!$D$25,0)&lt;2,0.5,IF(ROUNDDOWN((J$59-$B68)/Aggressive!$D$25,0)&lt;3,0.75,IF(ROUNDDOWN((J$59-$B68)/Aggressive!$D$25,0)&lt;4,0.875,0.9375)))))+HLOOKUP($B68,$C$59:$Q$60,2,FALSE)*Aggressive!$C$26*(1-IF(ROUNDDOWN((J$59-$B68)/Aggressive!$D$26,0)&lt;1,0,IF(ROUNDDOWN((J$59-$B68)/Aggressive!$D$26,0)&lt;2,0.5,IF(ROUNDDOWN((J$59-$B68)/Aggressive!$D$26,0)&lt;3,0.75,IF(ROUNDDOWN((J$59-$B68)/Aggressive!$D$26,0)&lt;4,0.875,0.9375)))))+HLOOKUP($B68,$C$59:$Q$60,2,FALSE)*Aggressive!$C$27*(1-IF(ROUNDDOWN((J$59-$B68)/Aggressive!$D$27,0)&lt;1,0,IF(ROUNDDOWN((J$59-$B68)/Aggressive!$D$27,0)&lt;2,0.5,IF(ROUNDDOWN((J$59-$B68)/Aggressive!$D$27,0)&lt;3,0.75,IF(ROUNDDOWN((J$59-$B68)/Aggressive!$D$27,0)&lt;4,0.875,0.9375)))))+HLOOKUP($B68,$C$59:$Q$60,2,FALSE)*Aggressive!$C$28*(1-IF(ROUNDDOWN((J$59-$B68)/Aggressive!$D$28,0)&lt;1,0,IF(ROUNDDOWN((J$59-$B68)/Aggressive!$D$28,0)&lt;2,0.5,IF(ROUNDDOWN((J$59-$B68)/Aggressive!$D$28,0)&lt;3,0.75,IF(ROUNDDOWN((J$59-$B68)/Aggressive!$D$28,0)&lt;4,0.875,0.9375)))))</f>
        <v>0</v>
      </c>
      <c r="K68" s="135">
        <f>HLOOKUP($B68,$C$59:$Q$60,2,FALSE)*Aggressive!$C$23*(1-IF(ROUNDDOWN((K$59-$B68)/Aggressive!$D$23,0)&lt;1,0,IF(ROUNDDOWN((K$59-$B68)/Aggressive!$D$23,0)&lt;2,0.5,IF(ROUNDDOWN((K$59-$B68)/Aggressive!$D$23,0)&lt;3,0.75,IF(ROUNDDOWN((K$59-$B68)/Aggressive!$D$23,0)&lt;4,0.875,0.9375)))))+HLOOKUP($B68,$C$59:$Q$60,2,FALSE)*Aggressive!$C$24*(1-IF(ROUNDDOWN((K$59-$B68)/Aggressive!$D$24,0)&lt;1,0,IF(ROUNDDOWN((K$59-$B68)/Aggressive!$D$24,0)&lt;2,0.5,IF(ROUNDDOWN((K$59-$B68)/Aggressive!$D$24,0)&lt;3,0.75,IF(ROUNDDOWN((K$59-$B68)/Aggressive!$D$24,0)&lt;4,0.875,0.9375)))))+HLOOKUP($B68,$C$59:$Q$60,2,FALSE)*Aggressive!$C$25*(1-IF(ROUNDDOWN((K$59-$B68)/Aggressive!$D$25,0)&lt;1,0,IF(ROUNDDOWN((K$59-$B68)/Aggressive!$D$25,0)&lt;2,0.5,IF(ROUNDDOWN((K$59-$B68)/Aggressive!$D$25,0)&lt;3,0.75,IF(ROUNDDOWN((K$59-$B68)/Aggressive!$D$25,0)&lt;4,0.875,0.9375)))))+HLOOKUP($B68,$C$59:$Q$60,2,FALSE)*Aggressive!$C$26*(1-IF(ROUNDDOWN((K$59-$B68)/Aggressive!$D$26,0)&lt;1,0,IF(ROUNDDOWN((K$59-$B68)/Aggressive!$D$26,0)&lt;2,0.5,IF(ROUNDDOWN((K$59-$B68)/Aggressive!$D$26,0)&lt;3,0.75,IF(ROUNDDOWN((K$59-$B68)/Aggressive!$D$26,0)&lt;4,0.875,0.9375)))))+HLOOKUP($B68,$C$59:$Q$60,2,FALSE)*Aggressive!$C$27*(1-IF(ROUNDDOWN((K$59-$B68)/Aggressive!$D$27,0)&lt;1,0,IF(ROUNDDOWN((K$59-$B68)/Aggressive!$D$27,0)&lt;2,0.5,IF(ROUNDDOWN((K$59-$B68)/Aggressive!$D$27,0)&lt;3,0.75,IF(ROUNDDOWN((K$59-$B68)/Aggressive!$D$27,0)&lt;4,0.875,0.9375)))))+HLOOKUP($B68,$C$59:$Q$60,2,FALSE)*Aggressive!$C$28*(1-IF(ROUNDDOWN((K$59-$B68)/Aggressive!$D$28,0)&lt;1,0,IF(ROUNDDOWN((K$59-$B68)/Aggressive!$D$28,0)&lt;2,0.5,IF(ROUNDDOWN((K$59-$B68)/Aggressive!$D$28,0)&lt;3,0.75,IF(ROUNDDOWN((K$59-$B68)/Aggressive!$D$28,0)&lt;4,0.875,0.9375)))))</f>
        <v>0</v>
      </c>
      <c r="L68" s="135">
        <f>HLOOKUP($B68,$C$59:$Q$60,2,FALSE)*Aggressive!$C$23*(1-IF(ROUNDDOWN((L$59-$B68)/Aggressive!$D$23,0)&lt;1,0,IF(ROUNDDOWN((L$59-$B68)/Aggressive!$D$23,0)&lt;2,0.5,IF(ROUNDDOWN((L$59-$B68)/Aggressive!$D$23,0)&lt;3,0.75,IF(ROUNDDOWN((L$59-$B68)/Aggressive!$D$23,0)&lt;4,0.875,0.9375)))))+HLOOKUP($B68,$C$59:$Q$60,2,FALSE)*Aggressive!$C$24*(1-IF(ROUNDDOWN((L$59-$B68)/Aggressive!$D$24,0)&lt;1,0,IF(ROUNDDOWN((L$59-$B68)/Aggressive!$D$24,0)&lt;2,0.5,IF(ROUNDDOWN((L$59-$B68)/Aggressive!$D$24,0)&lt;3,0.75,IF(ROUNDDOWN((L$59-$B68)/Aggressive!$D$24,0)&lt;4,0.875,0.9375)))))+HLOOKUP($B68,$C$59:$Q$60,2,FALSE)*Aggressive!$C$25*(1-IF(ROUNDDOWN((L$59-$B68)/Aggressive!$D$25,0)&lt;1,0,IF(ROUNDDOWN((L$59-$B68)/Aggressive!$D$25,0)&lt;2,0.5,IF(ROUNDDOWN((L$59-$B68)/Aggressive!$D$25,0)&lt;3,0.75,IF(ROUNDDOWN((L$59-$B68)/Aggressive!$D$25,0)&lt;4,0.875,0.9375)))))+HLOOKUP($B68,$C$59:$Q$60,2,FALSE)*Aggressive!$C$26*(1-IF(ROUNDDOWN((L$59-$B68)/Aggressive!$D$26,0)&lt;1,0,IF(ROUNDDOWN((L$59-$B68)/Aggressive!$D$26,0)&lt;2,0.5,IF(ROUNDDOWN((L$59-$B68)/Aggressive!$D$26,0)&lt;3,0.75,IF(ROUNDDOWN((L$59-$B68)/Aggressive!$D$26,0)&lt;4,0.875,0.9375)))))+HLOOKUP($B68,$C$59:$Q$60,2,FALSE)*Aggressive!$C$27*(1-IF(ROUNDDOWN((L$59-$B68)/Aggressive!$D$27,0)&lt;1,0,IF(ROUNDDOWN((L$59-$B68)/Aggressive!$D$27,0)&lt;2,0.5,IF(ROUNDDOWN((L$59-$B68)/Aggressive!$D$27,0)&lt;3,0.75,IF(ROUNDDOWN((L$59-$B68)/Aggressive!$D$27,0)&lt;4,0.875,0.9375)))))+HLOOKUP($B68,$C$59:$Q$60,2,FALSE)*Aggressive!$C$28*(1-IF(ROUNDDOWN((L$59-$B68)/Aggressive!$D$28,0)&lt;1,0,IF(ROUNDDOWN((L$59-$B68)/Aggressive!$D$28,0)&lt;2,0.5,IF(ROUNDDOWN((L$59-$B68)/Aggressive!$D$28,0)&lt;3,0.75,IF(ROUNDDOWN((L$59-$B68)/Aggressive!$D$28,0)&lt;4,0.875,0.9375)))))</f>
        <v>0</v>
      </c>
      <c r="M68" s="135">
        <f>HLOOKUP($B68,$C$59:$Q$60,2,FALSE)*Aggressive!$C$23*(1-IF(ROUNDDOWN((M$59-$B68)/Aggressive!$D$23,0)&lt;1,0,IF(ROUNDDOWN((M$59-$B68)/Aggressive!$D$23,0)&lt;2,0.5,IF(ROUNDDOWN((M$59-$B68)/Aggressive!$D$23,0)&lt;3,0.75,IF(ROUNDDOWN((M$59-$B68)/Aggressive!$D$23,0)&lt;4,0.875,0.9375)))))+HLOOKUP($B68,$C$59:$Q$60,2,FALSE)*Aggressive!$C$24*(1-IF(ROUNDDOWN((M$59-$B68)/Aggressive!$D$24,0)&lt;1,0,IF(ROUNDDOWN((M$59-$B68)/Aggressive!$D$24,0)&lt;2,0.5,IF(ROUNDDOWN((M$59-$B68)/Aggressive!$D$24,0)&lt;3,0.75,IF(ROUNDDOWN((M$59-$B68)/Aggressive!$D$24,0)&lt;4,0.875,0.9375)))))+HLOOKUP($B68,$C$59:$Q$60,2,FALSE)*Aggressive!$C$25*(1-IF(ROUNDDOWN((M$59-$B68)/Aggressive!$D$25,0)&lt;1,0,IF(ROUNDDOWN((M$59-$B68)/Aggressive!$D$25,0)&lt;2,0.5,IF(ROUNDDOWN((M$59-$B68)/Aggressive!$D$25,0)&lt;3,0.75,IF(ROUNDDOWN((M$59-$B68)/Aggressive!$D$25,0)&lt;4,0.875,0.9375)))))+HLOOKUP($B68,$C$59:$Q$60,2,FALSE)*Aggressive!$C$26*(1-IF(ROUNDDOWN((M$59-$B68)/Aggressive!$D$26,0)&lt;1,0,IF(ROUNDDOWN((M$59-$B68)/Aggressive!$D$26,0)&lt;2,0.5,IF(ROUNDDOWN((M$59-$B68)/Aggressive!$D$26,0)&lt;3,0.75,IF(ROUNDDOWN((M$59-$B68)/Aggressive!$D$26,0)&lt;4,0.875,0.9375)))))+HLOOKUP($B68,$C$59:$Q$60,2,FALSE)*Aggressive!$C$27*(1-IF(ROUNDDOWN((M$59-$B68)/Aggressive!$D$27,0)&lt;1,0,IF(ROUNDDOWN((M$59-$B68)/Aggressive!$D$27,0)&lt;2,0.5,IF(ROUNDDOWN((M$59-$B68)/Aggressive!$D$27,0)&lt;3,0.75,IF(ROUNDDOWN((M$59-$B68)/Aggressive!$D$27,0)&lt;4,0.875,0.9375)))))+HLOOKUP($B68,$C$59:$Q$60,2,FALSE)*Aggressive!$C$28*(1-IF(ROUNDDOWN((M$59-$B68)/Aggressive!$D$28,0)&lt;1,0,IF(ROUNDDOWN((M$59-$B68)/Aggressive!$D$28,0)&lt;2,0.5,IF(ROUNDDOWN((M$59-$B68)/Aggressive!$D$28,0)&lt;3,0.75,IF(ROUNDDOWN((M$59-$B68)/Aggressive!$D$28,0)&lt;4,0.875,0.9375)))))</f>
        <v>0</v>
      </c>
      <c r="N68" s="135">
        <f>HLOOKUP($B68,$C$59:$Q$60,2,FALSE)*Aggressive!$C$23*(1-IF(ROUNDDOWN((N$59-$B68)/Aggressive!$D$23,0)&lt;1,0,IF(ROUNDDOWN((N$59-$B68)/Aggressive!$D$23,0)&lt;2,0.5,IF(ROUNDDOWN((N$59-$B68)/Aggressive!$D$23,0)&lt;3,0.75,IF(ROUNDDOWN((N$59-$B68)/Aggressive!$D$23,0)&lt;4,0.875,0.9375)))))+HLOOKUP($B68,$C$59:$Q$60,2,FALSE)*Aggressive!$C$24*(1-IF(ROUNDDOWN((N$59-$B68)/Aggressive!$D$24,0)&lt;1,0,IF(ROUNDDOWN((N$59-$B68)/Aggressive!$D$24,0)&lt;2,0.5,IF(ROUNDDOWN((N$59-$B68)/Aggressive!$D$24,0)&lt;3,0.75,IF(ROUNDDOWN((N$59-$B68)/Aggressive!$D$24,0)&lt;4,0.875,0.9375)))))+HLOOKUP($B68,$C$59:$Q$60,2,FALSE)*Aggressive!$C$25*(1-IF(ROUNDDOWN((N$59-$B68)/Aggressive!$D$25,0)&lt;1,0,IF(ROUNDDOWN((N$59-$B68)/Aggressive!$D$25,0)&lt;2,0.5,IF(ROUNDDOWN((N$59-$B68)/Aggressive!$D$25,0)&lt;3,0.75,IF(ROUNDDOWN((N$59-$B68)/Aggressive!$D$25,0)&lt;4,0.875,0.9375)))))+HLOOKUP($B68,$C$59:$Q$60,2,FALSE)*Aggressive!$C$26*(1-IF(ROUNDDOWN((N$59-$B68)/Aggressive!$D$26,0)&lt;1,0,IF(ROUNDDOWN((N$59-$B68)/Aggressive!$D$26,0)&lt;2,0.5,IF(ROUNDDOWN((N$59-$B68)/Aggressive!$D$26,0)&lt;3,0.75,IF(ROUNDDOWN((N$59-$B68)/Aggressive!$D$26,0)&lt;4,0.875,0.9375)))))+HLOOKUP($B68,$C$59:$Q$60,2,FALSE)*Aggressive!$C$27*(1-IF(ROUNDDOWN((N$59-$B68)/Aggressive!$D$27,0)&lt;1,0,IF(ROUNDDOWN((N$59-$B68)/Aggressive!$D$27,0)&lt;2,0.5,IF(ROUNDDOWN((N$59-$B68)/Aggressive!$D$27,0)&lt;3,0.75,IF(ROUNDDOWN((N$59-$B68)/Aggressive!$D$27,0)&lt;4,0.875,0.9375)))))+HLOOKUP($B68,$C$59:$Q$60,2,FALSE)*Aggressive!$C$28*(1-IF(ROUNDDOWN((N$59-$B68)/Aggressive!$D$28,0)&lt;1,0,IF(ROUNDDOWN((N$59-$B68)/Aggressive!$D$28,0)&lt;2,0.5,IF(ROUNDDOWN((N$59-$B68)/Aggressive!$D$28,0)&lt;3,0.75,IF(ROUNDDOWN((N$59-$B68)/Aggressive!$D$28,0)&lt;4,0.875,0.9375)))))</f>
        <v>0</v>
      </c>
      <c r="O68" s="135">
        <f>HLOOKUP($B68,$C$59:$Q$60,2,FALSE)*Aggressive!$C$23*(1-IF(ROUNDDOWN((O$59-$B68)/Aggressive!$D$23,0)&lt;1,0,IF(ROUNDDOWN((O$59-$B68)/Aggressive!$D$23,0)&lt;2,0.5,IF(ROUNDDOWN((O$59-$B68)/Aggressive!$D$23,0)&lt;3,0.75,IF(ROUNDDOWN((O$59-$B68)/Aggressive!$D$23,0)&lt;4,0.875,0.9375)))))+HLOOKUP($B68,$C$59:$Q$60,2,FALSE)*Aggressive!$C$24*(1-IF(ROUNDDOWN((O$59-$B68)/Aggressive!$D$24,0)&lt;1,0,IF(ROUNDDOWN((O$59-$B68)/Aggressive!$D$24,0)&lt;2,0.5,IF(ROUNDDOWN((O$59-$B68)/Aggressive!$D$24,0)&lt;3,0.75,IF(ROUNDDOWN((O$59-$B68)/Aggressive!$D$24,0)&lt;4,0.875,0.9375)))))+HLOOKUP($B68,$C$59:$Q$60,2,FALSE)*Aggressive!$C$25*(1-IF(ROUNDDOWN((O$59-$B68)/Aggressive!$D$25,0)&lt;1,0,IF(ROUNDDOWN((O$59-$B68)/Aggressive!$D$25,0)&lt;2,0.5,IF(ROUNDDOWN((O$59-$B68)/Aggressive!$D$25,0)&lt;3,0.75,IF(ROUNDDOWN((O$59-$B68)/Aggressive!$D$25,0)&lt;4,0.875,0.9375)))))+HLOOKUP($B68,$C$59:$Q$60,2,FALSE)*Aggressive!$C$26*(1-IF(ROUNDDOWN((O$59-$B68)/Aggressive!$D$26,0)&lt;1,0,IF(ROUNDDOWN((O$59-$B68)/Aggressive!$D$26,0)&lt;2,0.5,IF(ROUNDDOWN((O$59-$B68)/Aggressive!$D$26,0)&lt;3,0.75,IF(ROUNDDOWN((O$59-$B68)/Aggressive!$D$26,0)&lt;4,0.875,0.9375)))))+HLOOKUP($B68,$C$59:$Q$60,2,FALSE)*Aggressive!$C$27*(1-IF(ROUNDDOWN((O$59-$B68)/Aggressive!$D$27,0)&lt;1,0,IF(ROUNDDOWN((O$59-$B68)/Aggressive!$D$27,0)&lt;2,0.5,IF(ROUNDDOWN((O$59-$B68)/Aggressive!$D$27,0)&lt;3,0.75,IF(ROUNDDOWN((O$59-$B68)/Aggressive!$D$27,0)&lt;4,0.875,0.9375)))))+HLOOKUP($B68,$C$59:$Q$60,2,FALSE)*Aggressive!$C$28*(1-IF(ROUNDDOWN((O$59-$B68)/Aggressive!$D$28,0)&lt;1,0,IF(ROUNDDOWN((O$59-$B68)/Aggressive!$D$28,0)&lt;2,0.5,IF(ROUNDDOWN((O$59-$B68)/Aggressive!$D$28,0)&lt;3,0.75,IF(ROUNDDOWN((O$59-$B68)/Aggressive!$D$28,0)&lt;4,0.875,0.9375)))))</f>
        <v>0</v>
      </c>
      <c r="P68" s="135">
        <f>HLOOKUP($B68,$C$59:$Q$60,2,FALSE)*Aggressive!$C$23*(1-IF(ROUNDDOWN((P$59-$B68)/Aggressive!$D$23,0)&lt;1,0,IF(ROUNDDOWN((P$59-$B68)/Aggressive!$D$23,0)&lt;2,0.5,IF(ROUNDDOWN((P$59-$B68)/Aggressive!$D$23,0)&lt;3,0.75,IF(ROUNDDOWN((P$59-$B68)/Aggressive!$D$23,0)&lt;4,0.875,0.9375)))))+HLOOKUP($B68,$C$59:$Q$60,2,FALSE)*Aggressive!$C$24*(1-IF(ROUNDDOWN((P$59-$B68)/Aggressive!$D$24,0)&lt;1,0,IF(ROUNDDOWN((P$59-$B68)/Aggressive!$D$24,0)&lt;2,0.5,IF(ROUNDDOWN((P$59-$B68)/Aggressive!$D$24,0)&lt;3,0.75,IF(ROUNDDOWN((P$59-$B68)/Aggressive!$D$24,0)&lt;4,0.875,0.9375)))))+HLOOKUP($B68,$C$59:$Q$60,2,FALSE)*Aggressive!$C$25*(1-IF(ROUNDDOWN((P$59-$B68)/Aggressive!$D$25,0)&lt;1,0,IF(ROUNDDOWN((P$59-$B68)/Aggressive!$D$25,0)&lt;2,0.5,IF(ROUNDDOWN((P$59-$B68)/Aggressive!$D$25,0)&lt;3,0.75,IF(ROUNDDOWN((P$59-$B68)/Aggressive!$D$25,0)&lt;4,0.875,0.9375)))))+HLOOKUP($B68,$C$59:$Q$60,2,FALSE)*Aggressive!$C$26*(1-IF(ROUNDDOWN((P$59-$B68)/Aggressive!$D$26,0)&lt;1,0,IF(ROUNDDOWN((P$59-$B68)/Aggressive!$D$26,0)&lt;2,0.5,IF(ROUNDDOWN((P$59-$B68)/Aggressive!$D$26,0)&lt;3,0.75,IF(ROUNDDOWN((P$59-$B68)/Aggressive!$D$26,0)&lt;4,0.875,0.9375)))))+HLOOKUP($B68,$C$59:$Q$60,2,FALSE)*Aggressive!$C$27*(1-IF(ROUNDDOWN((P$59-$B68)/Aggressive!$D$27,0)&lt;1,0,IF(ROUNDDOWN((P$59-$B68)/Aggressive!$D$27,0)&lt;2,0.5,IF(ROUNDDOWN((P$59-$B68)/Aggressive!$D$27,0)&lt;3,0.75,IF(ROUNDDOWN((P$59-$B68)/Aggressive!$D$27,0)&lt;4,0.875,0.9375)))))+HLOOKUP($B68,$C$59:$Q$60,2,FALSE)*Aggressive!$C$28*(1-IF(ROUNDDOWN((P$59-$B68)/Aggressive!$D$28,0)&lt;1,0,IF(ROUNDDOWN((P$59-$B68)/Aggressive!$D$28,0)&lt;2,0.5,IF(ROUNDDOWN((P$59-$B68)/Aggressive!$D$28,0)&lt;3,0.75,IF(ROUNDDOWN((P$59-$B68)/Aggressive!$D$28,0)&lt;4,0.875,0.9375)))))</f>
        <v>0</v>
      </c>
      <c r="Q68" s="135">
        <f>HLOOKUP($B68,$C$59:$Q$60,2,FALSE)*Aggressive!$C$23*(1-IF(ROUNDDOWN((Q$59-$B68)/Aggressive!$D$23,0)&lt;1,0,IF(ROUNDDOWN((Q$59-$B68)/Aggressive!$D$23,0)&lt;2,0.5,IF(ROUNDDOWN((Q$59-$B68)/Aggressive!$D$23,0)&lt;3,0.75,IF(ROUNDDOWN((Q$59-$B68)/Aggressive!$D$23,0)&lt;4,0.875,0.9375)))))+HLOOKUP($B68,$C$59:$Q$60,2,FALSE)*Aggressive!$C$24*(1-IF(ROUNDDOWN((Q$59-$B68)/Aggressive!$D$24,0)&lt;1,0,IF(ROUNDDOWN((Q$59-$B68)/Aggressive!$D$24,0)&lt;2,0.5,IF(ROUNDDOWN((Q$59-$B68)/Aggressive!$D$24,0)&lt;3,0.75,IF(ROUNDDOWN((Q$59-$B68)/Aggressive!$D$24,0)&lt;4,0.875,0.9375)))))+HLOOKUP($B68,$C$59:$Q$60,2,FALSE)*Aggressive!$C$25*(1-IF(ROUNDDOWN((Q$59-$B68)/Aggressive!$D$25,0)&lt;1,0,IF(ROUNDDOWN((Q$59-$B68)/Aggressive!$D$25,0)&lt;2,0.5,IF(ROUNDDOWN((Q$59-$B68)/Aggressive!$D$25,0)&lt;3,0.75,IF(ROUNDDOWN((Q$59-$B68)/Aggressive!$D$25,0)&lt;4,0.875,0.9375)))))+HLOOKUP($B68,$C$59:$Q$60,2,FALSE)*Aggressive!$C$26*(1-IF(ROUNDDOWN((Q$59-$B68)/Aggressive!$D$26,0)&lt;1,0,IF(ROUNDDOWN((Q$59-$B68)/Aggressive!$D$26,0)&lt;2,0.5,IF(ROUNDDOWN((Q$59-$B68)/Aggressive!$D$26,0)&lt;3,0.75,IF(ROUNDDOWN((Q$59-$B68)/Aggressive!$D$26,0)&lt;4,0.875,0.9375)))))+HLOOKUP($B68,$C$59:$Q$60,2,FALSE)*Aggressive!$C$27*(1-IF(ROUNDDOWN((Q$59-$B68)/Aggressive!$D$27,0)&lt;1,0,IF(ROUNDDOWN((Q$59-$B68)/Aggressive!$D$27,0)&lt;2,0.5,IF(ROUNDDOWN((Q$59-$B68)/Aggressive!$D$27,0)&lt;3,0.75,IF(ROUNDDOWN((Q$59-$B68)/Aggressive!$D$27,0)&lt;4,0.875,0.9375)))))+HLOOKUP($B68,$C$59:$Q$60,2,FALSE)*Aggressive!$C$28*(1-IF(ROUNDDOWN((Q$59-$B68)/Aggressive!$D$28,0)&lt;1,0,IF(ROUNDDOWN((Q$59-$B68)/Aggressive!$D$28,0)&lt;2,0.5,IF(ROUNDDOWN((Q$59-$B68)/Aggressive!$D$28,0)&lt;3,0.75,IF(ROUNDDOWN((Q$59-$B68)/Aggressive!$D$28,0)&lt;4,0.875,0.9375)))))</f>
        <v>0</v>
      </c>
      <c r="R68" s="50"/>
    </row>
    <row r="69" spans="2:18" x14ac:dyDescent="0.3">
      <c r="B69" s="237">
        <f t="shared" si="14"/>
        <v>2021</v>
      </c>
      <c r="C69" s="135"/>
      <c r="D69" s="135"/>
      <c r="E69" s="135"/>
      <c r="F69" s="135"/>
      <c r="G69" s="135"/>
      <c r="H69" s="135"/>
      <c r="I69" s="135">
        <f>HLOOKUP($B69,$C$59:$Q$60,2,FALSE)*Aggressive!$C$23*(1-IF(ROUNDDOWN((I$59-$B69)/Aggressive!$D$23,0)&lt;1,0,IF(ROUNDDOWN((I$59-$B69)/Aggressive!$D$23,0)&lt;2,0.5,IF(ROUNDDOWN((I$59-$B69)/Aggressive!$D$23,0)&lt;3,0.75,IF(ROUNDDOWN((I$59-$B69)/Aggressive!$D$23,0)&lt;4,0.875,0.9375)))))+HLOOKUP($B69,$C$59:$Q$60,2,FALSE)*Aggressive!$C$24*(1-IF(ROUNDDOWN((I$59-$B69)/Aggressive!$D$24,0)&lt;1,0,IF(ROUNDDOWN((I$59-$B69)/Aggressive!$D$24,0)&lt;2,0.5,IF(ROUNDDOWN((I$59-$B69)/Aggressive!$D$24,0)&lt;3,0.75,IF(ROUNDDOWN((I$59-$B69)/Aggressive!$D$24,0)&lt;4,0.875,0.9375)))))+HLOOKUP($B69,$C$59:$Q$60,2,FALSE)*Aggressive!$C$25*(1-IF(ROUNDDOWN((I$59-$B69)/Aggressive!$D$25,0)&lt;1,0,IF(ROUNDDOWN((I$59-$B69)/Aggressive!$D$25,0)&lt;2,0.5,IF(ROUNDDOWN((I$59-$B69)/Aggressive!$D$25,0)&lt;3,0.75,IF(ROUNDDOWN((I$59-$B69)/Aggressive!$D$25,0)&lt;4,0.875,0.9375)))))+HLOOKUP($B69,$C$59:$Q$60,2,FALSE)*Aggressive!$C$26*(1-IF(ROUNDDOWN((I$59-$B69)/Aggressive!$D$26,0)&lt;1,0,IF(ROUNDDOWN((I$59-$B69)/Aggressive!$D$26,0)&lt;2,0.5,IF(ROUNDDOWN((I$59-$B69)/Aggressive!$D$26,0)&lt;3,0.75,IF(ROUNDDOWN((I$59-$B69)/Aggressive!$D$26,0)&lt;4,0.875,0.9375)))))+HLOOKUP($B69,$C$59:$Q$60,2,FALSE)*Aggressive!$C$27*(1-IF(ROUNDDOWN((I$59-$B69)/Aggressive!$D$27,0)&lt;1,0,IF(ROUNDDOWN((I$59-$B69)/Aggressive!$D$27,0)&lt;2,0.5,IF(ROUNDDOWN((I$59-$B69)/Aggressive!$D$27,0)&lt;3,0.75,IF(ROUNDDOWN((I$59-$B69)/Aggressive!$D$27,0)&lt;4,0.875,0.9375)))))+HLOOKUP($B69,$C$59:$Q$60,2,FALSE)*Aggressive!$C$28*(1-IF(ROUNDDOWN((I$59-$B69)/Aggressive!$D$28,0)&lt;1,0,IF(ROUNDDOWN((I$59-$B69)/Aggressive!$D$28,0)&lt;2,0.5,IF(ROUNDDOWN((I$59-$B69)/Aggressive!$D$28,0)&lt;3,0.75,IF(ROUNDDOWN((I$59-$B69)/Aggressive!$D$28,0)&lt;4,0.875,0.9375)))))</f>
        <v>0.15433375474924435</v>
      </c>
      <c r="J69" s="135">
        <f>HLOOKUP($B69,$C$59:$Q$60,2,FALSE)*Aggressive!$C$23*(1-IF(ROUNDDOWN((J$59-$B69)/Aggressive!$D$23,0)&lt;1,0,IF(ROUNDDOWN((J$59-$B69)/Aggressive!$D$23,0)&lt;2,0.5,IF(ROUNDDOWN((J$59-$B69)/Aggressive!$D$23,0)&lt;3,0.75,IF(ROUNDDOWN((J$59-$B69)/Aggressive!$D$23,0)&lt;4,0.875,0.9375)))))+HLOOKUP($B69,$C$59:$Q$60,2,FALSE)*Aggressive!$C$24*(1-IF(ROUNDDOWN((J$59-$B69)/Aggressive!$D$24,0)&lt;1,0,IF(ROUNDDOWN((J$59-$B69)/Aggressive!$D$24,0)&lt;2,0.5,IF(ROUNDDOWN((J$59-$B69)/Aggressive!$D$24,0)&lt;3,0.75,IF(ROUNDDOWN((J$59-$B69)/Aggressive!$D$24,0)&lt;4,0.875,0.9375)))))+HLOOKUP($B69,$C$59:$Q$60,2,FALSE)*Aggressive!$C$25*(1-IF(ROUNDDOWN((J$59-$B69)/Aggressive!$D$25,0)&lt;1,0,IF(ROUNDDOWN((J$59-$B69)/Aggressive!$D$25,0)&lt;2,0.5,IF(ROUNDDOWN((J$59-$B69)/Aggressive!$D$25,0)&lt;3,0.75,IF(ROUNDDOWN((J$59-$B69)/Aggressive!$D$25,0)&lt;4,0.875,0.9375)))))+HLOOKUP($B69,$C$59:$Q$60,2,FALSE)*Aggressive!$C$26*(1-IF(ROUNDDOWN((J$59-$B69)/Aggressive!$D$26,0)&lt;1,0,IF(ROUNDDOWN((J$59-$B69)/Aggressive!$D$26,0)&lt;2,0.5,IF(ROUNDDOWN((J$59-$B69)/Aggressive!$D$26,0)&lt;3,0.75,IF(ROUNDDOWN((J$59-$B69)/Aggressive!$D$26,0)&lt;4,0.875,0.9375)))))+HLOOKUP($B69,$C$59:$Q$60,2,FALSE)*Aggressive!$C$27*(1-IF(ROUNDDOWN((J$59-$B69)/Aggressive!$D$27,0)&lt;1,0,IF(ROUNDDOWN((J$59-$B69)/Aggressive!$D$27,0)&lt;2,0.5,IF(ROUNDDOWN((J$59-$B69)/Aggressive!$D$27,0)&lt;3,0.75,IF(ROUNDDOWN((J$59-$B69)/Aggressive!$D$27,0)&lt;4,0.875,0.9375)))))+HLOOKUP($B69,$C$59:$Q$60,2,FALSE)*Aggressive!$C$28*(1-IF(ROUNDDOWN((J$59-$B69)/Aggressive!$D$28,0)&lt;1,0,IF(ROUNDDOWN((J$59-$B69)/Aggressive!$D$28,0)&lt;2,0.5,IF(ROUNDDOWN((J$59-$B69)/Aggressive!$D$28,0)&lt;3,0.75,IF(ROUNDDOWN((J$59-$B69)/Aggressive!$D$28,0)&lt;4,0.875,0.9375)))))</f>
        <v>0.15433375474924435</v>
      </c>
      <c r="K69" s="135">
        <f>HLOOKUP($B69,$C$59:$Q$60,2,FALSE)*Aggressive!$C$23*(1-IF(ROUNDDOWN((K$59-$B69)/Aggressive!$D$23,0)&lt;1,0,IF(ROUNDDOWN((K$59-$B69)/Aggressive!$D$23,0)&lt;2,0.5,IF(ROUNDDOWN((K$59-$B69)/Aggressive!$D$23,0)&lt;3,0.75,IF(ROUNDDOWN((K$59-$B69)/Aggressive!$D$23,0)&lt;4,0.875,0.9375)))))+HLOOKUP($B69,$C$59:$Q$60,2,FALSE)*Aggressive!$C$24*(1-IF(ROUNDDOWN((K$59-$B69)/Aggressive!$D$24,0)&lt;1,0,IF(ROUNDDOWN((K$59-$B69)/Aggressive!$D$24,0)&lt;2,0.5,IF(ROUNDDOWN((K$59-$B69)/Aggressive!$D$24,0)&lt;3,0.75,IF(ROUNDDOWN((K$59-$B69)/Aggressive!$D$24,0)&lt;4,0.875,0.9375)))))+HLOOKUP($B69,$C$59:$Q$60,2,FALSE)*Aggressive!$C$25*(1-IF(ROUNDDOWN((K$59-$B69)/Aggressive!$D$25,0)&lt;1,0,IF(ROUNDDOWN((K$59-$B69)/Aggressive!$D$25,0)&lt;2,0.5,IF(ROUNDDOWN((K$59-$B69)/Aggressive!$D$25,0)&lt;3,0.75,IF(ROUNDDOWN((K$59-$B69)/Aggressive!$D$25,0)&lt;4,0.875,0.9375)))))+HLOOKUP($B69,$C$59:$Q$60,2,FALSE)*Aggressive!$C$26*(1-IF(ROUNDDOWN((K$59-$B69)/Aggressive!$D$26,0)&lt;1,0,IF(ROUNDDOWN((K$59-$B69)/Aggressive!$D$26,0)&lt;2,0.5,IF(ROUNDDOWN((K$59-$B69)/Aggressive!$D$26,0)&lt;3,0.75,IF(ROUNDDOWN((K$59-$B69)/Aggressive!$D$26,0)&lt;4,0.875,0.9375)))))+HLOOKUP($B69,$C$59:$Q$60,2,FALSE)*Aggressive!$C$27*(1-IF(ROUNDDOWN((K$59-$B69)/Aggressive!$D$27,0)&lt;1,0,IF(ROUNDDOWN((K$59-$B69)/Aggressive!$D$27,0)&lt;2,0.5,IF(ROUNDDOWN((K$59-$B69)/Aggressive!$D$27,0)&lt;3,0.75,IF(ROUNDDOWN((K$59-$B69)/Aggressive!$D$27,0)&lt;4,0.875,0.9375)))))+HLOOKUP($B69,$C$59:$Q$60,2,FALSE)*Aggressive!$C$28*(1-IF(ROUNDDOWN((K$59-$B69)/Aggressive!$D$28,0)&lt;1,0,IF(ROUNDDOWN((K$59-$B69)/Aggressive!$D$28,0)&lt;2,0.5,IF(ROUNDDOWN((K$59-$B69)/Aggressive!$D$28,0)&lt;3,0.75,IF(ROUNDDOWN((K$59-$B69)/Aggressive!$D$28,0)&lt;4,0.875,0.9375)))))</f>
        <v>0.15433375474924435</v>
      </c>
      <c r="L69" s="135">
        <f>HLOOKUP($B69,$C$59:$Q$60,2,FALSE)*Aggressive!$C$23*(1-IF(ROUNDDOWN((L$59-$B69)/Aggressive!$D$23,0)&lt;1,0,IF(ROUNDDOWN((L$59-$B69)/Aggressive!$D$23,0)&lt;2,0.5,IF(ROUNDDOWN((L$59-$B69)/Aggressive!$D$23,0)&lt;3,0.75,IF(ROUNDDOWN((L$59-$B69)/Aggressive!$D$23,0)&lt;4,0.875,0.9375)))))+HLOOKUP($B69,$C$59:$Q$60,2,FALSE)*Aggressive!$C$24*(1-IF(ROUNDDOWN((L$59-$B69)/Aggressive!$D$24,0)&lt;1,0,IF(ROUNDDOWN((L$59-$B69)/Aggressive!$D$24,0)&lt;2,0.5,IF(ROUNDDOWN((L$59-$B69)/Aggressive!$D$24,0)&lt;3,0.75,IF(ROUNDDOWN((L$59-$B69)/Aggressive!$D$24,0)&lt;4,0.875,0.9375)))))+HLOOKUP($B69,$C$59:$Q$60,2,FALSE)*Aggressive!$C$25*(1-IF(ROUNDDOWN((L$59-$B69)/Aggressive!$D$25,0)&lt;1,0,IF(ROUNDDOWN((L$59-$B69)/Aggressive!$D$25,0)&lt;2,0.5,IF(ROUNDDOWN((L$59-$B69)/Aggressive!$D$25,0)&lt;3,0.75,IF(ROUNDDOWN((L$59-$B69)/Aggressive!$D$25,0)&lt;4,0.875,0.9375)))))+HLOOKUP($B69,$C$59:$Q$60,2,FALSE)*Aggressive!$C$26*(1-IF(ROUNDDOWN((L$59-$B69)/Aggressive!$D$26,0)&lt;1,0,IF(ROUNDDOWN((L$59-$B69)/Aggressive!$D$26,0)&lt;2,0.5,IF(ROUNDDOWN((L$59-$B69)/Aggressive!$D$26,0)&lt;3,0.75,IF(ROUNDDOWN((L$59-$B69)/Aggressive!$D$26,0)&lt;4,0.875,0.9375)))))+HLOOKUP($B69,$C$59:$Q$60,2,FALSE)*Aggressive!$C$27*(1-IF(ROUNDDOWN((L$59-$B69)/Aggressive!$D$27,0)&lt;1,0,IF(ROUNDDOWN((L$59-$B69)/Aggressive!$D$27,0)&lt;2,0.5,IF(ROUNDDOWN((L$59-$B69)/Aggressive!$D$27,0)&lt;3,0.75,IF(ROUNDDOWN((L$59-$B69)/Aggressive!$D$27,0)&lt;4,0.875,0.9375)))))+HLOOKUP($B69,$C$59:$Q$60,2,FALSE)*Aggressive!$C$28*(1-IF(ROUNDDOWN((L$59-$B69)/Aggressive!$D$28,0)&lt;1,0,IF(ROUNDDOWN((L$59-$B69)/Aggressive!$D$28,0)&lt;2,0.5,IF(ROUNDDOWN((L$59-$B69)/Aggressive!$D$28,0)&lt;3,0.75,IF(ROUNDDOWN((L$59-$B69)/Aggressive!$D$28,0)&lt;4,0.875,0.9375)))))</f>
        <v>0.14769740329502687</v>
      </c>
      <c r="M69" s="135">
        <f>HLOOKUP($B69,$C$59:$Q$60,2,FALSE)*Aggressive!$C$23*(1-IF(ROUNDDOWN((M$59-$B69)/Aggressive!$D$23,0)&lt;1,0,IF(ROUNDDOWN((M$59-$B69)/Aggressive!$D$23,0)&lt;2,0.5,IF(ROUNDDOWN((M$59-$B69)/Aggressive!$D$23,0)&lt;3,0.75,IF(ROUNDDOWN((M$59-$B69)/Aggressive!$D$23,0)&lt;4,0.875,0.9375)))))+HLOOKUP($B69,$C$59:$Q$60,2,FALSE)*Aggressive!$C$24*(1-IF(ROUNDDOWN((M$59-$B69)/Aggressive!$D$24,0)&lt;1,0,IF(ROUNDDOWN((M$59-$B69)/Aggressive!$D$24,0)&lt;2,0.5,IF(ROUNDDOWN((M$59-$B69)/Aggressive!$D$24,0)&lt;3,0.75,IF(ROUNDDOWN((M$59-$B69)/Aggressive!$D$24,0)&lt;4,0.875,0.9375)))))+HLOOKUP($B69,$C$59:$Q$60,2,FALSE)*Aggressive!$C$25*(1-IF(ROUNDDOWN((M$59-$B69)/Aggressive!$D$25,0)&lt;1,0,IF(ROUNDDOWN((M$59-$B69)/Aggressive!$D$25,0)&lt;2,0.5,IF(ROUNDDOWN((M$59-$B69)/Aggressive!$D$25,0)&lt;3,0.75,IF(ROUNDDOWN((M$59-$B69)/Aggressive!$D$25,0)&lt;4,0.875,0.9375)))))+HLOOKUP($B69,$C$59:$Q$60,2,FALSE)*Aggressive!$C$26*(1-IF(ROUNDDOWN((M$59-$B69)/Aggressive!$D$26,0)&lt;1,0,IF(ROUNDDOWN((M$59-$B69)/Aggressive!$D$26,0)&lt;2,0.5,IF(ROUNDDOWN((M$59-$B69)/Aggressive!$D$26,0)&lt;3,0.75,IF(ROUNDDOWN((M$59-$B69)/Aggressive!$D$26,0)&lt;4,0.875,0.9375)))))+HLOOKUP($B69,$C$59:$Q$60,2,FALSE)*Aggressive!$C$27*(1-IF(ROUNDDOWN((M$59-$B69)/Aggressive!$D$27,0)&lt;1,0,IF(ROUNDDOWN((M$59-$B69)/Aggressive!$D$27,0)&lt;2,0.5,IF(ROUNDDOWN((M$59-$B69)/Aggressive!$D$27,0)&lt;3,0.75,IF(ROUNDDOWN((M$59-$B69)/Aggressive!$D$27,0)&lt;4,0.875,0.9375)))))+HLOOKUP($B69,$C$59:$Q$60,2,FALSE)*Aggressive!$C$28*(1-IF(ROUNDDOWN((M$59-$B69)/Aggressive!$D$28,0)&lt;1,0,IF(ROUNDDOWN((M$59-$B69)/Aggressive!$D$28,0)&lt;2,0.5,IF(ROUNDDOWN((M$59-$B69)/Aggressive!$D$28,0)&lt;3,0.75,IF(ROUNDDOWN((M$59-$B69)/Aggressive!$D$28,0)&lt;4,0.875,0.9375)))))</f>
        <v>0.14769740329502687</v>
      </c>
      <c r="N69" s="135">
        <f>HLOOKUP($B69,$C$59:$Q$60,2,FALSE)*Aggressive!$C$23*(1-IF(ROUNDDOWN((N$59-$B69)/Aggressive!$D$23,0)&lt;1,0,IF(ROUNDDOWN((N$59-$B69)/Aggressive!$D$23,0)&lt;2,0.5,IF(ROUNDDOWN((N$59-$B69)/Aggressive!$D$23,0)&lt;3,0.75,IF(ROUNDDOWN((N$59-$B69)/Aggressive!$D$23,0)&lt;4,0.875,0.9375)))))+HLOOKUP($B69,$C$59:$Q$60,2,FALSE)*Aggressive!$C$24*(1-IF(ROUNDDOWN((N$59-$B69)/Aggressive!$D$24,0)&lt;1,0,IF(ROUNDDOWN((N$59-$B69)/Aggressive!$D$24,0)&lt;2,0.5,IF(ROUNDDOWN((N$59-$B69)/Aggressive!$D$24,0)&lt;3,0.75,IF(ROUNDDOWN((N$59-$B69)/Aggressive!$D$24,0)&lt;4,0.875,0.9375)))))+HLOOKUP($B69,$C$59:$Q$60,2,FALSE)*Aggressive!$C$25*(1-IF(ROUNDDOWN((N$59-$B69)/Aggressive!$D$25,0)&lt;1,0,IF(ROUNDDOWN((N$59-$B69)/Aggressive!$D$25,0)&lt;2,0.5,IF(ROUNDDOWN((N$59-$B69)/Aggressive!$D$25,0)&lt;3,0.75,IF(ROUNDDOWN((N$59-$B69)/Aggressive!$D$25,0)&lt;4,0.875,0.9375)))))+HLOOKUP($B69,$C$59:$Q$60,2,FALSE)*Aggressive!$C$26*(1-IF(ROUNDDOWN((N$59-$B69)/Aggressive!$D$26,0)&lt;1,0,IF(ROUNDDOWN((N$59-$B69)/Aggressive!$D$26,0)&lt;2,0.5,IF(ROUNDDOWN((N$59-$B69)/Aggressive!$D$26,0)&lt;3,0.75,IF(ROUNDDOWN((N$59-$B69)/Aggressive!$D$26,0)&lt;4,0.875,0.9375)))))+HLOOKUP($B69,$C$59:$Q$60,2,FALSE)*Aggressive!$C$27*(1-IF(ROUNDDOWN((N$59-$B69)/Aggressive!$D$27,0)&lt;1,0,IF(ROUNDDOWN((N$59-$B69)/Aggressive!$D$27,0)&lt;2,0.5,IF(ROUNDDOWN((N$59-$B69)/Aggressive!$D$27,0)&lt;3,0.75,IF(ROUNDDOWN((N$59-$B69)/Aggressive!$D$27,0)&lt;4,0.875,0.9375)))))+HLOOKUP($B69,$C$59:$Q$60,2,FALSE)*Aggressive!$C$28*(1-IF(ROUNDDOWN((N$59-$B69)/Aggressive!$D$28,0)&lt;1,0,IF(ROUNDDOWN((N$59-$B69)/Aggressive!$D$28,0)&lt;2,0.5,IF(ROUNDDOWN((N$59-$B69)/Aggressive!$D$28,0)&lt;3,0.75,IF(ROUNDDOWN((N$59-$B69)/Aggressive!$D$28,0)&lt;4,0.875,0.9375)))))</f>
        <v>0.14769740329502687</v>
      </c>
      <c r="O69" s="135">
        <f>HLOOKUP($B69,$C$59:$Q$60,2,FALSE)*Aggressive!$C$23*(1-IF(ROUNDDOWN((O$59-$B69)/Aggressive!$D$23,0)&lt;1,0,IF(ROUNDDOWN((O$59-$B69)/Aggressive!$D$23,0)&lt;2,0.5,IF(ROUNDDOWN((O$59-$B69)/Aggressive!$D$23,0)&lt;3,0.75,IF(ROUNDDOWN((O$59-$B69)/Aggressive!$D$23,0)&lt;4,0.875,0.9375)))))+HLOOKUP($B69,$C$59:$Q$60,2,FALSE)*Aggressive!$C$24*(1-IF(ROUNDDOWN((O$59-$B69)/Aggressive!$D$24,0)&lt;1,0,IF(ROUNDDOWN((O$59-$B69)/Aggressive!$D$24,0)&lt;2,0.5,IF(ROUNDDOWN((O$59-$B69)/Aggressive!$D$24,0)&lt;3,0.75,IF(ROUNDDOWN((O$59-$B69)/Aggressive!$D$24,0)&lt;4,0.875,0.9375)))))+HLOOKUP($B69,$C$59:$Q$60,2,FALSE)*Aggressive!$C$25*(1-IF(ROUNDDOWN((O$59-$B69)/Aggressive!$D$25,0)&lt;1,0,IF(ROUNDDOWN((O$59-$B69)/Aggressive!$D$25,0)&lt;2,0.5,IF(ROUNDDOWN((O$59-$B69)/Aggressive!$D$25,0)&lt;3,0.75,IF(ROUNDDOWN((O$59-$B69)/Aggressive!$D$25,0)&lt;4,0.875,0.9375)))))+HLOOKUP($B69,$C$59:$Q$60,2,FALSE)*Aggressive!$C$26*(1-IF(ROUNDDOWN((O$59-$B69)/Aggressive!$D$26,0)&lt;1,0,IF(ROUNDDOWN((O$59-$B69)/Aggressive!$D$26,0)&lt;2,0.5,IF(ROUNDDOWN((O$59-$B69)/Aggressive!$D$26,0)&lt;3,0.75,IF(ROUNDDOWN((O$59-$B69)/Aggressive!$D$26,0)&lt;4,0.875,0.9375)))))+HLOOKUP($B69,$C$59:$Q$60,2,FALSE)*Aggressive!$C$27*(1-IF(ROUNDDOWN((O$59-$B69)/Aggressive!$D$27,0)&lt;1,0,IF(ROUNDDOWN((O$59-$B69)/Aggressive!$D$27,0)&lt;2,0.5,IF(ROUNDDOWN((O$59-$B69)/Aggressive!$D$27,0)&lt;3,0.75,IF(ROUNDDOWN((O$59-$B69)/Aggressive!$D$27,0)&lt;4,0.875,0.9375)))))+HLOOKUP($B69,$C$59:$Q$60,2,FALSE)*Aggressive!$C$28*(1-IF(ROUNDDOWN((O$59-$B69)/Aggressive!$D$28,0)&lt;1,0,IF(ROUNDDOWN((O$59-$B69)/Aggressive!$D$28,0)&lt;2,0.5,IF(ROUNDDOWN((O$59-$B69)/Aggressive!$D$28,0)&lt;3,0.75,IF(ROUNDDOWN((O$59-$B69)/Aggressive!$D$28,0)&lt;4,0.875,0.9375)))))</f>
        <v>0.1443792275679181</v>
      </c>
      <c r="P69" s="135">
        <f>HLOOKUP($B69,$C$59:$Q$60,2,FALSE)*Aggressive!$C$23*(1-IF(ROUNDDOWN((P$59-$B69)/Aggressive!$D$23,0)&lt;1,0,IF(ROUNDDOWN((P$59-$B69)/Aggressive!$D$23,0)&lt;2,0.5,IF(ROUNDDOWN((P$59-$B69)/Aggressive!$D$23,0)&lt;3,0.75,IF(ROUNDDOWN((P$59-$B69)/Aggressive!$D$23,0)&lt;4,0.875,0.9375)))))+HLOOKUP($B69,$C$59:$Q$60,2,FALSE)*Aggressive!$C$24*(1-IF(ROUNDDOWN((P$59-$B69)/Aggressive!$D$24,0)&lt;1,0,IF(ROUNDDOWN((P$59-$B69)/Aggressive!$D$24,0)&lt;2,0.5,IF(ROUNDDOWN((P$59-$B69)/Aggressive!$D$24,0)&lt;3,0.75,IF(ROUNDDOWN((P$59-$B69)/Aggressive!$D$24,0)&lt;4,0.875,0.9375)))))+HLOOKUP($B69,$C$59:$Q$60,2,FALSE)*Aggressive!$C$25*(1-IF(ROUNDDOWN((P$59-$B69)/Aggressive!$D$25,0)&lt;1,0,IF(ROUNDDOWN((P$59-$B69)/Aggressive!$D$25,0)&lt;2,0.5,IF(ROUNDDOWN((P$59-$B69)/Aggressive!$D$25,0)&lt;3,0.75,IF(ROUNDDOWN((P$59-$B69)/Aggressive!$D$25,0)&lt;4,0.875,0.9375)))))+HLOOKUP($B69,$C$59:$Q$60,2,FALSE)*Aggressive!$C$26*(1-IF(ROUNDDOWN((P$59-$B69)/Aggressive!$D$26,0)&lt;1,0,IF(ROUNDDOWN((P$59-$B69)/Aggressive!$D$26,0)&lt;2,0.5,IF(ROUNDDOWN((P$59-$B69)/Aggressive!$D$26,0)&lt;3,0.75,IF(ROUNDDOWN((P$59-$B69)/Aggressive!$D$26,0)&lt;4,0.875,0.9375)))))+HLOOKUP($B69,$C$59:$Q$60,2,FALSE)*Aggressive!$C$27*(1-IF(ROUNDDOWN((P$59-$B69)/Aggressive!$D$27,0)&lt;1,0,IF(ROUNDDOWN((P$59-$B69)/Aggressive!$D$27,0)&lt;2,0.5,IF(ROUNDDOWN((P$59-$B69)/Aggressive!$D$27,0)&lt;3,0.75,IF(ROUNDDOWN((P$59-$B69)/Aggressive!$D$27,0)&lt;4,0.875,0.9375)))))+HLOOKUP($B69,$C$59:$Q$60,2,FALSE)*Aggressive!$C$28*(1-IF(ROUNDDOWN((P$59-$B69)/Aggressive!$D$28,0)&lt;1,0,IF(ROUNDDOWN((P$59-$B69)/Aggressive!$D$28,0)&lt;2,0.5,IF(ROUNDDOWN((P$59-$B69)/Aggressive!$D$28,0)&lt;3,0.75,IF(ROUNDDOWN((P$59-$B69)/Aggressive!$D$28,0)&lt;4,0.875,0.9375)))))</f>
        <v>0.1443792275679181</v>
      </c>
      <c r="Q69" s="135">
        <f>HLOOKUP($B69,$C$59:$Q$60,2,FALSE)*Aggressive!$C$23*(1-IF(ROUNDDOWN((Q$59-$B69)/Aggressive!$D$23,0)&lt;1,0,IF(ROUNDDOWN((Q$59-$B69)/Aggressive!$D$23,0)&lt;2,0.5,IF(ROUNDDOWN((Q$59-$B69)/Aggressive!$D$23,0)&lt;3,0.75,IF(ROUNDDOWN((Q$59-$B69)/Aggressive!$D$23,0)&lt;4,0.875,0.9375)))))+HLOOKUP($B69,$C$59:$Q$60,2,FALSE)*Aggressive!$C$24*(1-IF(ROUNDDOWN((Q$59-$B69)/Aggressive!$D$24,0)&lt;1,0,IF(ROUNDDOWN((Q$59-$B69)/Aggressive!$D$24,0)&lt;2,0.5,IF(ROUNDDOWN((Q$59-$B69)/Aggressive!$D$24,0)&lt;3,0.75,IF(ROUNDDOWN((Q$59-$B69)/Aggressive!$D$24,0)&lt;4,0.875,0.9375)))))+HLOOKUP($B69,$C$59:$Q$60,2,FALSE)*Aggressive!$C$25*(1-IF(ROUNDDOWN((Q$59-$B69)/Aggressive!$D$25,0)&lt;1,0,IF(ROUNDDOWN((Q$59-$B69)/Aggressive!$D$25,0)&lt;2,0.5,IF(ROUNDDOWN((Q$59-$B69)/Aggressive!$D$25,0)&lt;3,0.75,IF(ROUNDDOWN((Q$59-$B69)/Aggressive!$D$25,0)&lt;4,0.875,0.9375)))))+HLOOKUP($B69,$C$59:$Q$60,2,FALSE)*Aggressive!$C$26*(1-IF(ROUNDDOWN((Q$59-$B69)/Aggressive!$D$26,0)&lt;1,0,IF(ROUNDDOWN((Q$59-$B69)/Aggressive!$D$26,0)&lt;2,0.5,IF(ROUNDDOWN((Q$59-$B69)/Aggressive!$D$26,0)&lt;3,0.75,IF(ROUNDDOWN((Q$59-$B69)/Aggressive!$D$26,0)&lt;4,0.875,0.9375)))))+HLOOKUP($B69,$C$59:$Q$60,2,FALSE)*Aggressive!$C$27*(1-IF(ROUNDDOWN((Q$59-$B69)/Aggressive!$D$27,0)&lt;1,0,IF(ROUNDDOWN((Q$59-$B69)/Aggressive!$D$27,0)&lt;2,0.5,IF(ROUNDDOWN((Q$59-$B69)/Aggressive!$D$27,0)&lt;3,0.75,IF(ROUNDDOWN((Q$59-$B69)/Aggressive!$D$27,0)&lt;4,0.875,0.9375)))))+HLOOKUP($B69,$C$59:$Q$60,2,FALSE)*Aggressive!$C$28*(1-IF(ROUNDDOWN((Q$59-$B69)/Aggressive!$D$28,0)&lt;1,0,IF(ROUNDDOWN((Q$59-$B69)/Aggressive!$D$28,0)&lt;2,0.5,IF(ROUNDDOWN((Q$59-$B69)/Aggressive!$D$28,0)&lt;3,0.75,IF(ROUNDDOWN((Q$59-$B69)/Aggressive!$D$28,0)&lt;4,0.875,0.9375)))))</f>
        <v>0.13820587737794834</v>
      </c>
      <c r="R69" s="50"/>
    </row>
    <row r="70" spans="2:18" x14ac:dyDescent="0.3">
      <c r="B70" s="237">
        <f t="shared" si="14"/>
        <v>2022</v>
      </c>
      <c r="C70" s="135"/>
      <c r="D70" s="135"/>
      <c r="E70" s="135"/>
      <c r="F70" s="135"/>
      <c r="G70" s="135"/>
      <c r="H70" s="135"/>
      <c r="I70" s="135"/>
      <c r="J70" s="135">
        <f>HLOOKUP($B70,$C$59:$Q$60,2,FALSE)*Aggressive!$C$23*(1-IF(ROUNDDOWN((J$59-$B70)/Aggressive!$D$23,0)&lt;1,0,IF(ROUNDDOWN((J$59-$B70)/Aggressive!$D$23,0)&lt;2,0.5,IF(ROUNDDOWN((J$59-$B70)/Aggressive!$D$23,0)&lt;3,0.75,IF(ROUNDDOWN((J$59-$B70)/Aggressive!$D$23,0)&lt;4,0.875,0.9375)))))+HLOOKUP($B70,$C$59:$Q$60,2,FALSE)*Aggressive!$C$24*(1-IF(ROUNDDOWN((J$59-$B70)/Aggressive!$D$24,0)&lt;1,0,IF(ROUNDDOWN((J$59-$B70)/Aggressive!$D$24,0)&lt;2,0.5,IF(ROUNDDOWN((J$59-$B70)/Aggressive!$D$24,0)&lt;3,0.75,IF(ROUNDDOWN((J$59-$B70)/Aggressive!$D$24,0)&lt;4,0.875,0.9375)))))+HLOOKUP($B70,$C$59:$Q$60,2,FALSE)*Aggressive!$C$25*(1-IF(ROUNDDOWN((J$59-$B70)/Aggressive!$D$25,0)&lt;1,0,IF(ROUNDDOWN((J$59-$B70)/Aggressive!$D$25,0)&lt;2,0.5,IF(ROUNDDOWN((J$59-$B70)/Aggressive!$D$25,0)&lt;3,0.75,IF(ROUNDDOWN((J$59-$B70)/Aggressive!$D$25,0)&lt;4,0.875,0.9375)))))+HLOOKUP($B70,$C$59:$Q$60,2,FALSE)*Aggressive!$C$26*(1-IF(ROUNDDOWN((J$59-$B70)/Aggressive!$D$26,0)&lt;1,0,IF(ROUNDDOWN((J$59-$B70)/Aggressive!$D$26,0)&lt;2,0.5,IF(ROUNDDOWN((J$59-$B70)/Aggressive!$D$26,0)&lt;3,0.75,IF(ROUNDDOWN((J$59-$B70)/Aggressive!$D$26,0)&lt;4,0.875,0.9375)))))+HLOOKUP($B70,$C$59:$Q$60,2,FALSE)*Aggressive!$C$27*(1-IF(ROUNDDOWN((J$59-$B70)/Aggressive!$D$27,0)&lt;1,0,IF(ROUNDDOWN((J$59-$B70)/Aggressive!$D$27,0)&lt;2,0.5,IF(ROUNDDOWN((J$59-$B70)/Aggressive!$D$27,0)&lt;3,0.75,IF(ROUNDDOWN((J$59-$B70)/Aggressive!$D$27,0)&lt;4,0.875,0.9375)))))+HLOOKUP($B70,$C$59:$Q$60,2,FALSE)*Aggressive!$C$28*(1-IF(ROUNDDOWN((J$59-$B70)/Aggressive!$D$28,0)&lt;1,0,IF(ROUNDDOWN((J$59-$B70)/Aggressive!$D$28,0)&lt;2,0.5,IF(ROUNDDOWN((J$59-$B70)/Aggressive!$D$28,0)&lt;3,0.75,IF(ROUNDDOWN((J$59-$B70)/Aggressive!$D$28,0)&lt;4,0.875,0.9375)))))</f>
        <v>0.15433375474924435</v>
      </c>
      <c r="K70" s="135">
        <f>HLOOKUP($B70,$C$59:$Q$60,2,FALSE)*Aggressive!$C$23*(1-IF(ROUNDDOWN((K$59-$B70)/Aggressive!$D$23,0)&lt;1,0,IF(ROUNDDOWN((K$59-$B70)/Aggressive!$D$23,0)&lt;2,0.5,IF(ROUNDDOWN((K$59-$B70)/Aggressive!$D$23,0)&lt;3,0.75,IF(ROUNDDOWN((K$59-$B70)/Aggressive!$D$23,0)&lt;4,0.875,0.9375)))))+HLOOKUP($B70,$C$59:$Q$60,2,FALSE)*Aggressive!$C$24*(1-IF(ROUNDDOWN((K$59-$B70)/Aggressive!$D$24,0)&lt;1,0,IF(ROUNDDOWN((K$59-$B70)/Aggressive!$D$24,0)&lt;2,0.5,IF(ROUNDDOWN((K$59-$B70)/Aggressive!$D$24,0)&lt;3,0.75,IF(ROUNDDOWN((K$59-$B70)/Aggressive!$D$24,0)&lt;4,0.875,0.9375)))))+HLOOKUP($B70,$C$59:$Q$60,2,FALSE)*Aggressive!$C$25*(1-IF(ROUNDDOWN((K$59-$B70)/Aggressive!$D$25,0)&lt;1,0,IF(ROUNDDOWN((K$59-$B70)/Aggressive!$D$25,0)&lt;2,0.5,IF(ROUNDDOWN((K$59-$B70)/Aggressive!$D$25,0)&lt;3,0.75,IF(ROUNDDOWN((K$59-$B70)/Aggressive!$D$25,0)&lt;4,0.875,0.9375)))))+HLOOKUP($B70,$C$59:$Q$60,2,FALSE)*Aggressive!$C$26*(1-IF(ROUNDDOWN((K$59-$B70)/Aggressive!$D$26,0)&lt;1,0,IF(ROUNDDOWN((K$59-$B70)/Aggressive!$D$26,0)&lt;2,0.5,IF(ROUNDDOWN((K$59-$B70)/Aggressive!$D$26,0)&lt;3,0.75,IF(ROUNDDOWN((K$59-$B70)/Aggressive!$D$26,0)&lt;4,0.875,0.9375)))))+HLOOKUP($B70,$C$59:$Q$60,2,FALSE)*Aggressive!$C$27*(1-IF(ROUNDDOWN((K$59-$B70)/Aggressive!$D$27,0)&lt;1,0,IF(ROUNDDOWN((K$59-$B70)/Aggressive!$D$27,0)&lt;2,0.5,IF(ROUNDDOWN((K$59-$B70)/Aggressive!$D$27,0)&lt;3,0.75,IF(ROUNDDOWN((K$59-$B70)/Aggressive!$D$27,0)&lt;4,0.875,0.9375)))))+HLOOKUP($B70,$C$59:$Q$60,2,FALSE)*Aggressive!$C$28*(1-IF(ROUNDDOWN((K$59-$B70)/Aggressive!$D$28,0)&lt;1,0,IF(ROUNDDOWN((K$59-$B70)/Aggressive!$D$28,0)&lt;2,0.5,IF(ROUNDDOWN((K$59-$B70)/Aggressive!$D$28,0)&lt;3,0.75,IF(ROUNDDOWN((K$59-$B70)/Aggressive!$D$28,0)&lt;4,0.875,0.9375)))))</f>
        <v>0.15433375474924435</v>
      </c>
      <c r="L70" s="135">
        <f>HLOOKUP($B70,$C$59:$Q$60,2,FALSE)*Aggressive!$C$23*(1-IF(ROUNDDOWN((L$59-$B70)/Aggressive!$D$23,0)&lt;1,0,IF(ROUNDDOWN((L$59-$B70)/Aggressive!$D$23,0)&lt;2,0.5,IF(ROUNDDOWN((L$59-$B70)/Aggressive!$D$23,0)&lt;3,0.75,IF(ROUNDDOWN((L$59-$B70)/Aggressive!$D$23,0)&lt;4,0.875,0.9375)))))+HLOOKUP($B70,$C$59:$Q$60,2,FALSE)*Aggressive!$C$24*(1-IF(ROUNDDOWN((L$59-$B70)/Aggressive!$D$24,0)&lt;1,0,IF(ROUNDDOWN((L$59-$B70)/Aggressive!$D$24,0)&lt;2,0.5,IF(ROUNDDOWN((L$59-$B70)/Aggressive!$D$24,0)&lt;3,0.75,IF(ROUNDDOWN((L$59-$B70)/Aggressive!$D$24,0)&lt;4,0.875,0.9375)))))+HLOOKUP($B70,$C$59:$Q$60,2,FALSE)*Aggressive!$C$25*(1-IF(ROUNDDOWN((L$59-$B70)/Aggressive!$D$25,0)&lt;1,0,IF(ROUNDDOWN((L$59-$B70)/Aggressive!$D$25,0)&lt;2,0.5,IF(ROUNDDOWN((L$59-$B70)/Aggressive!$D$25,0)&lt;3,0.75,IF(ROUNDDOWN((L$59-$B70)/Aggressive!$D$25,0)&lt;4,0.875,0.9375)))))+HLOOKUP($B70,$C$59:$Q$60,2,FALSE)*Aggressive!$C$26*(1-IF(ROUNDDOWN((L$59-$B70)/Aggressive!$D$26,0)&lt;1,0,IF(ROUNDDOWN((L$59-$B70)/Aggressive!$D$26,0)&lt;2,0.5,IF(ROUNDDOWN((L$59-$B70)/Aggressive!$D$26,0)&lt;3,0.75,IF(ROUNDDOWN((L$59-$B70)/Aggressive!$D$26,0)&lt;4,0.875,0.9375)))))+HLOOKUP($B70,$C$59:$Q$60,2,FALSE)*Aggressive!$C$27*(1-IF(ROUNDDOWN((L$59-$B70)/Aggressive!$D$27,0)&lt;1,0,IF(ROUNDDOWN((L$59-$B70)/Aggressive!$D$27,0)&lt;2,0.5,IF(ROUNDDOWN((L$59-$B70)/Aggressive!$D$27,0)&lt;3,0.75,IF(ROUNDDOWN((L$59-$B70)/Aggressive!$D$27,0)&lt;4,0.875,0.9375)))))+HLOOKUP($B70,$C$59:$Q$60,2,FALSE)*Aggressive!$C$28*(1-IF(ROUNDDOWN((L$59-$B70)/Aggressive!$D$28,0)&lt;1,0,IF(ROUNDDOWN((L$59-$B70)/Aggressive!$D$28,0)&lt;2,0.5,IF(ROUNDDOWN((L$59-$B70)/Aggressive!$D$28,0)&lt;3,0.75,IF(ROUNDDOWN((L$59-$B70)/Aggressive!$D$28,0)&lt;4,0.875,0.9375)))))</f>
        <v>0.15433375474924435</v>
      </c>
      <c r="M70" s="135">
        <f>HLOOKUP($B70,$C$59:$Q$60,2,FALSE)*Aggressive!$C$23*(1-IF(ROUNDDOWN((M$59-$B70)/Aggressive!$D$23,0)&lt;1,0,IF(ROUNDDOWN((M$59-$B70)/Aggressive!$D$23,0)&lt;2,0.5,IF(ROUNDDOWN((M$59-$B70)/Aggressive!$D$23,0)&lt;3,0.75,IF(ROUNDDOWN((M$59-$B70)/Aggressive!$D$23,0)&lt;4,0.875,0.9375)))))+HLOOKUP($B70,$C$59:$Q$60,2,FALSE)*Aggressive!$C$24*(1-IF(ROUNDDOWN((M$59-$B70)/Aggressive!$D$24,0)&lt;1,0,IF(ROUNDDOWN((M$59-$B70)/Aggressive!$D$24,0)&lt;2,0.5,IF(ROUNDDOWN((M$59-$B70)/Aggressive!$D$24,0)&lt;3,0.75,IF(ROUNDDOWN((M$59-$B70)/Aggressive!$D$24,0)&lt;4,0.875,0.9375)))))+HLOOKUP($B70,$C$59:$Q$60,2,FALSE)*Aggressive!$C$25*(1-IF(ROUNDDOWN((M$59-$B70)/Aggressive!$D$25,0)&lt;1,0,IF(ROUNDDOWN((M$59-$B70)/Aggressive!$D$25,0)&lt;2,0.5,IF(ROUNDDOWN((M$59-$B70)/Aggressive!$D$25,0)&lt;3,0.75,IF(ROUNDDOWN((M$59-$B70)/Aggressive!$D$25,0)&lt;4,0.875,0.9375)))))+HLOOKUP($B70,$C$59:$Q$60,2,FALSE)*Aggressive!$C$26*(1-IF(ROUNDDOWN((M$59-$B70)/Aggressive!$D$26,0)&lt;1,0,IF(ROUNDDOWN((M$59-$B70)/Aggressive!$D$26,0)&lt;2,0.5,IF(ROUNDDOWN((M$59-$B70)/Aggressive!$D$26,0)&lt;3,0.75,IF(ROUNDDOWN((M$59-$B70)/Aggressive!$D$26,0)&lt;4,0.875,0.9375)))))+HLOOKUP($B70,$C$59:$Q$60,2,FALSE)*Aggressive!$C$27*(1-IF(ROUNDDOWN((M$59-$B70)/Aggressive!$D$27,0)&lt;1,0,IF(ROUNDDOWN((M$59-$B70)/Aggressive!$D$27,0)&lt;2,0.5,IF(ROUNDDOWN((M$59-$B70)/Aggressive!$D$27,0)&lt;3,0.75,IF(ROUNDDOWN((M$59-$B70)/Aggressive!$D$27,0)&lt;4,0.875,0.9375)))))+HLOOKUP($B70,$C$59:$Q$60,2,FALSE)*Aggressive!$C$28*(1-IF(ROUNDDOWN((M$59-$B70)/Aggressive!$D$28,0)&lt;1,0,IF(ROUNDDOWN((M$59-$B70)/Aggressive!$D$28,0)&lt;2,0.5,IF(ROUNDDOWN((M$59-$B70)/Aggressive!$D$28,0)&lt;3,0.75,IF(ROUNDDOWN((M$59-$B70)/Aggressive!$D$28,0)&lt;4,0.875,0.9375)))))</f>
        <v>0.14769740329502687</v>
      </c>
      <c r="N70" s="135">
        <f>HLOOKUP($B70,$C$59:$Q$60,2,FALSE)*Aggressive!$C$23*(1-IF(ROUNDDOWN((N$59-$B70)/Aggressive!$D$23,0)&lt;1,0,IF(ROUNDDOWN((N$59-$B70)/Aggressive!$D$23,0)&lt;2,0.5,IF(ROUNDDOWN((N$59-$B70)/Aggressive!$D$23,0)&lt;3,0.75,IF(ROUNDDOWN((N$59-$B70)/Aggressive!$D$23,0)&lt;4,0.875,0.9375)))))+HLOOKUP($B70,$C$59:$Q$60,2,FALSE)*Aggressive!$C$24*(1-IF(ROUNDDOWN((N$59-$B70)/Aggressive!$D$24,0)&lt;1,0,IF(ROUNDDOWN((N$59-$B70)/Aggressive!$D$24,0)&lt;2,0.5,IF(ROUNDDOWN((N$59-$B70)/Aggressive!$D$24,0)&lt;3,0.75,IF(ROUNDDOWN((N$59-$B70)/Aggressive!$D$24,0)&lt;4,0.875,0.9375)))))+HLOOKUP($B70,$C$59:$Q$60,2,FALSE)*Aggressive!$C$25*(1-IF(ROUNDDOWN((N$59-$B70)/Aggressive!$D$25,0)&lt;1,0,IF(ROUNDDOWN((N$59-$B70)/Aggressive!$D$25,0)&lt;2,0.5,IF(ROUNDDOWN((N$59-$B70)/Aggressive!$D$25,0)&lt;3,0.75,IF(ROUNDDOWN((N$59-$B70)/Aggressive!$D$25,0)&lt;4,0.875,0.9375)))))+HLOOKUP($B70,$C$59:$Q$60,2,FALSE)*Aggressive!$C$26*(1-IF(ROUNDDOWN((N$59-$B70)/Aggressive!$D$26,0)&lt;1,0,IF(ROUNDDOWN((N$59-$B70)/Aggressive!$D$26,0)&lt;2,0.5,IF(ROUNDDOWN((N$59-$B70)/Aggressive!$D$26,0)&lt;3,0.75,IF(ROUNDDOWN((N$59-$B70)/Aggressive!$D$26,0)&lt;4,0.875,0.9375)))))+HLOOKUP($B70,$C$59:$Q$60,2,FALSE)*Aggressive!$C$27*(1-IF(ROUNDDOWN((N$59-$B70)/Aggressive!$D$27,0)&lt;1,0,IF(ROUNDDOWN((N$59-$B70)/Aggressive!$D$27,0)&lt;2,0.5,IF(ROUNDDOWN((N$59-$B70)/Aggressive!$D$27,0)&lt;3,0.75,IF(ROUNDDOWN((N$59-$B70)/Aggressive!$D$27,0)&lt;4,0.875,0.9375)))))+HLOOKUP($B70,$C$59:$Q$60,2,FALSE)*Aggressive!$C$28*(1-IF(ROUNDDOWN((N$59-$B70)/Aggressive!$D$28,0)&lt;1,0,IF(ROUNDDOWN((N$59-$B70)/Aggressive!$D$28,0)&lt;2,0.5,IF(ROUNDDOWN((N$59-$B70)/Aggressive!$D$28,0)&lt;3,0.75,IF(ROUNDDOWN((N$59-$B70)/Aggressive!$D$28,0)&lt;4,0.875,0.9375)))))</f>
        <v>0.14769740329502687</v>
      </c>
      <c r="O70" s="135">
        <f>HLOOKUP($B70,$C$59:$Q$60,2,FALSE)*Aggressive!$C$23*(1-IF(ROUNDDOWN((O$59-$B70)/Aggressive!$D$23,0)&lt;1,0,IF(ROUNDDOWN((O$59-$B70)/Aggressive!$D$23,0)&lt;2,0.5,IF(ROUNDDOWN((O$59-$B70)/Aggressive!$D$23,0)&lt;3,0.75,IF(ROUNDDOWN((O$59-$B70)/Aggressive!$D$23,0)&lt;4,0.875,0.9375)))))+HLOOKUP($B70,$C$59:$Q$60,2,FALSE)*Aggressive!$C$24*(1-IF(ROUNDDOWN((O$59-$B70)/Aggressive!$D$24,0)&lt;1,0,IF(ROUNDDOWN((O$59-$B70)/Aggressive!$D$24,0)&lt;2,0.5,IF(ROUNDDOWN((O$59-$B70)/Aggressive!$D$24,0)&lt;3,0.75,IF(ROUNDDOWN((O$59-$B70)/Aggressive!$D$24,0)&lt;4,0.875,0.9375)))))+HLOOKUP($B70,$C$59:$Q$60,2,FALSE)*Aggressive!$C$25*(1-IF(ROUNDDOWN((O$59-$B70)/Aggressive!$D$25,0)&lt;1,0,IF(ROUNDDOWN((O$59-$B70)/Aggressive!$D$25,0)&lt;2,0.5,IF(ROUNDDOWN((O$59-$B70)/Aggressive!$D$25,0)&lt;3,0.75,IF(ROUNDDOWN((O$59-$B70)/Aggressive!$D$25,0)&lt;4,0.875,0.9375)))))+HLOOKUP($B70,$C$59:$Q$60,2,FALSE)*Aggressive!$C$26*(1-IF(ROUNDDOWN((O$59-$B70)/Aggressive!$D$26,0)&lt;1,0,IF(ROUNDDOWN((O$59-$B70)/Aggressive!$D$26,0)&lt;2,0.5,IF(ROUNDDOWN((O$59-$B70)/Aggressive!$D$26,0)&lt;3,0.75,IF(ROUNDDOWN((O$59-$B70)/Aggressive!$D$26,0)&lt;4,0.875,0.9375)))))+HLOOKUP($B70,$C$59:$Q$60,2,FALSE)*Aggressive!$C$27*(1-IF(ROUNDDOWN((O$59-$B70)/Aggressive!$D$27,0)&lt;1,0,IF(ROUNDDOWN((O$59-$B70)/Aggressive!$D$27,0)&lt;2,0.5,IF(ROUNDDOWN((O$59-$B70)/Aggressive!$D$27,0)&lt;3,0.75,IF(ROUNDDOWN((O$59-$B70)/Aggressive!$D$27,0)&lt;4,0.875,0.9375)))))+HLOOKUP($B70,$C$59:$Q$60,2,FALSE)*Aggressive!$C$28*(1-IF(ROUNDDOWN((O$59-$B70)/Aggressive!$D$28,0)&lt;1,0,IF(ROUNDDOWN((O$59-$B70)/Aggressive!$D$28,0)&lt;2,0.5,IF(ROUNDDOWN((O$59-$B70)/Aggressive!$D$28,0)&lt;3,0.75,IF(ROUNDDOWN((O$59-$B70)/Aggressive!$D$28,0)&lt;4,0.875,0.9375)))))</f>
        <v>0.14769740329502687</v>
      </c>
      <c r="P70" s="135">
        <f>HLOOKUP($B70,$C$59:$Q$60,2,FALSE)*Aggressive!$C$23*(1-IF(ROUNDDOWN((P$59-$B70)/Aggressive!$D$23,0)&lt;1,0,IF(ROUNDDOWN((P$59-$B70)/Aggressive!$D$23,0)&lt;2,0.5,IF(ROUNDDOWN((P$59-$B70)/Aggressive!$D$23,0)&lt;3,0.75,IF(ROUNDDOWN((P$59-$B70)/Aggressive!$D$23,0)&lt;4,0.875,0.9375)))))+HLOOKUP($B70,$C$59:$Q$60,2,FALSE)*Aggressive!$C$24*(1-IF(ROUNDDOWN((P$59-$B70)/Aggressive!$D$24,0)&lt;1,0,IF(ROUNDDOWN((P$59-$B70)/Aggressive!$D$24,0)&lt;2,0.5,IF(ROUNDDOWN((P$59-$B70)/Aggressive!$D$24,0)&lt;3,0.75,IF(ROUNDDOWN((P$59-$B70)/Aggressive!$D$24,0)&lt;4,0.875,0.9375)))))+HLOOKUP($B70,$C$59:$Q$60,2,FALSE)*Aggressive!$C$25*(1-IF(ROUNDDOWN((P$59-$B70)/Aggressive!$D$25,0)&lt;1,0,IF(ROUNDDOWN((P$59-$B70)/Aggressive!$D$25,0)&lt;2,0.5,IF(ROUNDDOWN((P$59-$B70)/Aggressive!$D$25,0)&lt;3,0.75,IF(ROUNDDOWN((P$59-$B70)/Aggressive!$D$25,0)&lt;4,0.875,0.9375)))))+HLOOKUP($B70,$C$59:$Q$60,2,FALSE)*Aggressive!$C$26*(1-IF(ROUNDDOWN((P$59-$B70)/Aggressive!$D$26,0)&lt;1,0,IF(ROUNDDOWN((P$59-$B70)/Aggressive!$D$26,0)&lt;2,0.5,IF(ROUNDDOWN((P$59-$B70)/Aggressive!$D$26,0)&lt;3,0.75,IF(ROUNDDOWN((P$59-$B70)/Aggressive!$D$26,0)&lt;4,0.875,0.9375)))))+HLOOKUP($B70,$C$59:$Q$60,2,FALSE)*Aggressive!$C$27*(1-IF(ROUNDDOWN((P$59-$B70)/Aggressive!$D$27,0)&lt;1,0,IF(ROUNDDOWN((P$59-$B70)/Aggressive!$D$27,0)&lt;2,0.5,IF(ROUNDDOWN((P$59-$B70)/Aggressive!$D$27,0)&lt;3,0.75,IF(ROUNDDOWN((P$59-$B70)/Aggressive!$D$27,0)&lt;4,0.875,0.9375)))))+HLOOKUP($B70,$C$59:$Q$60,2,FALSE)*Aggressive!$C$28*(1-IF(ROUNDDOWN((P$59-$B70)/Aggressive!$D$28,0)&lt;1,0,IF(ROUNDDOWN((P$59-$B70)/Aggressive!$D$28,0)&lt;2,0.5,IF(ROUNDDOWN((P$59-$B70)/Aggressive!$D$28,0)&lt;3,0.75,IF(ROUNDDOWN((P$59-$B70)/Aggressive!$D$28,0)&lt;4,0.875,0.9375)))))</f>
        <v>0.1443792275679181</v>
      </c>
      <c r="Q70" s="135">
        <f>HLOOKUP($B70,$C$59:$Q$60,2,FALSE)*Aggressive!$C$23*(1-IF(ROUNDDOWN((Q$59-$B70)/Aggressive!$D$23,0)&lt;1,0,IF(ROUNDDOWN((Q$59-$B70)/Aggressive!$D$23,0)&lt;2,0.5,IF(ROUNDDOWN((Q$59-$B70)/Aggressive!$D$23,0)&lt;3,0.75,IF(ROUNDDOWN((Q$59-$B70)/Aggressive!$D$23,0)&lt;4,0.875,0.9375)))))+HLOOKUP($B70,$C$59:$Q$60,2,FALSE)*Aggressive!$C$24*(1-IF(ROUNDDOWN((Q$59-$B70)/Aggressive!$D$24,0)&lt;1,0,IF(ROUNDDOWN((Q$59-$B70)/Aggressive!$D$24,0)&lt;2,0.5,IF(ROUNDDOWN((Q$59-$B70)/Aggressive!$D$24,0)&lt;3,0.75,IF(ROUNDDOWN((Q$59-$B70)/Aggressive!$D$24,0)&lt;4,0.875,0.9375)))))+HLOOKUP($B70,$C$59:$Q$60,2,FALSE)*Aggressive!$C$25*(1-IF(ROUNDDOWN((Q$59-$B70)/Aggressive!$D$25,0)&lt;1,0,IF(ROUNDDOWN((Q$59-$B70)/Aggressive!$D$25,0)&lt;2,0.5,IF(ROUNDDOWN((Q$59-$B70)/Aggressive!$D$25,0)&lt;3,0.75,IF(ROUNDDOWN((Q$59-$B70)/Aggressive!$D$25,0)&lt;4,0.875,0.9375)))))+HLOOKUP($B70,$C$59:$Q$60,2,FALSE)*Aggressive!$C$26*(1-IF(ROUNDDOWN((Q$59-$B70)/Aggressive!$D$26,0)&lt;1,0,IF(ROUNDDOWN((Q$59-$B70)/Aggressive!$D$26,0)&lt;2,0.5,IF(ROUNDDOWN((Q$59-$B70)/Aggressive!$D$26,0)&lt;3,0.75,IF(ROUNDDOWN((Q$59-$B70)/Aggressive!$D$26,0)&lt;4,0.875,0.9375)))))+HLOOKUP($B70,$C$59:$Q$60,2,FALSE)*Aggressive!$C$27*(1-IF(ROUNDDOWN((Q$59-$B70)/Aggressive!$D$27,0)&lt;1,0,IF(ROUNDDOWN((Q$59-$B70)/Aggressive!$D$27,0)&lt;2,0.5,IF(ROUNDDOWN((Q$59-$B70)/Aggressive!$D$27,0)&lt;3,0.75,IF(ROUNDDOWN((Q$59-$B70)/Aggressive!$D$27,0)&lt;4,0.875,0.9375)))))+HLOOKUP($B70,$C$59:$Q$60,2,FALSE)*Aggressive!$C$28*(1-IF(ROUNDDOWN((Q$59-$B70)/Aggressive!$D$28,0)&lt;1,0,IF(ROUNDDOWN((Q$59-$B70)/Aggressive!$D$28,0)&lt;2,0.5,IF(ROUNDDOWN((Q$59-$B70)/Aggressive!$D$28,0)&lt;3,0.75,IF(ROUNDDOWN((Q$59-$B70)/Aggressive!$D$28,0)&lt;4,0.875,0.9375)))))</f>
        <v>0.1443792275679181</v>
      </c>
      <c r="R70" s="50"/>
    </row>
    <row r="71" spans="2:18" x14ac:dyDescent="0.3">
      <c r="B71" s="237">
        <f t="shared" si="14"/>
        <v>2023</v>
      </c>
      <c r="C71" s="135"/>
      <c r="D71" s="135"/>
      <c r="E71" s="135"/>
      <c r="F71" s="135"/>
      <c r="G71" s="135"/>
      <c r="H71" s="135"/>
      <c r="I71" s="135"/>
      <c r="J71" s="135"/>
      <c r="K71" s="135">
        <f>HLOOKUP($B71,$C$59:$Q$60,2,FALSE)*Aggressive!$C$23*(1-IF(ROUNDDOWN((K$59-$B71)/Aggressive!$D$23,0)&lt;1,0,IF(ROUNDDOWN((K$59-$B71)/Aggressive!$D$23,0)&lt;2,0.5,IF(ROUNDDOWN((K$59-$B71)/Aggressive!$D$23,0)&lt;3,0.75,IF(ROUNDDOWN((K$59-$B71)/Aggressive!$D$23,0)&lt;4,0.875,0.9375)))))+HLOOKUP($B71,$C$59:$Q$60,2,FALSE)*Aggressive!$C$24*(1-IF(ROUNDDOWN((K$59-$B71)/Aggressive!$D$24,0)&lt;1,0,IF(ROUNDDOWN((K$59-$B71)/Aggressive!$D$24,0)&lt;2,0.5,IF(ROUNDDOWN((K$59-$B71)/Aggressive!$D$24,0)&lt;3,0.75,IF(ROUNDDOWN((K$59-$B71)/Aggressive!$D$24,0)&lt;4,0.875,0.9375)))))+HLOOKUP($B71,$C$59:$Q$60,2,FALSE)*Aggressive!$C$25*(1-IF(ROUNDDOWN((K$59-$B71)/Aggressive!$D$25,0)&lt;1,0,IF(ROUNDDOWN((K$59-$B71)/Aggressive!$D$25,0)&lt;2,0.5,IF(ROUNDDOWN((K$59-$B71)/Aggressive!$D$25,0)&lt;3,0.75,IF(ROUNDDOWN((K$59-$B71)/Aggressive!$D$25,0)&lt;4,0.875,0.9375)))))+HLOOKUP($B71,$C$59:$Q$60,2,FALSE)*Aggressive!$C$26*(1-IF(ROUNDDOWN((K$59-$B71)/Aggressive!$D$26,0)&lt;1,0,IF(ROUNDDOWN((K$59-$B71)/Aggressive!$D$26,0)&lt;2,0.5,IF(ROUNDDOWN((K$59-$B71)/Aggressive!$D$26,0)&lt;3,0.75,IF(ROUNDDOWN((K$59-$B71)/Aggressive!$D$26,0)&lt;4,0.875,0.9375)))))+HLOOKUP($B71,$C$59:$Q$60,2,FALSE)*Aggressive!$C$27*(1-IF(ROUNDDOWN((K$59-$B71)/Aggressive!$D$27,0)&lt;1,0,IF(ROUNDDOWN((K$59-$B71)/Aggressive!$D$27,0)&lt;2,0.5,IF(ROUNDDOWN((K$59-$B71)/Aggressive!$D$27,0)&lt;3,0.75,IF(ROUNDDOWN((K$59-$B71)/Aggressive!$D$27,0)&lt;4,0.875,0.9375)))))+HLOOKUP($B71,$C$59:$Q$60,2,FALSE)*Aggressive!$C$28*(1-IF(ROUNDDOWN((K$59-$B71)/Aggressive!$D$28,0)&lt;1,0,IF(ROUNDDOWN((K$59-$B71)/Aggressive!$D$28,0)&lt;2,0.5,IF(ROUNDDOWN((K$59-$B71)/Aggressive!$D$28,0)&lt;3,0.75,IF(ROUNDDOWN((K$59-$B71)/Aggressive!$D$28,0)&lt;4,0.875,0.9375)))))</f>
        <v>0.15433375474924435</v>
      </c>
      <c r="L71" s="135">
        <f>HLOOKUP($B71,$C$59:$Q$60,2,FALSE)*Aggressive!$C$23*(1-IF(ROUNDDOWN((L$59-$B71)/Aggressive!$D$23,0)&lt;1,0,IF(ROUNDDOWN((L$59-$B71)/Aggressive!$D$23,0)&lt;2,0.5,IF(ROUNDDOWN((L$59-$B71)/Aggressive!$D$23,0)&lt;3,0.75,IF(ROUNDDOWN((L$59-$B71)/Aggressive!$D$23,0)&lt;4,0.875,0.9375)))))+HLOOKUP($B71,$C$59:$Q$60,2,FALSE)*Aggressive!$C$24*(1-IF(ROUNDDOWN((L$59-$B71)/Aggressive!$D$24,0)&lt;1,0,IF(ROUNDDOWN((L$59-$B71)/Aggressive!$D$24,0)&lt;2,0.5,IF(ROUNDDOWN((L$59-$B71)/Aggressive!$D$24,0)&lt;3,0.75,IF(ROUNDDOWN((L$59-$B71)/Aggressive!$D$24,0)&lt;4,0.875,0.9375)))))+HLOOKUP($B71,$C$59:$Q$60,2,FALSE)*Aggressive!$C$25*(1-IF(ROUNDDOWN((L$59-$B71)/Aggressive!$D$25,0)&lt;1,0,IF(ROUNDDOWN((L$59-$B71)/Aggressive!$D$25,0)&lt;2,0.5,IF(ROUNDDOWN((L$59-$B71)/Aggressive!$D$25,0)&lt;3,0.75,IF(ROUNDDOWN((L$59-$B71)/Aggressive!$D$25,0)&lt;4,0.875,0.9375)))))+HLOOKUP($B71,$C$59:$Q$60,2,FALSE)*Aggressive!$C$26*(1-IF(ROUNDDOWN((L$59-$B71)/Aggressive!$D$26,0)&lt;1,0,IF(ROUNDDOWN((L$59-$B71)/Aggressive!$D$26,0)&lt;2,0.5,IF(ROUNDDOWN((L$59-$B71)/Aggressive!$D$26,0)&lt;3,0.75,IF(ROUNDDOWN((L$59-$B71)/Aggressive!$D$26,0)&lt;4,0.875,0.9375)))))+HLOOKUP($B71,$C$59:$Q$60,2,FALSE)*Aggressive!$C$27*(1-IF(ROUNDDOWN((L$59-$B71)/Aggressive!$D$27,0)&lt;1,0,IF(ROUNDDOWN((L$59-$B71)/Aggressive!$D$27,0)&lt;2,0.5,IF(ROUNDDOWN((L$59-$B71)/Aggressive!$D$27,0)&lt;3,0.75,IF(ROUNDDOWN((L$59-$B71)/Aggressive!$D$27,0)&lt;4,0.875,0.9375)))))+HLOOKUP($B71,$C$59:$Q$60,2,FALSE)*Aggressive!$C$28*(1-IF(ROUNDDOWN((L$59-$B71)/Aggressive!$D$28,0)&lt;1,0,IF(ROUNDDOWN((L$59-$B71)/Aggressive!$D$28,0)&lt;2,0.5,IF(ROUNDDOWN((L$59-$B71)/Aggressive!$D$28,0)&lt;3,0.75,IF(ROUNDDOWN((L$59-$B71)/Aggressive!$D$28,0)&lt;4,0.875,0.9375)))))</f>
        <v>0.15433375474924435</v>
      </c>
      <c r="M71" s="135">
        <f>HLOOKUP($B71,$C$59:$Q$60,2,FALSE)*Aggressive!$C$23*(1-IF(ROUNDDOWN((M$59-$B71)/Aggressive!$D$23,0)&lt;1,0,IF(ROUNDDOWN((M$59-$B71)/Aggressive!$D$23,0)&lt;2,0.5,IF(ROUNDDOWN((M$59-$B71)/Aggressive!$D$23,0)&lt;3,0.75,IF(ROUNDDOWN((M$59-$B71)/Aggressive!$D$23,0)&lt;4,0.875,0.9375)))))+HLOOKUP($B71,$C$59:$Q$60,2,FALSE)*Aggressive!$C$24*(1-IF(ROUNDDOWN((M$59-$B71)/Aggressive!$D$24,0)&lt;1,0,IF(ROUNDDOWN((M$59-$B71)/Aggressive!$D$24,0)&lt;2,0.5,IF(ROUNDDOWN((M$59-$B71)/Aggressive!$D$24,0)&lt;3,0.75,IF(ROUNDDOWN((M$59-$B71)/Aggressive!$D$24,0)&lt;4,0.875,0.9375)))))+HLOOKUP($B71,$C$59:$Q$60,2,FALSE)*Aggressive!$C$25*(1-IF(ROUNDDOWN((M$59-$B71)/Aggressive!$D$25,0)&lt;1,0,IF(ROUNDDOWN((M$59-$B71)/Aggressive!$D$25,0)&lt;2,0.5,IF(ROUNDDOWN((M$59-$B71)/Aggressive!$D$25,0)&lt;3,0.75,IF(ROUNDDOWN((M$59-$B71)/Aggressive!$D$25,0)&lt;4,0.875,0.9375)))))+HLOOKUP($B71,$C$59:$Q$60,2,FALSE)*Aggressive!$C$26*(1-IF(ROUNDDOWN((M$59-$B71)/Aggressive!$D$26,0)&lt;1,0,IF(ROUNDDOWN((M$59-$B71)/Aggressive!$D$26,0)&lt;2,0.5,IF(ROUNDDOWN((M$59-$B71)/Aggressive!$D$26,0)&lt;3,0.75,IF(ROUNDDOWN((M$59-$B71)/Aggressive!$D$26,0)&lt;4,0.875,0.9375)))))+HLOOKUP($B71,$C$59:$Q$60,2,FALSE)*Aggressive!$C$27*(1-IF(ROUNDDOWN((M$59-$B71)/Aggressive!$D$27,0)&lt;1,0,IF(ROUNDDOWN((M$59-$B71)/Aggressive!$D$27,0)&lt;2,0.5,IF(ROUNDDOWN((M$59-$B71)/Aggressive!$D$27,0)&lt;3,0.75,IF(ROUNDDOWN((M$59-$B71)/Aggressive!$D$27,0)&lt;4,0.875,0.9375)))))+HLOOKUP($B71,$C$59:$Q$60,2,FALSE)*Aggressive!$C$28*(1-IF(ROUNDDOWN((M$59-$B71)/Aggressive!$D$28,0)&lt;1,0,IF(ROUNDDOWN((M$59-$B71)/Aggressive!$D$28,0)&lt;2,0.5,IF(ROUNDDOWN((M$59-$B71)/Aggressive!$D$28,0)&lt;3,0.75,IF(ROUNDDOWN((M$59-$B71)/Aggressive!$D$28,0)&lt;4,0.875,0.9375)))))</f>
        <v>0.15433375474924435</v>
      </c>
      <c r="N71" s="135">
        <f>HLOOKUP($B71,$C$59:$Q$60,2,FALSE)*Aggressive!$C$23*(1-IF(ROUNDDOWN((N$59-$B71)/Aggressive!$D$23,0)&lt;1,0,IF(ROUNDDOWN((N$59-$B71)/Aggressive!$D$23,0)&lt;2,0.5,IF(ROUNDDOWN((N$59-$B71)/Aggressive!$D$23,0)&lt;3,0.75,IF(ROUNDDOWN((N$59-$B71)/Aggressive!$D$23,0)&lt;4,0.875,0.9375)))))+HLOOKUP($B71,$C$59:$Q$60,2,FALSE)*Aggressive!$C$24*(1-IF(ROUNDDOWN((N$59-$B71)/Aggressive!$D$24,0)&lt;1,0,IF(ROUNDDOWN((N$59-$B71)/Aggressive!$D$24,0)&lt;2,0.5,IF(ROUNDDOWN((N$59-$B71)/Aggressive!$D$24,0)&lt;3,0.75,IF(ROUNDDOWN((N$59-$B71)/Aggressive!$D$24,0)&lt;4,0.875,0.9375)))))+HLOOKUP($B71,$C$59:$Q$60,2,FALSE)*Aggressive!$C$25*(1-IF(ROUNDDOWN((N$59-$B71)/Aggressive!$D$25,0)&lt;1,0,IF(ROUNDDOWN((N$59-$B71)/Aggressive!$D$25,0)&lt;2,0.5,IF(ROUNDDOWN((N$59-$B71)/Aggressive!$D$25,0)&lt;3,0.75,IF(ROUNDDOWN((N$59-$B71)/Aggressive!$D$25,0)&lt;4,0.875,0.9375)))))+HLOOKUP($B71,$C$59:$Q$60,2,FALSE)*Aggressive!$C$26*(1-IF(ROUNDDOWN((N$59-$B71)/Aggressive!$D$26,0)&lt;1,0,IF(ROUNDDOWN((N$59-$B71)/Aggressive!$D$26,0)&lt;2,0.5,IF(ROUNDDOWN((N$59-$B71)/Aggressive!$D$26,0)&lt;3,0.75,IF(ROUNDDOWN((N$59-$B71)/Aggressive!$D$26,0)&lt;4,0.875,0.9375)))))+HLOOKUP($B71,$C$59:$Q$60,2,FALSE)*Aggressive!$C$27*(1-IF(ROUNDDOWN((N$59-$B71)/Aggressive!$D$27,0)&lt;1,0,IF(ROUNDDOWN((N$59-$B71)/Aggressive!$D$27,0)&lt;2,0.5,IF(ROUNDDOWN((N$59-$B71)/Aggressive!$D$27,0)&lt;3,0.75,IF(ROUNDDOWN((N$59-$B71)/Aggressive!$D$27,0)&lt;4,0.875,0.9375)))))+HLOOKUP($B71,$C$59:$Q$60,2,FALSE)*Aggressive!$C$28*(1-IF(ROUNDDOWN((N$59-$B71)/Aggressive!$D$28,0)&lt;1,0,IF(ROUNDDOWN((N$59-$B71)/Aggressive!$D$28,0)&lt;2,0.5,IF(ROUNDDOWN((N$59-$B71)/Aggressive!$D$28,0)&lt;3,0.75,IF(ROUNDDOWN((N$59-$B71)/Aggressive!$D$28,0)&lt;4,0.875,0.9375)))))</f>
        <v>0.14769740329502687</v>
      </c>
      <c r="O71" s="135">
        <f>HLOOKUP($B71,$C$59:$Q$60,2,FALSE)*Aggressive!$C$23*(1-IF(ROUNDDOWN((O$59-$B71)/Aggressive!$D$23,0)&lt;1,0,IF(ROUNDDOWN((O$59-$B71)/Aggressive!$D$23,0)&lt;2,0.5,IF(ROUNDDOWN((O$59-$B71)/Aggressive!$D$23,0)&lt;3,0.75,IF(ROUNDDOWN((O$59-$B71)/Aggressive!$D$23,0)&lt;4,0.875,0.9375)))))+HLOOKUP($B71,$C$59:$Q$60,2,FALSE)*Aggressive!$C$24*(1-IF(ROUNDDOWN((O$59-$B71)/Aggressive!$D$24,0)&lt;1,0,IF(ROUNDDOWN((O$59-$B71)/Aggressive!$D$24,0)&lt;2,0.5,IF(ROUNDDOWN((O$59-$B71)/Aggressive!$D$24,0)&lt;3,0.75,IF(ROUNDDOWN((O$59-$B71)/Aggressive!$D$24,0)&lt;4,0.875,0.9375)))))+HLOOKUP($B71,$C$59:$Q$60,2,FALSE)*Aggressive!$C$25*(1-IF(ROUNDDOWN((O$59-$B71)/Aggressive!$D$25,0)&lt;1,0,IF(ROUNDDOWN((O$59-$B71)/Aggressive!$D$25,0)&lt;2,0.5,IF(ROUNDDOWN((O$59-$B71)/Aggressive!$D$25,0)&lt;3,0.75,IF(ROUNDDOWN((O$59-$B71)/Aggressive!$D$25,0)&lt;4,0.875,0.9375)))))+HLOOKUP($B71,$C$59:$Q$60,2,FALSE)*Aggressive!$C$26*(1-IF(ROUNDDOWN((O$59-$B71)/Aggressive!$D$26,0)&lt;1,0,IF(ROUNDDOWN((O$59-$B71)/Aggressive!$D$26,0)&lt;2,0.5,IF(ROUNDDOWN((O$59-$B71)/Aggressive!$D$26,0)&lt;3,0.75,IF(ROUNDDOWN((O$59-$B71)/Aggressive!$D$26,0)&lt;4,0.875,0.9375)))))+HLOOKUP($B71,$C$59:$Q$60,2,FALSE)*Aggressive!$C$27*(1-IF(ROUNDDOWN((O$59-$B71)/Aggressive!$D$27,0)&lt;1,0,IF(ROUNDDOWN((O$59-$B71)/Aggressive!$D$27,0)&lt;2,0.5,IF(ROUNDDOWN((O$59-$B71)/Aggressive!$D$27,0)&lt;3,0.75,IF(ROUNDDOWN((O$59-$B71)/Aggressive!$D$27,0)&lt;4,0.875,0.9375)))))+HLOOKUP($B71,$C$59:$Q$60,2,FALSE)*Aggressive!$C$28*(1-IF(ROUNDDOWN((O$59-$B71)/Aggressive!$D$28,0)&lt;1,0,IF(ROUNDDOWN((O$59-$B71)/Aggressive!$D$28,0)&lt;2,0.5,IF(ROUNDDOWN((O$59-$B71)/Aggressive!$D$28,0)&lt;3,0.75,IF(ROUNDDOWN((O$59-$B71)/Aggressive!$D$28,0)&lt;4,0.875,0.9375)))))</f>
        <v>0.14769740329502687</v>
      </c>
      <c r="P71" s="135">
        <f>HLOOKUP($B71,$C$59:$Q$60,2,FALSE)*Aggressive!$C$23*(1-IF(ROUNDDOWN((P$59-$B71)/Aggressive!$D$23,0)&lt;1,0,IF(ROUNDDOWN((P$59-$B71)/Aggressive!$D$23,0)&lt;2,0.5,IF(ROUNDDOWN((P$59-$B71)/Aggressive!$D$23,0)&lt;3,0.75,IF(ROUNDDOWN((P$59-$B71)/Aggressive!$D$23,0)&lt;4,0.875,0.9375)))))+HLOOKUP($B71,$C$59:$Q$60,2,FALSE)*Aggressive!$C$24*(1-IF(ROUNDDOWN((P$59-$B71)/Aggressive!$D$24,0)&lt;1,0,IF(ROUNDDOWN((P$59-$B71)/Aggressive!$D$24,0)&lt;2,0.5,IF(ROUNDDOWN((P$59-$B71)/Aggressive!$D$24,0)&lt;3,0.75,IF(ROUNDDOWN((P$59-$B71)/Aggressive!$D$24,0)&lt;4,0.875,0.9375)))))+HLOOKUP($B71,$C$59:$Q$60,2,FALSE)*Aggressive!$C$25*(1-IF(ROUNDDOWN((P$59-$B71)/Aggressive!$D$25,0)&lt;1,0,IF(ROUNDDOWN((P$59-$B71)/Aggressive!$D$25,0)&lt;2,0.5,IF(ROUNDDOWN((P$59-$B71)/Aggressive!$D$25,0)&lt;3,0.75,IF(ROUNDDOWN((P$59-$B71)/Aggressive!$D$25,0)&lt;4,0.875,0.9375)))))+HLOOKUP($B71,$C$59:$Q$60,2,FALSE)*Aggressive!$C$26*(1-IF(ROUNDDOWN((P$59-$B71)/Aggressive!$D$26,0)&lt;1,0,IF(ROUNDDOWN((P$59-$B71)/Aggressive!$D$26,0)&lt;2,0.5,IF(ROUNDDOWN((P$59-$B71)/Aggressive!$D$26,0)&lt;3,0.75,IF(ROUNDDOWN((P$59-$B71)/Aggressive!$D$26,0)&lt;4,0.875,0.9375)))))+HLOOKUP($B71,$C$59:$Q$60,2,FALSE)*Aggressive!$C$27*(1-IF(ROUNDDOWN((P$59-$B71)/Aggressive!$D$27,0)&lt;1,0,IF(ROUNDDOWN((P$59-$B71)/Aggressive!$D$27,0)&lt;2,0.5,IF(ROUNDDOWN((P$59-$B71)/Aggressive!$D$27,0)&lt;3,0.75,IF(ROUNDDOWN((P$59-$B71)/Aggressive!$D$27,0)&lt;4,0.875,0.9375)))))+HLOOKUP($B71,$C$59:$Q$60,2,FALSE)*Aggressive!$C$28*(1-IF(ROUNDDOWN((P$59-$B71)/Aggressive!$D$28,0)&lt;1,0,IF(ROUNDDOWN((P$59-$B71)/Aggressive!$D$28,0)&lt;2,0.5,IF(ROUNDDOWN((P$59-$B71)/Aggressive!$D$28,0)&lt;3,0.75,IF(ROUNDDOWN((P$59-$B71)/Aggressive!$D$28,0)&lt;4,0.875,0.9375)))))</f>
        <v>0.14769740329502687</v>
      </c>
      <c r="Q71" s="135">
        <f>HLOOKUP($B71,$C$59:$Q$60,2,FALSE)*Aggressive!$C$23*(1-IF(ROUNDDOWN((Q$59-$B71)/Aggressive!$D$23,0)&lt;1,0,IF(ROUNDDOWN((Q$59-$B71)/Aggressive!$D$23,0)&lt;2,0.5,IF(ROUNDDOWN((Q$59-$B71)/Aggressive!$D$23,0)&lt;3,0.75,IF(ROUNDDOWN((Q$59-$B71)/Aggressive!$D$23,0)&lt;4,0.875,0.9375)))))+HLOOKUP($B71,$C$59:$Q$60,2,FALSE)*Aggressive!$C$24*(1-IF(ROUNDDOWN((Q$59-$B71)/Aggressive!$D$24,0)&lt;1,0,IF(ROUNDDOWN((Q$59-$B71)/Aggressive!$D$24,0)&lt;2,0.5,IF(ROUNDDOWN((Q$59-$B71)/Aggressive!$D$24,0)&lt;3,0.75,IF(ROUNDDOWN((Q$59-$B71)/Aggressive!$D$24,0)&lt;4,0.875,0.9375)))))+HLOOKUP($B71,$C$59:$Q$60,2,FALSE)*Aggressive!$C$25*(1-IF(ROUNDDOWN((Q$59-$B71)/Aggressive!$D$25,0)&lt;1,0,IF(ROUNDDOWN((Q$59-$B71)/Aggressive!$D$25,0)&lt;2,0.5,IF(ROUNDDOWN((Q$59-$B71)/Aggressive!$D$25,0)&lt;3,0.75,IF(ROUNDDOWN((Q$59-$B71)/Aggressive!$D$25,0)&lt;4,0.875,0.9375)))))+HLOOKUP($B71,$C$59:$Q$60,2,FALSE)*Aggressive!$C$26*(1-IF(ROUNDDOWN((Q$59-$B71)/Aggressive!$D$26,0)&lt;1,0,IF(ROUNDDOWN((Q$59-$B71)/Aggressive!$D$26,0)&lt;2,0.5,IF(ROUNDDOWN((Q$59-$B71)/Aggressive!$D$26,0)&lt;3,0.75,IF(ROUNDDOWN((Q$59-$B71)/Aggressive!$D$26,0)&lt;4,0.875,0.9375)))))+HLOOKUP($B71,$C$59:$Q$60,2,FALSE)*Aggressive!$C$27*(1-IF(ROUNDDOWN((Q$59-$B71)/Aggressive!$D$27,0)&lt;1,0,IF(ROUNDDOWN((Q$59-$B71)/Aggressive!$D$27,0)&lt;2,0.5,IF(ROUNDDOWN((Q$59-$B71)/Aggressive!$D$27,0)&lt;3,0.75,IF(ROUNDDOWN((Q$59-$B71)/Aggressive!$D$27,0)&lt;4,0.875,0.9375)))))+HLOOKUP($B71,$C$59:$Q$60,2,FALSE)*Aggressive!$C$28*(1-IF(ROUNDDOWN((Q$59-$B71)/Aggressive!$D$28,0)&lt;1,0,IF(ROUNDDOWN((Q$59-$B71)/Aggressive!$D$28,0)&lt;2,0.5,IF(ROUNDDOWN((Q$59-$B71)/Aggressive!$D$28,0)&lt;3,0.75,IF(ROUNDDOWN((Q$59-$B71)/Aggressive!$D$28,0)&lt;4,0.875,0.9375)))))</f>
        <v>0.1443792275679181</v>
      </c>
      <c r="R71" s="50"/>
    </row>
    <row r="72" spans="2:18" x14ac:dyDescent="0.3">
      <c r="B72" s="237">
        <f t="shared" si="14"/>
        <v>2024</v>
      </c>
      <c r="C72" s="135"/>
      <c r="D72" s="135"/>
      <c r="E72" s="135"/>
      <c r="F72" s="135"/>
      <c r="G72" s="135"/>
      <c r="H72" s="135"/>
      <c r="I72" s="135"/>
      <c r="J72" s="135"/>
      <c r="K72" s="135"/>
      <c r="L72" s="135">
        <f>HLOOKUP($B72,$C$59:$Q$60,2,FALSE)*Aggressive!$C$23*(1-IF(ROUNDDOWN((L$59-$B72)/Aggressive!$D$23,0)&lt;1,0,IF(ROUNDDOWN((L$59-$B72)/Aggressive!$D$23,0)&lt;2,0.5,IF(ROUNDDOWN((L$59-$B72)/Aggressive!$D$23,0)&lt;3,0.75,IF(ROUNDDOWN((L$59-$B72)/Aggressive!$D$23,0)&lt;4,0.875,0.9375)))))+HLOOKUP($B72,$C$59:$Q$60,2,FALSE)*Aggressive!$C$24*(1-IF(ROUNDDOWN((L$59-$B72)/Aggressive!$D$24,0)&lt;1,0,IF(ROUNDDOWN((L$59-$B72)/Aggressive!$D$24,0)&lt;2,0.5,IF(ROUNDDOWN((L$59-$B72)/Aggressive!$D$24,0)&lt;3,0.75,IF(ROUNDDOWN((L$59-$B72)/Aggressive!$D$24,0)&lt;4,0.875,0.9375)))))+HLOOKUP($B72,$C$59:$Q$60,2,FALSE)*Aggressive!$C$25*(1-IF(ROUNDDOWN((L$59-$B72)/Aggressive!$D$25,0)&lt;1,0,IF(ROUNDDOWN((L$59-$B72)/Aggressive!$D$25,0)&lt;2,0.5,IF(ROUNDDOWN((L$59-$B72)/Aggressive!$D$25,0)&lt;3,0.75,IF(ROUNDDOWN((L$59-$B72)/Aggressive!$D$25,0)&lt;4,0.875,0.9375)))))+HLOOKUP($B72,$C$59:$Q$60,2,FALSE)*Aggressive!$C$26*(1-IF(ROUNDDOWN((L$59-$B72)/Aggressive!$D$26,0)&lt;1,0,IF(ROUNDDOWN((L$59-$B72)/Aggressive!$D$26,0)&lt;2,0.5,IF(ROUNDDOWN((L$59-$B72)/Aggressive!$D$26,0)&lt;3,0.75,IF(ROUNDDOWN((L$59-$B72)/Aggressive!$D$26,0)&lt;4,0.875,0.9375)))))+HLOOKUP($B72,$C$59:$Q$60,2,FALSE)*Aggressive!$C$27*(1-IF(ROUNDDOWN((L$59-$B72)/Aggressive!$D$27,0)&lt;1,0,IF(ROUNDDOWN((L$59-$B72)/Aggressive!$D$27,0)&lt;2,0.5,IF(ROUNDDOWN((L$59-$B72)/Aggressive!$D$27,0)&lt;3,0.75,IF(ROUNDDOWN((L$59-$B72)/Aggressive!$D$27,0)&lt;4,0.875,0.9375)))))+HLOOKUP($B72,$C$59:$Q$60,2,FALSE)*Aggressive!$C$28*(1-IF(ROUNDDOWN((L$59-$B72)/Aggressive!$D$28,0)&lt;1,0,IF(ROUNDDOWN((L$59-$B72)/Aggressive!$D$28,0)&lt;2,0.5,IF(ROUNDDOWN((L$59-$B72)/Aggressive!$D$28,0)&lt;3,0.75,IF(ROUNDDOWN((L$59-$B72)/Aggressive!$D$28,0)&lt;4,0.875,0.9375)))))</f>
        <v>0.29480492469068648</v>
      </c>
      <c r="M72" s="135">
        <f>HLOOKUP($B72,$C$59:$Q$60,2,FALSE)*Aggressive!$C$23*(1-IF(ROUNDDOWN((M$59-$B72)/Aggressive!$D$23,0)&lt;1,0,IF(ROUNDDOWN((M$59-$B72)/Aggressive!$D$23,0)&lt;2,0.5,IF(ROUNDDOWN((M$59-$B72)/Aggressive!$D$23,0)&lt;3,0.75,IF(ROUNDDOWN((M$59-$B72)/Aggressive!$D$23,0)&lt;4,0.875,0.9375)))))+HLOOKUP($B72,$C$59:$Q$60,2,FALSE)*Aggressive!$C$24*(1-IF(ROUNDDOWN((M$59-$B72)/Aggressive!$D$24,0)&lt;1,0,IF(ROUNDDOWN((M$59-$B72)/Aggressive!$D$24,0)&lt;2,0.5,IF(ROUNDDOWN((M$59-$B72)/Aggressive!$D$24,0)&lt;3,0.75,IF(ROUNDDOWN((M$59-$B72)/Aggressive!$D$24,0)&lt;4,0.875,0.9375)))))+HLOOKUP($B72,$C$59:$Q$60,2,FALSE)*Aggressive!$C$25*(1-IF(ROUNDDOWN((M$59-$B72)/Aggressive!$D$25,0)&lt;1,0,IF(ROUNDDOWN((M$59-$B72)/Aggressive!$D$25,0)&lt;2,0.5,IF(ROUNDDOWN((M$59-$B72)/Aggressive!$D$25,0)&lt;3,0.75,IF(ROUNDDOWN((M$59-$B72)/Aggressive!$D$25,0)&lt;4,0.875,0.9375)))))+HLOOKUP($B72,$C$59:$Q$60,2,FALSE)*Aggressive!$C$26*(1-IF(ROUNDDOWN((M$59-$B72)/Aggressive!$D$26,0)&lt;1,0,IF(ROUNDDOWN((M$59-$B72)/Aggressive!$D$26,0)&lt;2,0.5,IF(ROUNDDOWN((M$59-$B72)/Aggressive!$D$26,0)&lt;3,0.75,IF(ROUNDDOWN((M$59-$B72)/Aggressive!$D$26,0)&lt;4,0.875,0.9375)))))+HLOOKUP($B72,$C$59:$Q$60,2,FALSE)*Aggressive!$C$27*(1-IF(ROUNDDOWN((M$59-$B72)/Aggressive!$D$27,0)&lt;1,0,IF(ROUNDDOWN((M$59-$B72)/Aggressive!$D$27,0)&lt;2,0.5,IF(ROUNDDOWN((M$59-$B72)/Aggressive!$D$27,0)&lt;3,0.75,IF(ROUNDDOWN((M$59-$B72)/Aggressive!$D$27,0)&lt;4,0.875,0.9375)))))+HLOOKUP($B72,$C$59:$Q$60,2,FALSE)*Aggressive!$C$28*(1-IF(ROUNDDOWN((M$59-$B72)/Aggressive!$D$28,0)&lt;1,0,IF(ROUNDDOWN((M$59-$B72)/Aggressive!$D$28,0)&lt;2,0.5,IF(ROUNDDOWN((M$59-$B72)/Aggressive!$D$28,0)&lt;3,0.75,IF(ROUNDDOWN((M$59-$B72)/Aggressive!$D$28,0)&lt;4,0.875,0.9375)))))</f>
        <v>0.29480492469068648</v>
      </c>
      <c r="N72" s="135">
        <f>HLOOKUP($B72,$C$59:$Q$60,2,FALSE)*Aggressive!$C$23*(1-IF(ROUNDDOWN((N$59-$B72)/Aggressive!$D$23,0)&lt;1,0,IF(ROUNDDOWN((N$59-$B72)/Aggressive!$D$23,0)&lt;2,0.5,IF(ROUNDDOWN((N$59-$B72)/Aggressive!$D$23,0)&lt;3,0.75,IF(ROUNDDOWN((N$59-$B72)/Aggressive!$D$23,0)&lt;4,0.875,0.9375)))))+HLOOKUP($B72,$C$59:$Q$60,2,FALSE)*Aggressive!$C$24*(1-IF(ROUNDDOWN((N$59-$B72)/Aggressive!$D$24,0)&lt;1,0,IF(ROUNDDOWN((N$59-$B72)/Aggressive!$D$24,0)&lt;2,0.5,IF(ROUNDDOWN((N$59-$B72)/Aggressive!$D$24,0)&lt;3,0.75,IF(ROUNDDOWN((N$59-$B72)/Aggressive!$D$24,0)&lt;4,0.875,0.9375)))))+HLOOKUP($B72,$C$59:$Q$60,2,FALSE)*Aggressive!$C$25*(1-IF(ROUNDDOWN((N$59-$B72)/Aggressive!$D$25,0)&lt;1,0,IF(ROUNDDOWN((N$59-$B72)/Aggressive!$D$25,0)&lt;2,0.5,IF(ROUNDDOWN((N$59-$B72)/Aggressive!$D$25,0)&lt;3,0.75,IF(ROUNDDOWN((N$59-$B72)/Aggressive!$D$25,0)&lt;4,0.875,0.9375)))))+HLOOKUP($B72,$C$59:$Q$60,2,FALSE)*Aggressive!$C$26*(1-IF(ROUNDDOWN((N$59-$B72)/Aggressive!$D$26,0)&lt;1,0,IF(ROUNDDOWN((N$59-$B72)/Aggressive!$D$26,0)&lt;2,0.5,IF(ROUNDDOWN((N$59-$B72)/Aggressive!$D$26,0)&lt;3,0.75,IF(ROUNDDOWN((N$59-$B72)/Aggressive!$D$26,0)&lt;4,0.875,0.9375)))))+HLOOKUP($B72,$C$59:$Q$60,2,FALSE)*Aggressive!$C$27*(1-IF(ROUNDDOWN((N$59-$B72)/Aggressive!$D$27,0)&lt;1,0,IF(ROUNDDOWN((N$59-$B72)/Aggressive!$D$27,0)&lt;2,0.5,IF(ROUNDDOWN((N$59-$B72)/Aggressive!$D$27,0)&lt;3,0.75,IF(ROUNDDOWN((N$59-$B72)/Aggressive!$D$27,0)&lt;4,0.875,0.9375)))))+HLOOKUP($B72,$C$59:$Q$60,2,FALSE)*Aggressive!$C$28*(1-IF(ROUNDDOWN((N$59-$B72)/Aggressive!$D$28,0)&lt;1,0,IF(ROUNDDOWN((N$59-$B72)/Aggressive!$D$28,0)&lt;2,0.5,IF(ROUNDDOWN((N$59-$B72)/Aggressive!$D$28,0)&lt;3,0.75,IF(ROUNDDOWN((N$59-$B72)/Aggressive!$D$28,0)&lt;4,0.875,0.9375)))))</f>
        <v>0.29480492469068648</v>
      </c>
      <c r="O72" s="135">
        <f>HLOOKUP($B72,$C$59:$Q$60,2,FALSE)*Aggressive!$C$23*(1-IF(ROUNDDOWN((O$59-$B72)/Aggressive!$D$23,0)&lt;1,0,IF(ROUNDDOWN((O$59-$B72)/Aggressive!$D$23,0)&lt;2,0.5,IF(ROUNDDOWN((O$59-$B72)/Aggressive!$D$23,0)&lt;3,0.75,IF(ROUNDDOWN((O$59-$B72)/Aggressive!$D$23,0)&lt;4,0.875,0.9375)))))+HLOOKUP($B72,$C$59:$Q$60,2,FALSE)*Aggressive!$C$24*(1-IF(ROUNDDOWN((O$59-$B72)/Aggressive!$D$24,0)&lt;1,0,IF(ROUNDDOWN((O$59-$B72)/Aggressive!$D$24,0)&lt;2,0.5,IF(ROUNDDOWN((O$59-$B72)/Aggressive!$D$24,0)&lt;3,0.75,IF(ROUNDDOWN((O$59-$B72)/Aggressive!$D$24,0)&lt;4,0.875,0.9375)))))+HLOOKUP($B72,$C$59:$Q$60,2,FALSE)*Aggressive!$C$25*(1-IF(ROUNDDOWN((O$59-$B72)/Aggressive!$D$25,0)&lt;1,0,IF(ROUNDDOWN((O$59-$B72)/Aggressive!$D$25,0)&lt;2,0.5,IF(ROUNDDOWN((O$59-$B72)/Aggressive!$D$25,0)&lt;3,0.75,IF(ROUNDDOWN((O$59-$B72)/Aggressive!$D$25,0)&lt;4,0.875,0.9375)))))+HLOOKUP($B72,$C$59:$Q$60,2,FALSE)*Aggressive!$C$26*(1-IF(ROUNDDOWN((O$59-$B72)/Aggressive!$D$26,0)&lt;1,0,IF(ROUNDDOWN((O$59-$B72)/Aggressive!$D$26,0)&lt;2,0.5,IF(ROUNDDOWN((O$59-$B72)/Aggressive!$D$26,0)&lt;3,0.75,IF(ROUNDDOWN((O$59-$B72)/Aggressive!$D$26,0)&lt;4,0.875,0.9375)))))+HLOOKUP($B72,$C$59:$Q$60,2,FALSE)*Aggressive!$C$27*(1-IF(ROUNDDOWN((O$59-$B72)/Aggressive!$D$27,0)&lt;1,0,IF(ROUNDDOWN((O$59-$B72)/Aggressive!$D$27,0)&lt;2,0.5,IF(ROUNDDOWN((O$59-$B72)/Aggressive!$D$27,0)&lt;3,0.75,IF(ROUNDDOWN((O$59-$B72)/Aggressive!$D$27,0)&lt;4,0.875,0.9375)))))+HLOOKUP($B72,$C$59:$Q$60,2,FALSE)*Aggressive!$C$28*(1-IF(ROUNDDOWN((O$59-$B72)/Aggressive!$D$28,0)&lt;1,0,IF(ROUNDDOWN((O$59-$B72)/Aggressive!$D$28,0)&lt;2,0.5,IF(ROUNDDOWN((O$59-$B72)/Aggressive!$D$28,0)&lt;3,0.75,IF(ROUNDDOWN((O$59-$B72)/Aggressive!$D$28,0)&lt;4,0.875,0.9375)))))</f>
        <v>0.28212831292898694</v>
      </c>
      <c r="P72" s="135">
        <f>HLOOKUP($B72,$C$59:$Q$60,2,FALSE)*Aggressive!$C$23*(1-IF(ROUNDDOWN((P$59-$B72)/Aggressive!$D$23,0)&lt;1,0,IF(ROUNDDOWN((P$59-$B72)/Aggressive!$D$23,0)&lt;2,0.5,IF(ROUNDDOWN((P$59-$B72)/Aggressive!$D$23,0)&lt;3,0.75,IF(ROUNDDOWN((P$59-$B72)/Aggressive!$D$23,0)&lt;4,0.875,0.9375)))))+HLOOKUP($B72,$C$59:$Q$60,2,FALSE)*Aggressive!$C$24*(1-IF(ROUNDDOWN((P$59-$B72)/Aggressive!$D$24,0)&lt;1,0,IF(ROUNDDOWN((P$59-$B72)/Aggressive!$D$24,0)&lt;2,0.5,IF(ROUNDDOWN((P$59-$B72)/Aggressive!$D$24,0)&lt;3,0.75,IF(ROUNDDOWN((P$59-$B72)/Aggressive!$D$24,0)&lt;4,0.875,0.9375)))))+HLOOKUP($B72,$C$59:$Q$60,2,FALSE)*Aggressive!$C$25*(1-IF(ROUNDDOWN((P$59-$B72)/Aggressive!$D$25,0)&lt;1,0,IF(ROUNDDOWN((P$59-$B72)/Aggressive!$D$25,0)&lt;2,0.5,IF(ROUNDDOWN((P$59-$B72)/Aggressive!$D$25,0)&lt;3,0.75,IF(ROUNDDOWN((P$59-$B72)/Aggressive!$D$25,0)&lt;4,0.875,0.9375)))))+HLOOKUP($B72,$C$59:$Q$60,2,FALSE)*Aggressive!$C$26*(1-IF(ROUNDDOWN((P$59-$B72)/Aggressive!$D$26,0)&lt;1,0,IF(ROUNDDOWN((P$59-$B72)/Aggressive!$D$26,0)&lt;2,0.5,IF(ROUNDDOWN((P$59-$B72)/Aggressive!$D$26,0)&lt;3,0.75,IF(ROUNDDOWN((P$59-$B72)/Aggressive!$D$26,0)&lt;4,0.875,0.9375)))))+HLOOKUP($B72,$C$59:$Q$60,2,FALSE)*Aggressive!$C$27*(1-IF(ROUNDDOWN((P$59-$B72)/Aggressive!$D$27,0)&lt;1,0,IF(ROUNDDOWN((P$59-$B72)/Aggressive!$D$27,0)&lt;2,0.5,IF(ROUNDDOWN((P$59-$B72)/Aggressive!$D$27,0)&lt;3,0.75,IF(ROUNDDOWN((P$59-$B72)/Aggressive!$D$27,0)&lt;4,0.875,0.9375)))))+HLOOKUP($B72,$C$59:$Q$60,2,FALSE)*Aggressive!$C$28*(1-IF(ROUNDDOWN((P$59-$B72)/Aggressive!$D$28,0)&lt;1,0,IF(ROUNDDOWN((P$59-$B72)/Aggressive!$D$28,0)&lt;2,0.5,IF(ROUNDDOWN((P$59-$B72)/Aggressive!$D$28,0)&lt;3,0.75,IF(ROUNDDOWN((P$59-$B72)/Aggressive!$D$28,0)&lt;4,0.875,0.9375)))))</f>
        <v>0.28212831292898694</v>
      </c>
      <c r="Q72" s="135">
        <f>HLOOKUP($B72,$C$59:$Q$60,2,FALSE)*Aggressive!$C$23*(1-IF(ROUNDDOWN((Q$59-$B72)/Aggressive!$D$23,0)&lt;1,0,IF(ROUNDDOWN((Q$59-$B72)/Aggressive!$D$23,0)&lt;2,0.5,IF(ROUNDDOWN((Q$59-$B72)/Aggressive!$D$23,0)&lt;3,0.75,IF(ROUNDDOWN((Q$59-$B72)/Aggressive!$D$23,0)&lt;4,0.875,0.9375)))))+HLOOKUP($B72,$C$59:$Q$60,2,FALSE)*Aggressive!$C$24*(1-IF(ROUNDDOWN((Q$59-$B72)/Aggressive!$D$24,0)&lt;1,0,IF(ROUNDDOWN((Q$59-$B72)/Aggressive!$D$24,0)&lt;2,0.5,IF(ROUNDDOWN((Q$59-$B72)/Aggressive!$D$24,0)&lt;3,0.75,IF(ROUNDDOWN((Q$59-$B72)/Aggressive!$D$24,0)&lt;4,0.875,0.9375)))))+HLOOKUP($B72,$C$59:$Q$60,2,FALSE)*Aggressive!$C$25*(1-IF(ROUNDDOWN((Q$59-$B72)/Aggressive!$D$25,0)&lt;1,0,IF(ROUNDDOWN((Q$59-$B72)/Aggressive!$D$25,0)&lt;2,0.5,IF(ROUNDDOWN((Q$59-$B72)/Aggressive!$D$25,0)&lt;3,0.75,IF(ROUNDDOWN((Q$59-$B72)/Aggressive!$D$25,0)&lt;4,0.875,0.9375)))))+HLOOKUP($B72,$C$59:$Q$60,2,FALSE)*Aggressive!$C$26*(1-IF(ROUNDDOWN((Q$59-$B72)/Aggressive!$D$26,0)&lt;1,0,IF(ROUNDDOWN((Q$59-$B72)/Aggressive!$D$26,0)&lt;2,0.5,IF(ROUNDDOWN((Q$59-$B72)/Aggressive!$D$26,0)&lt;3,0.75,IF(ROUNDDOWN((Q$59-$B72)/Aggressive!$D$26,0)&lt;4,0.875,0.9375)))))+HLOOKUP($B72,$C$59:$Q$60,2,FALSE)*Aggressive!$C$27*(1-IF(ROUNDDOWN((Q$59-$B72)/Aggressive!$D$27,0)&lt;1,0,IF(ROUNDDOWN((Q$59-$B72)/Aggressive!$D$27,0)&lt;2,0.5,IF(ROUNDDOWN((Q$59-$B72)/Aggressive!$D$27,0)&lt;3,0.75,IF(ROUNDDOWN((Q$59-$B72)/Aggressive!$D$27,0)&lt;4,0.875,0.9375)))))+HLOOKUP($B72,$C$59:$Q$60,2,FALSE)*Aggressive!$C$28*(1-IF(ROUNDDOWN((Q$59-$B72)/Aggressive!$D$28,0)&lt;1,0,IF(ROUNDDOWN((Q$59-$B72)/Aggressive!$D$28,0)&lt;2,0.5,IF(ROUNDDOWN((Q$59-$B72)/Aggressive!$D$28,0)&lt;3,0.75,IF(ROUNDDOWN((Q$59-$B72)/Aggressive!$D$28,0)&lt;4,0.875,0.9375)))))</f>
        <v>0.28212831292898694</v>
      </c>
      <c r="R72" s="50"/>
    </row>
    <row r="73" spans="2:18" x14ac:dyDescent="0.3">
      <c r="B73" s="237">
        <f t="shared" si="14"/>
        <v>2025</v>
      </c>
      <c r="C73" s="135"/>
      <c r="D73" s="135"/>
      <c r="E73" s="135"/>
      <c r="F73" s="135"/>
      <c r="G73" s="135"/>
      <c r="H73" s="135"/>
      <c r="I73" s="135"/>
      <c r="J73" s="135"/>
      <c r="K73" s="135"/>
      <c r="L73" s="135"/>
      <c r="M73" s="135">
        <f>HLOOKUP($B73,$C$59:$Q$60,2,FALSE)*Aggressive!$C$23*(1-IF(ROUNDDOWN((M$59-$B73)/Aggressive!$D$23,0)&lt;1,0,IF(ROUNDDOWN((M$59-$B73)/Aggressive!$D$23,0)&lt;2,0.5,IF(ROUNDDOWN((M$59-$B73)/Aggressive!$D$23,0)&lt;3,0.75,IF(ROUNDDOWN((M$59-$B73)/Aggressive!$D$23,0)&lt;4,0.875,0.9375)))))+HLOOKUP($B73,$C$59:$Q$60,2,FALSE)*Aggressive!$C$24*(1-IF(ROUNDDOWN((M$59-$B73)/Aggressive!$D$24,0)&lt;1,0,IF(ROUNDDOWN((M$59-$B73)/Aggressive!$D$24,0)&lt;2,0.5,IF(ROUNDDOWN((M$59-$B73)/Aggressive!$D$24,0)&lt;3,0.75,IF(ROUNDDOWN((M$59-$B73)/Aggressive!$D$24,0)&lt;4,0.875,0.9375)))))+HLOOKUP($B73,$C$59:$Q$60,2,FALSE)*Aggressive!$C$25*(1-IF(ROUNDDOWN((M$59-$B73)/Aggressive!$D$25,0)&lt;1,0,IF(ROUNDDOWN((M$59-$B73)/Aggressive!$D$25,0)&lt;2,0.5,IF(ROUNDDOWN((M$59-$B73)/Aggressive!$D$25,0)&lt;3,0.75,IF(ROUNDDOWN((M$59-$B73)/Aggressive!$D$25,0)&lt;4,0.875,0.9375)))))+HLOOKUP($B73,$C$59:$Q$60,2,FALSE)*Aggressive!$C$26*(1-IF(ROUNDDOWN((M$59-$B73)/Aggressive!$D$26,0)&lt;1,0,IF(ROUNDDOWN((M$59-$B73)/Aggressive!$D$26,0)&lt;2,0.5,IF(ROUNDDOWN((M$59-$B73)/Aggressive!$D$26,0)&lt;3,0.75,IF(ROUNDDOWN((M$59-$B73)/Aggressive!$D$26,0)&lt;4,0.875,0.9375)))))+HLOOKUP($B73,$C$59:$Q$60,2,FALSE)*Aggressive!$C$27*(1-IF(ROUNDDOWN((M$59-$B73)/Aggressive!$D$27,0)&lt;1,0,IF(ROUNDDOWN((M$59-$B73)/Aggressive!$D$27,0)&lt;2,0.5,IF(ROUNDDOWN((M$59-$B73)/Aggressive!$D$27,0)&lt;3,0.75,IF(ROUNDDOWN((M$59-$B73)/Aggressive!$D$27,0)&lt;4,0.875,0.9375)))))+HLOOKUP($B73,$C$59:$Q$60,2,FALSE)*Aggressive!$C$28*(1-IF(ROUNDDOWN((M$59-$B73)/Aggressive!$D$28,0)&lt;1,0,IF(ROUNDDOWN((M$59-$B73)/Aggressive!$D$28,0)&lt;2,0.5,IF(ROUNDDOWN((M$59-$B73)/Aggressive!$D$28,0)&lt;3,0.75,IF(ROUNDDOWN((M$59-$B73)/Aggressive!$D$28,0)&lt;4,0.875,0.9375)))))</f>
        <v>0.29480492469068648</v>
      </c>
      <c r="N73" s="135">
        <f>HLOOKUP($B73,$C$59:$Q$60,2,FALSE)*Aggressive!$C$23*(1-IF(ROUNDDOWN((N$59-$B73)/Aggressive!$D$23,0)&lt;1,0,IF(ROUNDDOWN((N$59-$B73)/Aggressive!$D$23,0)&lt;2,0.5,IF(ROUNDDOWN((N$59-$B73)/Aggressive!$D$23,0)&lt;3,0.75,IF(ROUNDDOWN((N$59-$B73)/Aggressive!$D$23,0)&lt;4,0.875,0.9375)))))+HLOOKUP($B73,$C$59:$Q$60,2,FALSE)*Aggressive!$C$24*(1-IF(ROUNDDOWN((N$59-$B73)/Aggressive!$D$24,0)&lt;1,0,IF(ROUNDDOWN((N$59-$B73)/Aggressive!$D$24,0)&lt;2,0.5,IF(ROUNDDOWN((N$59-$B73)/Aggressive!$D$24,0)&lt;3,0.75,IF(ROUNDDOWN((N$59-$B73)/Aggressive!$D$24,0)&lt;4,0.875,0.9375)))))+HLOOKUP($B73,$C$59:$Q$60,2,FALSE)*Aggressive!$C$25*(1-IF(ROUNDDOWN((N$59-$B73)/Aggressive!$D$25,0)&lt;1,0,IF(ROUNDDOWN((N$59-$B73)/Aggressive!$D$25,0)&lt;2,0.5,IF(ROUNDDOWN((N$59-$B73)/Aggressive!$D$25,0)&lt;3,0.75,IF(ROUNDDOWN((N$59-$B73)/Aggressive!$D$25,0)&lt;4,0.875,0.9375)))))+HLOOKUP($B73,$C$59:$Q$60,2,FALSE)*Aggressive!$C$26*(1-IF(ROUNDDOWN((N$59-$B73)/Aggressive!$D$26,0)&lt;1,0,IF(ROUNDDOWN((N$59-$B73)/Aggressive!$D$26,0)&lt;2,0.5,IF(ROUNDDOWN((N$59-$B73)/Aggressive!$D$26,0)&lt;3,0.75,IF(ROUNDDOWN((N$59-$B73)/Aggressive!$D$26,0)&lt;4,0.875,0.9375)))))+HLOOKUP($B73,$C$59:$Q$60,2,FALSE)*Aggressive!$C$27*(1-IF(ROUNDDOWN((N$59-$B73)/Aggressive!$D$27,0)&lt;1,0,IF(ROUNDDOWN((N$59-$B73)/Aggressive!$D$27,0)&lt;2,0.5,IF(ROUNDDOWN((N$59-$B73)/Aggressive!$D$27,0)&lt;3,0.75,IF(ROUNDDOWN((N$59-$B73)/Aggressive!$D$27,0)&lt;4,0.875,0.9375)))))+HLOOKUP($B73,$C$59:$Q$60,2,FALSE)*Aggressive!$C$28*(1-IF(ROUNDDOWN((N$59-$B73)/Aggressive!$D$28,0)&lt;1,0,IF(ROUNDDOWN((N$59-$B73)/Aggressive!$D$28,0)&lt;2,0.5,IF(ROUNDDOWN((N$59-$B73)/Aggressive!$D$28,0)&lt;3,0.75,IF(ROUNDDOWN((N$59-$B73)/Aggressive!$D$28,0)&lt;4,0.875,0.9375)))))</f>
        <v>0.29480492469068648</v>
      </c>
      <c r="O73" s="135">
        <f>HLOOKUP($B73,$C$59:$Q$60,2,FALSE)*Aggressive!$C$23*(1-IF(ROUNDDOWN((O$59-$B73)/Aggressive!$D$23,0)&lt;1,0,IF(ROUNDDOWN((O$59-$B73)/Aggressive!$D$23,0)&lt;2,0.5,IF(ROUNDDOWN((O$59-$B73)/Aggressive!$D$23,0)&lt;3,0.75,IF(ROUNDDOWN((O$59-$B73)/Aggressive!$D$23,0)&lt;4,0.875,0.9375)))))+HLOOKUP($B73,$C$59:$Q$60,2,FALSE)*Aggressive!$C$24*(1-IF(ROUNDDOWN((O$59-$B73)/Aggressive!$D$24,0)&lt;1,0,IF(ROUNDDOWN((O$59-$B73)/Aggressive!$D$24,0)&lt;2,0.5,IF(ROUNDDOWN((O$59-$B73)/Aggressive!$D$24,0)&lt;3,0.75,IF(ROUNDDOWN((O$59-$B73)/Aggressive!$D$24,0)&lt;4,0.875,0.9375)))))+HLOOKUP($B73,$C$59:$Q$60,2,FALSE)*Aggressive!$C$25*(1-IF(ROUNDDOWN((O$59-$B73)/Aggressive!$D$25,0)&lt;1,0,IF(ROUNDDOWN((O$59-$B73)/Aggressive!$D$25,0)&lt;2,0.5,IF(ROUNDDOWN((O$59-$B73)/Aggressive!$D$25,0)&lt;3,0.75,IF(ROUNDDOWN((O$59-$B73)/Aggressive!$D$25,0)&lt;4,0.875,0.9375)))))+HLOOKUP($B73,$C$59:$Q$60,2,FALSE)*Aggressive!$C$26*(1-IF(ROUNDDOWN((O$59-$B73)/Aggressive!$D$26,0)&lt;1,0,IF(ROUNDDOWN((O$59-$B73)/Aggressive!$D$26,0)&lt;2,0.5,IF(ROUNDDOWN((O$59-$B73)/Aggressive!$D$26,0)&lt;3,0.75,IF(ROUNDDOWN((O$59-$B73)/Aggressive!$D$26,0)&lt;4,0.875,0.9375)))))+HLOOKUP($B73,$C$59:$Q$60,2,FALSE)*Aggressive!$C$27*(1-IF(ROUNDDOWN((O$59-$B73)/Aggressive!$D$27,0)&lt;1,0,IF(ROUNDDOWN((O$59-$B73)/Aggressive!$D$27,0)&lt;2,0.5,IF(ROUNDDOWN((O$59-$B73)/Aggressive!$D$27,0)&lt;3,0.75,IF(ROUNDDOWN((O$59-$B73)/Aggressive!$D$27,0)&lt;4,0.875,0.9375)))))+HLOOKUP($B73,$C$59:$Q$60,2,FALSE)*Aggressive!$C$28*(1-IF(ROUNDDOWN((O$59-$B73)/Aggressive!$D$28,0)&lt;1,0,IF(ROUNDDOWN((O$59-$B73)/Aggressive!$D$28,0)&lt;2,0.5,IF(ROUNDDOWN((O$59-$B73)/Aggressive!$D$28,0)&lt;3,0.75,IF(ROUNDDOWN((O$59-$B73)/Aggressive!$D$28,0)&lt;4,0.875,0.9375)))))</f>
        <v>0.29480492469068648</v>
      </c>
      <c r="P73" s="135">
        <f>HLOOKUP($B73,$C$59:$Q$60,2,FALSE)*Aggressive!$C$23*(1-IF(ROUNDDOWN((P$59-$B73)/Aggressive!$D$23,0)&lt;1,0,IF(ROUNDDOWN((P$59-$B73)/Aggressive!$D$23,0)&lt;2,0.5,IF(ROUNDDOWN((P$59-$B73)/Aggressive!$D$23,0)&lt;3,0.75,IF(ROUNDDOWN((P$59-$B73)/Aggressive!$D$23,0)&lt;4,0.875,0.9375)))))+HLOOKUP($B73,$C$59:$Q$60,2,FALSE)*Aggressive!$C$24*(1-IF(ROUNDDOWN((P$59-$B73)/Aggressive!$D$24,0)&lt;1,0,IF(ROUNDDOWN((P$59-$B73)/Aggressive!$D$24,0)&lt;2,0.5,IF(ROUNDDOWN((P$59-$B73)/Aggressive!$D$24,0)&lt;3,0.75,IF(ROUNDDOWN((P$59-$B73)/Aggressive!$D$24,0)&lt;4,0.875,0.9375)))))+HLOOKUP($B73,$C$59:$Q$60,2,FALSE)*Aggressive!$C$25*(1-IF(ROUNDDOWN((P$59-$B73)/Aggressive!$D$25,0)&lt;1,0,IF(ROUNDDOWN((P$59-$B73)/Aggressive!$D$25,0)&lt;2,0.5,IF(ROUNDDOWN((P$59-$B73)/Aggressive!$D$25,0)&lt;3,0.75,IF(ROUNDDOWN((P$59-$B73)/Aggressive!$D$25,0)&lt;4,0.875,0.9375)))))+HLOOKUP($B73,$C$59:$Q$60,2,FALSE)*Aggressive!$C$26*(1-IF(ROUNDDOWN((P$59-$B73)/Aggressive!$D$26,0)&lt;1,0,IF(ROUNDDOWN((P$59-$B73)/Aggressive!$D$26,0)&lt;2,0.5,IF(ROUNDDOWN((P$59-$B73)/Aggressive!$D$26,0)&lt;3,0.75,IF(ROUNDDOWN((P$59-$B73)/Aggressive!$D$26,0)&lt;4,0.875,0.9375)))))+HLOOKUP($B73,$C$59:$Q$60,2,FALSE)*Aggressive!$C$27*(1-IF(ROUNDDOWN((P$59-$B73)/Aggressive!$D$27,0)&lt;1,0,IF(ROUNDDOWN((P$59-$B73)/Aggressive!$D$27,0)&lt;2,0.5,IF(ROUNDDOWN((P$59-$B73)/Aggressive!$D$27,0)&lt;3,0.75,IF(ROUNDDOWN((P$59-$B73)/Aggressive!$D$27,0)&lt;4,0.875,0.9375)))))+HLOOKUP($B73,$C$59:$Q$60,2,FALSE)*Aggressive!$C$28*(1-IF(ROUNDDOWN((P$59-$B73)/Aggressive!$D$28,0)&lt;1,0,IF(ROUNDDOWN((P$59-$B73)/Aggressive!$D$28,0)&lt;2,0.5,IF(ROUNDDOWN((P$59-$B73)/Aggressive!$D$28,0)&lt;3,0.75,IF(ROUNDDOWN((P$59-$B73)/Aggressive!$D$28,0)&lt;4,0.875,0.9375)))))</f>
        <v>0.28212831292898694</v>
      </c>
      <c r="Q73" s="135">
        <f>HLOOKUP($B73,$C$59:$Q$60,2,FALSE)*Aggressive!$C$23*(1-IF(ROUNDDOWN((Q$59-$B73)/Aggressive!$D$23,0)&lt;1,0,IF(ROUNDDOWN((Q$59-$B73)/Aggressive!$D$23,0)&lt;2,0.5,IF(ROUNDDOWN((Q$59-$B73)/Aggressive!$D$23,0)&lt;3,0.75,IF(ROUNDDOWN((Q$59-$B73)/Aggressive!$D$23,0)&lt;4,0.875,0.9375)))))+HLOOKUP($B73,$C$59:$Q$60,2,FALSE)*Aggressive!$C$24*(1-IF(ROUNDDOWN((Q$59-$B73)/Aggressive!$D$24,0)&lt;1,0,IF(ROUNDDOWN((Q$59-$B73)/Aggressive!$D$24,0)&lt;2,0.5,IF(ROUNDDOWN((Q$59-$B73)/Aggressive!$D$24,0)&lt;3,0.75,IF(ROUNDDOWN((Q$59-$B73)/Aggressive!$D$24,0)&lt;4,0.875,0.9375)))))+HLOOKUP($B73,$C$59:$Q$60,2,FALSE)*Aggressive!$C$25*(1-IF(ROUNDDOWN((Q$59-$B73)/Aggressive!$D$25,0)&lt;1,0,IF(ROUNDDOWN((Q$59-$B73)/Aggressive!$D$25,0)&lt;2,0.5,IF(ROUNDDOWN((Q$59-$B73)/Aggressive!$D$25,0)&lt;3,0.75,IF(ROUNDDOWN((Q$59-$B73)/Aggressive!$D$25,0)&lt;4,0.875,0.9375)))))+HLOOKUP($B73,$C$59:$Q$60,2,FALSE)*Aggressive!$C$26*(1-IF(ROUNDDOWN((Q$59-$B73)/Aggressive!$D$26,0)&lt;1,0,IF(ROUNDDOWN((Q$59-$B73)/Aggressive!$D$26,0)&lt;2,0.5,IF(ROUNDDOWN((Q$59-$B73)/Aggressive!$D$26,0)&lt;3,0.75,IF(ROUNDDOWN((Q$59-$B73)/Aggressive!$D$26,0)&lt;4,0.875,0.9375)))))+HLOOKUP($B73,$C$59:$Q$60,2,FALSE)*Aggressive!$C$27*(1-IF(ROUNDDOWN((Q$59-$B73)/Aggressive!$D$27,0)&lt;1,0,IF(ROUNDDOWN((Q$59-$B73)/Aggressive!$D$27,0)&lt;2,0.5,IF(ROUNDDOWN((Q$59-$B73)/Aggressive!$D$27,0)&lt;3,0.75,IF(ROUNDDOWN((Q$59-$B73)/Aggressive!$D$27,0)&lt;4,0.875,0.9375)))))+HLOOKUP($B73,$C$59:$Q$60,2,FALSE)*Aggressive!$C$28*(1-IF(ROUNDDOWN((Q$59-$B73)/Aggressive!$D$28,0)&lt;1,0,IF(ROUNDDOWN((Q$59-$B73)/Aggressive!$D$28,0)&lt;2,0.5,IF(ROUNDDOWN((Q$59-$B73)/Aggressive!$D$28,0)&lt;3,0.75,IF(ROUNDDOWN((Q$59-$B73)/Aggressive!$D$28,0)&lt;4,0.875,0.9375)))))</f>
        <v>0.28212831292898694</v>
      </c>
      <c r="R73" s="50"/>
    </row>
    <row r="74" spans="2:18" x14ac:dyDescent="0.3">
      <c r="B74" s="237">
        <f t="shared" si="14"/>
        <v>2026</v>
      </c>
      <c r="C74" s="135"/>
      <c r="D74" s="135"/>
      <c r="E74" s="135"/>
      <c r="F74" s="135"/>
      <c r="G74" s="135"/>
      <c r="H74" s="135"/>
      <c r="I74" s="135"/>
      <c r="J74" s="135"/>
      <c r="K74" s="135"/>
      <c r="L74" s="135"/>
      <c r="M74" s="135"/>
      <c r="N74" s="135">
        <f>HLOOKUP($B74,$C$59:$Q$60,2,FALSE)*Aggressive!$C$23*(1-IF(ROUNDDOWN((N$59-$B74)/Aggressive!$D$23,0)&lt;1,0,IF(ROUNDDOWN((N$59-$B74)/Aggressive!$D$23,0)&lt;2,0.5,IF(ROUNDDOWN((N$59-$B74)/Aggressive!$D$23,0)&lt;3,0.75,IF(ROUNDDOWN((N$59-$B74)/Aggressive!$D$23,0)&lt;4,0.875,0.9375)))))+HLOOKUP($B74,$C$59:$Q$60,2,FALSE)*Aggressive!$C$24*(1-IF(ROUNDDOWN((N$59-$B74)/Aggressive!$D$24,0)&lt;1,0,IF(ROUNDDOWN((N$59-$B74)/Aggressive!$D$24,0)&lt;2,0.5,IF(ROUNDDOWN((N$59-$B74)/Aggressive!$D$24,0)&lt;3,0.75,IF(ROUNDDOWN((N$59-$B74)/Aggressive!$D$24,0)&lt;4,0.875,0.9375)))))+HLOOKUP($B74,$C$59:$Q$60,2,FALSE)*Aggressive!$C$25*(1-IF(ROUNDDOWN((N$59-$B74)/Aggressive!$D$25,0)&lt;1,0,IF(ROUNDDOWN((N$59-$B74)/Aggressive!$D$25,0)&lt;2,0.5,IF(ROUNDDOWN((N$59-$B74)/Aggressive!$D$25,0)&lt;3,0.75,IF(ROUNDDOWN((N$59-$B74)/Aggressive!$D$25,0)&lt;4,0.875,0.9375)))))+HLOOKUP($B74,$C$59:$Q$60,2,FALSE)*Aggressive!$C$26*(1-IF(ROUNDDOWN((N$59-$B74)/Aggressive!$D$26,0)&lt;1,0,IF(ROUNDDOWN((N$59-$B74)/Aggressive!$D$26,0)&lt;2,0.5,IF(ROUNDDOWN((N$59-$B74)/Aggressive!$D$26,0)&lt;3,0.75,IF(ROUNDDOWN((N$59-$B74)/Aggressive!$D$26,0)&lt;4,0.875,0.9375)))))+HLOOKUP($B74,$C$59:$Q$60,2,FALSE)*Aggressive!$C$27*(1-IF(ROUNDDOWN((N$59-$B74)/Aggressive!$D$27,0)&lt;1,0,IF(ROUNDDOWN((N$59-$B74)/Aggressive!$D$27,0)&lt;2,0.5,IF(ROUNDDOWN((N$59-$B74)/Aggressive!$D$27,0)&lt;3,0.75,IF(ROUNDDOWN((N$59-$B74)/Aggressive!$D$27,0)&lt;4,0.875,0.9375)))))+HLOOKUP($B74,$C$59:$Q$60,2,FALSE)*Aggressive!$C$28*(1-IF(ROUNDDOWN((N$59-$B74)/Aggressive!$D$28,0)&lt;1,0,IF(ROUNDDOWN((N$59-$B74)/Aggressive!$D$28,0)&lt;2,0.5,IF(ROUNDDOWN((N$59-$B74)/Aggressive!$D$28,0)&lt;3,0.75,IF(ROUNDDOWN((N$59-$B74)/Aggressive!$D$28,0)&lt;4,0.875,0.9375)))))</f>
        <v>0.29480492469068648</v>
      </c>
      <c r="O74" s="135">
        <f>HLOOKUP($B74,$C$59:$Q$60,2,FALSE)*Aggressive!$C$23*(1-IF(ROUNDDOWN((O$59-$B74)/Aggressive!$D$23,0)&lt;1,0,IF(ROUNDDOWN((O$59-$B74)/Aggressive!$D$23,0)&lt;2,0.5,IF(ROUNDDOWN((O$59-$B74)/Aggressive!$D$23,0)&lt;3,0.75,IF(ROUNDDOWN((O$59-$B74)/Aggressive!$D$23,0)&lt;4,0.875,0.9375)))))+HLOOKUP($B74,$C$59:$Q$60,2,FALSE)*Aggressive!$C$24*(1-IF(ROUNDDOWN((O$59-$B74)/Aggressive!$D$24,0)&lt;1,0,IF(ROUNDDOWN((O$59-$B74)/Aggressive!$D$24,0)&lt;2,0.5,IF(ROUNDDOWN((O$59-$B74)/Aggressive!$D$24,0)&lt;3,0.75,IF(ROUNDDOWN((O$59-$B74)/Aggressive!$D$24,0)&lt;4,0.875,0.9375)))))+HLOOKUP($B74,$C$59:$Q$60,2,FALSE)*Aggressive!$C$25*(1-IF(ROUNDDOWN((O$59-$B74)/Aggressive!$D$25,0)&lt;1,0,IF(ROUNDDOWN((O$59-$B74)/Aggressive!$D$25,0)&lt;2,0.5,IF(ROUNDDOWN((O$59-$B74)/Aggressive!$D$25,0)&lt;3,0.75,IF(ROUNDDOWN((O$59-$B74)/Aggressive!$D$25,0)&lt;4,0.875,0.9375)))))+HLOOKUP($B74,$C$59:$Q$60,2,FALSE)*Aggressive!$C$26*(1-IF(ROUNDDOWN((O$59-$B74)/Aggressive!$D$26,0)&lt;1,0,IF(ROUNDDOWN((O$59-$B74)/Aggressive!$D$26,0)&lt;2,0.5,IF(ROUNDDOWN((O$59-$B74)/Aggressive!$D$26,0)&lt;3,0.75,IF(ROUNDDOWN((O$59-$B74)/Aggressive!$D$26,0)&lt;4,0.875,0.9375)))))+HLOOKUP($B74,$C$59:$Q$60,2,FALSE)*Aggressive!$C$27*(1-IF(ROUNDDOWN((O$59-$B74)/Aggressive!$D$27,0)&lt;1,0,IF(ROUNDDOWN((O$59-$B74)/Aggressive!$D$27,0)&lt;2,0.5,IF(ROUNDDOWN((O$59-$B74)/Aggressive!$D$27,0)&lt;3,0.75,IF(ROUNDDOWN((O$59-$B74)/Aggressive!$D$27,0)&lt;4,0.875,0.9375)))))+HLOOKUP($B74,$C$59:$Q$60,2,FALSE)*Aggressive!$C$28*(1-IF(ROUNDDOWN((O$59-$B74)/Aggressive!$D$28,0)&lt;1,0,IF(ROUNDDOWN((O$59-$B74)/Aggressive!$D$28,0)&lt;2,0.5,IF(ROUNDDOWN((O$59-$B74)/Aggressive!$D$28,0)&lt;3,0.75,IF(ROUNDDOWN((O$59-$B74)/Aggressive!$D$28,0)&lt;4,0.875,0.9375)))))</f>
        <v>0.29480492469068648</v>
      </c>
      <c r="P74" s="135">
        <f>HLOOKUP($B74,$C$59:$Q$60,2,FALSE)*Aggressive!$C$23*(1-IF(ROUNDDOWN((P$59-$B74)/Aggressive!$D$23,0)&lt;1,0,IF(ROUNDDOWN((P$59-$B74)/Aggressive!$D$23,0)&lt;2,0.5,IF(ROUNDDOWN((P$59-$B74)/Aggressive!$D$23,0)&lt;3,0.75,IF(ROUNDDOWN((P$59-$B74)/Aggressive!$D$23,0)&lt;4,0.875,0.9375)))))+HLOOKUP($B74,$C$59:$Q$60,2,FALSE)*Aggressive!$C$24*(1-IF(ROUNDDOWN((P$59-$B74)/Aggressive!$D$24,0)&lt;1,0,IF(ROUNDDOWN((P$59-$B74)/Aggressive!$D$24,0)&lt;2,0.5,IF(ROUNDDOWN((P$59-$B74)/Aggressive!$D$24,0)&lt;3,0.75,IF(ROUNDDOWN((P$59-$B74)/Aggressive!$D$24,0)&lt;4,0.875,0.9375)))))+HLOOKUP($B74,$C$59:$Q$60,2,FALSE)*Aggressive!$C$25*(1-IF(ROUNDDOWN((P$59-$B74)/Aggressive!$D$25,0)&lt;1,0,IF(ROUNDDOWN((P$59-$B74)/Aggressive!$D$25,0)&lt;2,0.5,IF(ROUNDDOWN((P$59-$B74)/Aggressive!$D$25,0)&lt;3,0.75,IF(ROUNDDOWN((P$59-$B74)/Aggressive!$D$25,0)&lt;4,0.875,0.9375)))))+HLOOKUP($B74,$C$59:$Q$60,2,FALSE)*Aggressive!$C$26*(1-IF(ROUNDDOWN((P$59-$B74)/Aggressive!$D$26,0)&lt;1,0,IF(ROUNDDOWN((P$59-$B74)/Aggressive!$D$26,0)&lt;2,0.5,IF(ROUNDDOWN((P$59-$B74)/Aggressive!$D$26,0)&lt;3,0.75,IF(ROUNDDOWN((P$59-$B74)/Aggressive!$D$26,0)&lt;4,0.875,0.9375)))))+HLOOKUP($B74,$C$59:$Q$60,2,FALSE)*Aggressive!$C$27*(1-IF(ROUNDDOWN((P$59-$B74)/Aggressive!$D$27,0)&lt;1,0,IF(ROUNDDOWN((P$59-$B74)/Aggressive!$D$27,0)&lt;2,0.5,IF(ROUNDDOWN((P$59-$B74)/Aggressive!$D$27,0)&lt;3,0.75,IF(ROUNDDOWN((P$59-$B74)/Aggressive!$D$27,0)&lt;4,0.875,0.9375)))))+HLOOKUP($B74,$C$59:$Q$60,2,FALSE)*Aggressive!$C$28*(1-IF(ROUNDDOWN((P$59-$B74)/Aggressive!$D$28,0)&lt;1,0,IF(ROUNDDOWN((P$59-$B74)/Aggressive!$D$28,0)&lt;2,0.5,IF(ROUNDDOWN((P$59-$B74)/Aggressive!$D$28,0)&lt;3,0.75,IF(ROUNDDOWN((P$59-$B74)/Aggressive!$D$28,0)&lt;4,0.875,0.9375)))))</f>
        <v>0.29480492469068648</v>
      </c>
      <c r="Q74" s="135">
        <f>HLOOKUP($B74,$C$59:$Q$60,2,FALSE)*Aggressive!$C$23*(1-IF(ROUNDDOWN((Q$59-$B74)/Aggressive!$D$23,0)&lt;1,0,IF(ROUNDDOWN((Q$59-$B74)/Aggressive!$D$23,0)&lt;2,0.5,IF(ROUNDDOWN((Q$59-$B74)/Aggressive!$D$23,0)&lt;3,0.75,IF(ROUNDDOWN((Q$59-$B74)/Aggressive!$D$23,0)&lt;4,0.875,0.9375)))))+HLOOKUP($B74,$C$59:$Q$60,2,FALSE)*Aggressive!$C$24*(1-IF(ROUNDDOWN((Q$59-$B74)/Aggressive!$D$24,0)&lt;1,0,IF(ROUNDDOWN((Q$59-$B74)/Aggressive!$D$24,0)&lt;2,0.5,IF(ROUNDDOWN((Q$59-$B74)/Aggressive!$D$24,0)&lt;3,0.75,IF(ROUNDDOWN((Q$59-$B74)/Aggressive!$D$24,0)&lt;4,0.875,0.9375)))))+HLOOKUP($B74,$C$59:$Q$60,2,FALSE)*Aggressive!$C$25*(1-IF(ROUNDDOWN((Q$59-$B74)/Aggressive!$D$25,0)&lt;1,0,IF(ROUNDDOWN((Q$59-$B74)/Aggressive!$D$25,0)&lt;2,0.5,IF(ROUNDDOWN((Q$59-$B74)/Aggressive!$D$25,0)&lt;3,0.75,IF(ROUNDDOWN((Q$59-$B74)/Aggressive!$D$25,0)&lt;4,0.875,0.9375)))))+HLOOKUP($B74,$C$59:$Q$60,2,FALSE)*Aggressive!$C$26*(1-IF(ROUNDDOWN((Q$59-$B74)/Aggressive!$D$26,0)&lt;1,0,IF(ROUNDDOWN((Q$59-$B74)/Aggressive!$D$26,0)&lt;2,0.5,IF(ROUNDDOWN((Q$59-$B74)/Aggressive!$D$26,0)&lt;3,0.75,IF(ROUNDDOWN((Q$59-$B74)/Aggressive!$D$26,0)&lt;4,0.875,0.9375)))))+HLOOKUP($B74,$C$59:$Q$60,2,FALSE)*Aggressive!$C$27*(1-IF(ROUNDDOWN((Q$59-$B74)/Aggressive!$D$27,0)&lt;1,0,IF(ROUNDDOWN((Q$59-$B74)/Aggressive!$D$27,0)&lt;2,0.5,IF(ROUNDDOWN((Q$59-$B74)/Aggressive!$D$27,0)&lt;3,0.75,IF(ROUNDDOWN((Q$59-$B74)/Aggressive!$D$27,0)&lt;4,0.875,0.9375)))))+HLOOKUP($B74,$C$59:$Q$60,2,FALSE)*Aggressive!$C$28*(1-IF(ROUNDDOWN((Q$59-$B74)/Aggressive!$D$28,0)&lt;1,0,IF(ROUNDDOWN((Q$59-$B74)/Aggressive!$D$28,0)&lt;2,0.5,IF(ROUNDDOWN((Q$59-$B74)/Aggressive!$D$28,0)&lt;3,0.75,IF(ROUNDDOWN((Q$59-$B74)/Aggressive!$D$28,0)&lt;4,0.875,0.9375)))))</f>
        <v>0.28212831292898694</v>
      </c>
      <c r="R74" s="50"/>
    </row>
    <row r="75" spans="2:18" x14ac:dyDescent="0.3">
      <c r="B75" s="237">
        <f t="shared" si="14"/>
        <v>2027</v>
      </c>
      <c r="C75" s="135"/>
      <c r="D75" s="135"/>
      <c r="E75" s="135"/>
      <c r="F75" s="135"/>
      <c r="G75" s="135"/>
      <c r="H75" s="135"/>
      <c r="I75" s="135"/>
      <c r="J75" s="135"/>
      <c r="K75" s="135"/>
      <c r="L75" s="135"/>
      <c r="M75" s="135"/>
      <c r="N75" s="135"/>
      <c r="O75" s="135">
        <f>HLOOKUP($B75,$C$59:$Q$60,2,FALSE)*Aggressive!$C$23*(1-IF(ROUNDDOWN((O$59-$B75)/Aggressive!$D$23,0)&lt;1,0,IF(ROUNDDOWN((O$59-$B75)/Aggressive!$D$23,0)&lt;2,0.5,IF(ROUNDDOWN((O$59-$B75)/Aggressive!$D$23,0)&lt;3,0.75,IF(ROUNDDOWN((O$59-$B75)/Aggressive!$D$23,0)&lt;4,0.875,0.9375)))))+HLOOKUP($B75,$C$59:$Q$60,2,FALSE)*Aggressive!$C$24*(1-IF(ROUNDDOWN((O$59-$B75)/Aggressive!$D$24,0)&lt;1,0,IF(ROUNDDOWN((O$59-$B75)/Aggressive!$D$24,0)&lt;2,0.5,IF(ROUNDDOWN((O$59-$B75)/Aggressive!$D$24,0)&lt;3,0.75,IF(ROUNDDOWN((O$59-$B75)/Aggressive!$D$24,0)&lt;4,0.875,0.9375)))))+HLOOKUP($B75,$C$59:$Q$60,2,FALSE)*Aggressive!$C$25*(1-IF(ROUNDDOWN((O$59-$B75)/Aggressive!$D$25,0)&lt;1,0,IF(ROUNDDOWN((O$59-$B75)/Aggressive!$D$25,0)&lt;2,0.5,IF(ROUNDDOWN((O$59-$B75)/Aggressive!$D$25,0)&lt;3,0.75,IF(ROUNDDOWN((O$59-$B75)/Aggressive!$D$25,0)&lt;4,0.875,0.9375)))))+HLOOKUP($B75,$C$59:$Q$60,2,FALSE)*Aggressive!$C$26*(1-IF(ROUNDDOWN((O$59-$B75)/Aggressive!$D$26,0)&lt;1,0,IF(ROUNDDOWN((O$59-$B75)/Aggressive!$D$26,0)&lt;2,0.5,IF(ROUNDDOWN((O$59-$B75)/Aggressive!$D$26,0)&lt;3,0.75,IF(ROUNDDOWN((O$59-$B75)/Aggressive!$D$26,0)&lt;4,0.875,0.9375)))))+HLOOKUP($B75,$C$59:$Q$60,2,FALSE)*Aggressive!$C$27*(1-IF(ROUNDDOWN((O$59-$B75)/Aggressive!$D$27,0)&lt;1,0,IF(ROUNDDOWN((O$59-$B75)/Aggressive!$D$27,0)&lt;2,0.5,IF(ROUNDDOWN((O$59-$B75)/Aggressive!$D$27,0)&lt;3,0.75,IF(ROUNDDOWN((O$59-$B75)/Aggressive!$D$27,0)&lt;4,0.875,0.9375)))))+HLOOKUP($B75,$C$59:$Q$60,2,FALSE)*Aggressive!$C$28*(1-IF(ROUNDDOWN((O$59-$B75)/Aggressive!$D$28,0)&lt;1,0,IF(ROUNDDOWN((O$59-$B75)/Aggressive!$D$28,0)&lt;2,0.5,IF(ROUNDDOWN((O$59-$B75)/Aggressive!$D$28,0)&lt;3,0.75,IF(ROUNDDOWN((O$59-$B75)/Aggressive!$D$28,0)&lt;4,0.875,0.9375)))))</f>
        <v>0.43527609463212841</v>
      </c>
      <c r="P75" s="135">
        <f>HLOOKUP($B75,$C$59:$Q$60,2,FALSE)*Aggressive!$C$23*(1-IF(ROUNDDOWN((P$59-$B75)/Aggressive!$D$23,0)&lt;1,0,IF(ROUNDDOWN((P$59-$B75)/Aggressive!$D$23,0)&lt;2,0.5,IF(ROUNDDOWN((P$59-$B75)/Aggressive!$D$23,0)&lt;3,0.75,IF(ROUNDDOWN((P$59-$B75)/Aggressive!$D$23,0)&lt;4,0.875,0.9375)))))+HLOOKUP($B75,$C$59:$Q$60,2,FALSE)*Aggressive!$C$24*(1-IF(ROUNDDOWN((P$59-$B75)/Aggressive!$D$24,0)&lt;1,0,IF(ROUNDDOWN((P$59-$B75)/Aggressive!$D$24,0)&lt;2,0.5,IF(ROUNDDOWN((P$59-$B75)/Aggressive!$D$24,0)&lt;3,0.75,IF(ROUNDDOWN((P$59-$B75)/Aggressive!$D$24,0)&lt;4,0.875,0.9375)))))+HLOOKUP($B75,$C$59:$Q$60,2,FALSE)*Aggressive!$C$25*(1-IF(ROUNDDOWN((P$59-$B75)/Aggressive!$D$25,0)&lt;1,0,IF(ROUNDDOWN((P$59-$B75)/Aggressive!$D$25,0)&lt;2,0.5,IF(ROUNDDOWN((P$59-$B75)/Aggressive!$D$25,0)&lt;3,0.75,IF(ROUNDDOWN((P$59-$B75)/Aggressive!$D$25,0)&lt;4,0.875,0.9375)))))+HLOOKUP($B75,$C$59:$Q$60,2,FALSE)*Aggressive!$C$26*(1-IF(ROUNDDOWN((P$59-$B75)/Aggressive!$D$26,0)&lt;1,0,IF(ROUNDDOWN((P$59-$B75)/Aggressive!$D$26,0)&lt;2,0.5,IF(ROUNDDOWN((P$59-$B75)/Aggressive!$D$26,0)&lt;3,0.75,IF(ROUNDDOWN((P$59-$B75)/Aggressive!$D$26,0)&lt;4,0.875,0.9375)))))+HLOOKUP($B75,$C$59:$Q$60,2,FALSE)*Aggressive!$C$27*(1-IF(ROUNDDOWN((P$59-$B75)/Aggressive!$D$27,0)&lt;1,0,IF(ROUNDDOWN((P$59-$B75)/Aggressive!$D$27,0)&lt;2,0.5,IF(ROUNDDOWN((P$59-$B75)/Aggressive!$D$27,0)&lt;3,0.75,IF(ROUNDDOWN((P$59-$B75)/Aggressive!$D$27,0)&lt;4,0.875,0.9375)))))+HLOOKUP($B75,$C$59:$Q$60,2,FALSE)*Aggressive!$C$28*(1-IF(ROUNDDOWN((P$59-$B75)/Aggressive!$D$28,0)&lt;1,0,IF(ROUNDDOWN((P$59-$B75)/Aggressive!$D$28,0)&lt;2,0.5,IF(ROUNDDOWN((P$59-$B75)/Aggressive!$D$28,0)&lt;3,0.75,IF(ROUNDDOWN((P$59-$B75)/Aggressive!$D$28,0)&lt;4,0.875,0.9375)))))</f>
        <v>0.43527609463212841</v>
      </c>
      <c r="Q75" s="135">
        <f>HLOOKUP($B75,$C$59:$Q$60,2,FALSE)*Aggressive!$C$23*(1-IF(ROUNDDOWN((Q$59-$B75)/Aggressive!$D$23,0)&lt;1,0,IF(ROUNDDOWN((Q$59-$B75)/Aggressive!$D$23,0)&lt;2,0.5,IF(ROUNDDOWN((Q$59-$B75)/Aggressive!$D$23,0)&lt;3,0.75,IF(ROUNDDOWN((Q$59-$B75)/Aggressive!$D$23,0)&lt;4,0.875,0.9375)))))+HLOOKUP($B75,$C$59:$Q$60,2,FALSE)*Aggressive!$C$24*(1-IF(ROUNDDOWN((Q$59-$B75)/Aggressive!$D$24,0)&lt;1,0,IF(ROUNDDOWN((Q$59-$B75)/Aggressive!$D$24,0)&lt;2,0.5,IF(ROUNDDOWN((Q$59-$B75)/Aggressive!$D$24,0)&lt;3,0.75,IF(ROUNDDOWN((Q$59-$B75)/Aggressive!$D$24,0)&lt;4,0.875,0.9375)))))+HLOOKUP($B75,$C$59:$Q$60,2,FALSE)*Aggressive!$C$25*(1-IF(ROUNDDOWN((Q$59-$B75)/Aggressive!$D$25,0)&lt;1,0,IF(ROUNDDOWN((Q$59-$B75)/Aggressive!$D$25,0)&lt;2,0.5,IF(ROUNDDOWN((Q$59-$B75)/Aggressive!$D$25,0)&lt;3,0.75,IF(ROUNDDOWN((Q$59-$B75)/Aggressive!$D$25,0)&lt;4,0.875,0.9375)))))+HLOOKUP($B75,$C$59:$Q$60,2,FALSE)*Aggressive!$C$26*(1-IF(ROUNDDOWN((Q$59-$B75)/Aggressive!$D$26,0)&lt;1,0,IF(ROUNDDOWN((Q$59-$B75)/Aggressive!$D$26,0)&lt;2,0.5,IF(ROUNDDOWN((Q$59-$B75)/Aggressive!$D$26,0)&lt;3,0.75,IF(ROUNDDOWN((Q$59-$B75)/Aggressive!$D$26,0)&lt;4,0.875,0.9375)))))+HLOOKUP($B75,$C$59:$Q$60,2,FALSE)*Aggressive!$C$27*(1-IF(ROUNDDOWN((Q$59-$B75)/Aggressive!$D$27,0)&lt;1,0,IF(ROUNDDOWN((Q$59-$B75)/Aggressive!$D$27,0)&lt;2,0.5,IF(ROUNDDOWN((Q$59-$B75)/Aggressive!$D$27,0)&lt;3,0.75,IF(ROUNDDOWN((Q$59-$B75)/Aggressive!$D$27,0)&lt;4,0.875,0.9375)))))+HLOOKUP($B75,$C$59:$Q$60,2,FALSE)*Aggressive!$C$28*(1-IF(ROUNDDOWN((Q$59-$B75)/Aggressive!$D$28,0)&lt;1,0,IF(ROUNDDOWN((Q$59-$B75)/Aggressive!$D$28,0)&lt;2,0.5,IF(ROUNDDOWN((Q$59-$B75)/Aggressive!$D$28,0)&lt;3,0.75,IF(ROUNDDOWN((Q$59-$B75)/Aggressive!$D$28,0)&lt;4,0.875,0.9375)))))</f>
        <v>0.43527609463212841</v>
      </c>
      <c r="R75" s="50"/>
    </row>
    <row r="76" spans="2:18" x14ac:dyDescent="0.3">
      <c r="B76" s="237">
        <f t="shared" si="14"/>
        <v>2028</v>
      </c>
      <c r="C76" s="135"/>
      <c r="D76" s="135"/>
      <c r="E76" s="135"/>
      <c r="F76" s="135"/>
      <c r="G76" s="135"/>
      <c r="H76" s="135"/>
      <c r="I76" s="135"/>
      <c r="J76" s="135"/>
      <c r="K76" s="135"/>
      <c r="L76" s="135"/>
      <c r="M76" s="135"/>
      <c r="N76" s="135"/>
      <c r="O76" s="135"/>
      <c r="P76" s="135">
        <f>HLOOKUP($B76,$C$59:$Q$60,2,FALSE)*Aggressive!$C$23*(1-IF(ROUNDDOWN((P$59-$B76)/Aggressive!$D$23,0)&lt;1,0,IF(ROUNDDOWN((P$59-$B76)/Aggressive!$D$23,0)&lt;2,0.5,IF(ROUNDDOWN((P$59-$B76)/Aggressive!$D$23,0)&lt;3,0.75,IF(ROUNDDOWN((P$59-$B76)/Aggressive!$D$23,0)&lt;4,0.875,0.9375)))))+HLOOKUP($B76,$C$59:$Q$60,2,FALSE)*Aggressive!$C$24*(1-IF(ROUNDDOWN((P$59-$B76)/Aggressive!$D$24,0)&lt;1,0,IF(ROUNDDOWN((P$59-$B76)/Aggressive!$D$24,0)&lt;2,0.5,IF(ROUNDDOWN((P$59-$B76)/Aggressive!$D$24,0)&lt;3,0.75,IF(ROUNDDOWN((P$59-$B76)/Aggressive!$D$24,0)&lt;4,0.875,0.9375)))))+HLOOKUP($B76,$C$59:$Q$60,2,FALSE)*Aggressive!$C$25*(1-IF(ROUNDDOWN((P$59-$B76)/Aggressive!$D$25,0)&lt;1,0,IF(ROUNDDOWN((P$59-$B76)/Aggressive!$D$25,0)&lt;2,0.5,IF(ROUNDDOWN((P$59-$B76)/Aggressive!$D$25,0)&lt;3,0.75,IF(ROUNDDOWN((P$59-$B76)/Aggressive!$D$25,0)&lt;4,0.875,0.9375)))))+HLOOKUP($B76,$C$59:$Q$60,2,FALSE)*Aggressive!$C$26*(1-IF(ROUNDDOWN((P$59-$B76)/Aggressive!$D$26,0)&lt;1,0,IF(ROUNDDOWN((P$59-$B76)/Aggressive!$D$26,0)&lt;2,0.5,IF(ROUNDDOWN((P$59-$B76)/Aggressive!$D$26,0)&lt;3,0.75,IF(ROUNDDOWN((P$59-$B76)/Aggressive!$D$26,0)&lt;4,0.875,0.9375)))))+HLOOKUP($B76,$C$59:$Q$60,2,FALSE)*Aggressive!$C$27*(1-IF(ROUNDDOWN((P$59-$B76)/Aggressive!$D$27,0)&lt;1,0,IF(ROUNDDOWN((P$59-$B76)/Aggressive!$D$27,0)&lt;2,0.5,IF(ROUNDDOWN((P$59-$B76)/Aggressive!$D$27,0)&lt;3,0.75,IF(ROUNDDOWN((P$59-$B76)/Aggressive!$D$27,0)&lt;4,0.875,0.9375)))))+HLOOKUP($B76,$C$59:$Q$60,2,FALSE)*Aggressive!$C$28*(1-IF(ROUNDDOWN((P$59-$B76)/Aggressive!$D$28,0)&lt;1,0,IF(ROUNDDOWN((P$59-$B76)/Aggressive!$D$28,0)&lt;2,0.5,IF(ROUNDDOWN((P$59-$B76)/Aggressive!$D$28,0)&lt;3,0.75,IF(ROUNDDOWN((P$59-$B76)/Aggressive!$D$28,0)&lt;4,0.875,0.9375)))))</f>
        <v>0.43527609463212841</v>
      </c>
      <c r="Q76" s="135">
        <f>HLOOKUP($B76,$C$59:$Q$60,2,FALSE)*Aggressive!$C$23*(1-IF(ROUNDDOWN((Q$59-$B76)/Aggressive!$D$23,0)&lt;1,0,IF(ROUNDDOWN((Q$59-$B76)/Aggressive!$D$23,0)&lt;2,0.5,IF(ROUNDDOWN((Q$59-$B76)/Aggressive!$D$23,0)&lt;3,0.75,IF(ROUNDDOWN((Q$59-$B76)/Aggressive!$D$23,0)&lt;4,0.875,0.9375)))))+HLOOKUP($B76,$C$59:$Q$60,2,FALSE)*Aggressive!$C$24*(1-IF(ROUNDDOWN((Q$59-$B76)/Aggressive!$D$24,0)&lt;1,0,IF(ROUNDDOWN((Q$59-$B76)/Aggressive!$D$24,0)&lt;2,0.5,IF(ROUNDDOWN((Q$59-$B76)/Aggressive!$D$24,0)&lt;3,0.75,IF(ROUNDDOWN((Q$59-$B76)/Aggressive!$D$24,0)&lt;4,0.875,0.9375)))))+HLOOKUP($B76,$C$59:$Q$60,2,FALSE)*Aggressive!$C$25*(1-IF(ROUNDDOWN((Q$59-$B76)/Aggressive!$D$25,0)&lt;1,0,IF(ROUNDDOWN((Q$59-$B76)/Aggressive!$D$25,0)&lt;2,0.5,IF(ROUNDDOWN((Q$59-$B76)/Aggressive!$D$25,0)&lt;3,0.75,IF(ROUNDDOWN((Q$59-$B76)/Aggressive!$D$25,0)&lt;4,0.875,0.9375)))))+HLOOKUP($B76,$C$59:$Q$60,2,FALSE)*Aggressive!$C$26*(1-IF(ROUNDDOWN((Q$59-$B76)/Aggressive!$D$26,0)&lt;1,0,IF(ROUNDDOWN((Q$59-$B76)/Aggressive!$D$26,0)&lt;2,0.5,IF(ROUNDDOWN((Q$59-$B76)/Aggressive!$D$26,0)&lt;3,0.75,IF(ROUNDDOWN((Q$59-$B76)/Aggressive!$D$26,0)&lt;4,0.875,0.9375)))))+HLOOKUP($B76,$C$59:$Q$60,2,FALSE)*Aggressive!$C$27*(1-IF(ROUNDDOWN((Q$59-$B76)/Aggressive!$D$27,0)&lt;1,0,IF(ROUNDDOWN((Q$59-$B76)/Aggressive!$D$27,0)&lt;2,0.5,IF(ROUNDDOWN((Q$59-$B76)/Aggressive!$D$27,0)&lt;3,0.75,IF(ROUNDDOWN((Q$59-$B76)/Aggressive!$D$27,0)&lt;4,0.875,0.9375)))))+HLOOKUP($B76,$C$59:$Q$60,2,FALSE)*Aggressive!$C$28*(1-IF(ROUNDDOWN((Q$59-$B76)/Aggressive!$D$28,0)&lt;1,0,IF(ROUNDDOWN((Q$59-$B76)/Aggressive!$D$28,0)&lt;2,0.5,IF(ROUNDDOWN((Q$59-$B76)/Aggressive!$D$28,0)&lt;3,0.75,IF(ROUNDDOWN((Q$59-$B76)/Aggressive!$D$28,0)&lt;4,0.875,0.9375)))))</f>
        <v>0.43527609463212841</v>
      </c>
      <c r="R76" s="50"/>
    </row>
    <row r="77" spans="2:18" x14ac:dyDescent="0.3">
      <c r="B77" s="237">
        <f t="shared" si="14"/>
        <v>2029</v>
      </c>
      <c r="C77" s="135"/>
      <c r="D77" s="135"/>
      <c r="E77" s="135"/>
      <c r="F77" s="135"/>
      <c r="G77" s="135"/>
      <c r="H77" s="135"/>
      <c r="I77" s="135"/>
      <c r="J77" s="135"/>
      <c r="K77" s="135"/>
      <c r="L77" s="135"/>
      <c r="M77" s="135"/>
      <c r="N77" s="135"/>
      <c r="O77" s="135"/>
      <c r="P77" s="135"/>
      <c r="Q77" s="135">
        <f>HLOOKUP($B77,$C$59:$Q$60,2,FALSE)*Aggressive!$C$23*(1-IF(ROUNDDOWN((Q$59-$B77)/Aggressive!$D$23,0)&lt;1,0,IF(ROUNDDOWN((Q$59-$B77)/Aggressive!$D$23,0)&lt;2,0.5,IF(ROUNDDOWN((Q$59-$B77)/Aggressive!$D$23,0)&lt;3,0.75,IF(ROUNDDOWN((Q$59-$B77)/Aggressive!$D$23,0)&lt;4,0.875,0.9375)))))+HLOOKUP($B77,$C$59:$Q$60,2,FALSE)*Aggressive!$C$24*(1-IF(ROUNDDOWN((Q$59-$B77)/Aggressive!$D$24,0)&lt;1,0,IF(ROUNDDOWN((Q$59-$B77)/Aggressive!$D$24,0)&lt;2,0.5,IF(ROUNDDOWN((Q$59-$B77)/Aggressive!$D$24,0)&lt;3,0.75,IF(ROUNDDOWN((Q$59-$B77)/Aggressive!$D$24,0)&lt;4,0.875,0.9375)))))+HLOOKUP($B77,$C$59:$Q$60,2,FALSE)*Aggressive!$C$25*(1-IF(ROUNDDOWN((Q$59-$B77)/Aggressive!$D$25,0)&lt;1,0,IF(ROUNDDOWN((Q$59-$B77)/Aggressive!$D$25,0)&lt;2,0.5,IF(ROUNDDOWN((Q$59-$B77)/Aggressive!$D$25,0)&lt;3,0.75,IF(ROUNDDOWN((Q$59-$B77)/Aggressive!$D$25,0)&lt;4,0.875,0.9375)))))+HLOOKUP($B77,$C$59:$Q$60,2,FALSE)*Aggressive!$C$26*(1-IF(ROUNDDOWN((Q$59-$B77)/Aggressive!$D$26,0)&lt;1,0,IF(ROUNDDOWN((Q$59-$B77)/Aggressive!$D$26,0)&lt;2,0.5,IF(ROUNDDOWN((Q$59-$B77)/Aggressive!$D$26,0)&lt;3,0.75,IF(ROUNDDOWN((Q$59-$B77)/Aggressive!$D$26,0)&lt;4,0.875,0.9375)))))+HLOOKUP($B77,$C$59:$Q$60,2,FALSE)*Aggressive!$C$27*(1-IF(ROUNDDOWN((Q$59-$B77)/Aggressive!$D$27,0)&lt;1,0,IF(ROUNDDOWN((Q$59-$B77)/Aggressive!$D$27,0)&lt;2,0.5,IF(ROUNDDOWN((Q$59-$B77)/Aggressive!$D$27,0)&lt;3,0.75,IF(ROUNDDOWN((Q$59-$B77)/Aggressive!$D$27,0)&lt;4,0.875,0.9375)))))+HLOOKUP($B77,$C$59:$Q$60,2,FALSE)*Aggressive!$C$28*(1-IF(ROUNDDOWN((Q$59-$B77)/Aggressive!$D$28,0)&lt;1,0,IF(ROUNDDOWN((Q$59-$B77)/Aggressive!$D$28,0)&lt;2,0.5,IF(ROUNDDOWN((Q$59-$B77)/Aggressive!$D$28,0)&lt;3,0.75,IF(ROUNDDOWN((Q$59-$B77)/Aggressive!$D$28,0)&lt;4,0.875,0.9375)))))</f>
        <v>0.43527609463212841</v>
      </c>
      <c r="R77" s="50"/>
    </row>
    <row r="78" spans="2:18" x14ac:dyDescent="0.3">
      <c r="B78" s="51"/>
      <c r="C78" s="241"/>
      <c r="D78" s="241"/>
      <c r="E78" s="241"/>
      <c r="F78" s="241"/>
      <c r="G78" s="241"/>
      <c r="H78" s="241"/>
      <c r="I78" s="241"/>
      <c r="J78" s="241"/>
      <c r="K78" s="241"/>
      <c r="L78" s="241"/>
      <c r="M78" s="241"/>
      <c r="N78" s="241"/>
      <c r="O78" s="241"/>
      <c r="P78" s="241"/>
      <c r="Q78" s="241"/>
      <c r="R78" s="50"/>
    </row>
    <row r="79" spans="2:18" x14ac:dyDescent="0.3">
      <c r="B79" s="242" t="s">
        <v>373</v>
      </c>
      <c r="C79" s="247">
        <f t="shared" ref="C79:Q79" si="15">SUM(C63:C77)</f>
        <v>0</v>
      </c>
      <c r="D79" s="247">
        <f t="shared" si="15"/>
        <v>0</v>
      </c>
      <c r="E79" s="247">
        <f t="shared" si="15"/>
        <v>0</v>
      </c>
      <c r="F79" s="247">
        <f t="shared" si="15"/>
        <v>0</v>
      </c>
      <c r="G79" s="247">
        <f t="shared" si="15"/>
        <v>0</v>
      </c>
      <c r="H79" s="247">
        <f t="shared" si="15"/>
        <v>0</v>
      </c>
      <c r="I79" s="247">
        <f t="shared" si="15"/>
        <v>0.15433375474924435</v>
      </c>
      <c r="J79" s="247">
        <f t="shared" si="15"/>
        <v>0.3086675094984887</v>
      </c>
      <c r="K79" s="247">
        <f t="shared" si="15"/>
        <v>0.46300126424773302</v>
      </c>
      <c r="L79" s="247">
        <f t="shared" si="15"/>
        <v>0.75116983748420196</v>
      </c>
      <c r="M79" s="247">
        <f t="shared" si="15"/>
        <v>1.0393384107206711</v>
      </c>
      <c r="N79" s="247">
        <f t="shared" si="15"/>
        <v>1.3275069839571401</v>
      </c>
      <c r="O79" s="247">
        <f t="shared" si="15"/>
        <v>1.7467882911004602</v>
      </c>
      <c r="P79" s="247">
        <f t="shared" si="15"/>
        <v>2.1660695982437801</v>
      </c>
      <c r="Q79" s="247">
        <f t="shared" si="15"/>
        <v>2.5791775551971305</v>
      </c>
      <c r="R79" s="50"/>
    </row>
    <row r="80" spans="2:18" ht="15" thickBot="1" x14ac:dyDescent="0.35">
      <c r="B80" s="54"/>
      <c r="C80" s="55"/>
      <c r="D80" s="55"/>
      <c r="E80" s="55"/>
      <c r="F80" s="55"/>
      <c r="G80" s="55"/>
      <c r="H80" s="55"/>
      <c r="I80" s="55"/>
      <c r="J80" s="55"/>
      <c r="K80" s="55"/>
      <c r="L80" s="55"/>
      <c r="M80" s="55"/>
      <c r="N80" s="55"/>
      <c r="O80" s="55"/>
      <c r="P80" s="55"/>
      <c r="Q80" s="55"/>
      <c r="R80" s="56"/>
    </row>
  </sheetData>
  <mergeCells count="1">
    <mergeCell ref="F23:O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C330"/>
  <sheetViews>
    <sheetView zoomScale="70" zoomScaleNormal="70" workbookViewId="0">
      <selection activeCell="O43" sqref="O43"/>
    </sheetView>
  </sheetViews>
  <sheetFormatPr defaultColWidth="9.109375" defaultRowHeight="13.2" x14ac:dyDescent="0.25"/>
  <cols>
    <col min="1" max="1" width="21.88671875" style="11" customWidth="1"/>
    <col min="2" max="9" width="9.109375" style="11"/>
    <col min="10" max="10" width="13.109375" style="11" customWidth="1"/>
    <col min="11" max="19" width="9.109375" style="11"/>
    <col min="20" max="20" width="13.33203125" style="11" customWidth="1"/>
    <col min="21" max="245" width="9.109375" style="11"/>
    <col min="246" max="248" width="16.88671875" style="11" customWidth="1"/>
    <col min="249" max="249" width="37.88671875" style="11" customWidth="1"/>
    <col min="250" max="251" width="12.109375" style="11" customWidth="1"/>
    <col min="252" max="252" width="13.88671875" style="11" customWidth="1"/>
    <col min="253" max="254" width="12.109375" style="11" customWidth="1"/>
    <col min="255" max="255" width="13.88671875" style="11" bestFit="1" customWidth="1"/>
    <col min="256" max="501" width="9.109375" style="11"/>
    <col min="502" max="504" width="16.88671875" style="11" customWidth="1"/>
    <col min="505" max="505" width="37.88671875" style="11" customWidth="1"/>
    <col min="506" max="507" width="12.109375" style="11" customWidth="1"/>
    <col min="508" max="508" width="13.88671875" style="11" customWidth="1"/>
    <col min="509" max="510" width="12.109375" style="11" customWidth="1"/>
    <col min="511" max="511" width="13.88671875" style="11" bestFit="1" customWidth="1"/>
    <col min="512" max="757" width="9.109375" style="11"/>
    <col min="758" max="760" width="16.88671875" style="11" customWidth="1"/>
    <col min="761" max="761" width="37.88671875" style="11" customWidth="1"/>
    <col min="762" max="763" width="12.109375" style="11" customWidth="1"/>
    <col min="764" max="764" width="13.88671875" style="11" customWidth="1"/>
    <col min="765" max="766" width="12.109375" style="11" customWidth="1"/>
    <col min="767" max="767" width="13.88671875" style="11" bestFit="1" customWidth="1"/>
    <col min="768" max="1013" width="9.109375" style="11"/>
    <col min="1014" max="1016" width="16.88671875" style="11" customWidth="1"/>
    <col min="1017" max="1017" width="37.88671875" style="11" customWidth="1"/>
    <col min="1018" max="1019" width="12.109375" style="11" customWidth="1"/>
    <col min="1020" max="1020" width="13.88671875" style="11" customWidth="1"/>
    <col min="1021" max="1022" width="12.109375" style="11" customWidth="1"/>
    <col min="1023" max="1023" width="13.88671875" style="11" bestFit="1" customWidth="1"/>
    <col min="1024" max="1269" width="9.109375" style="11"/>
    <col min="1270" max="1272" width="16.88671875" style="11" customWidth="1"/>
    <col min="1273" max="1273" width="37.88671875" style="11" customWidth="1"/>
    <col min="1274" max="1275" width="12.109375" style="11" customWidth="1"/>
    <col min="1276" max="1276" width="13.88671875" style="11" customWidth="1"/>
    <col min="1277" max="1278" width="12.109375" style="11" customWidth="1"/>
    <col min="1279" max="1279" width="13.88671875" style="11" bestFit="1" customWidth="1"/>
    <col min="1280" max="1525" width="9.109375" style="11"/>
    <col min="1526" max="1528" width="16.88671875" style="11" customWidth="1"/>
    <col min="1529" max="1529" width="37.88671875" style="11" customWidth="1"/>
    <col min="1530" max="1531" width="12.109375" style="11" customWidth="1"/>
    <col min="1532" max="1532" width="13.88671875" style="11" customWidth="1"/>
    <col min="1533" max="1534" width="12.109375" style="11" customWidth="1"/>
    <col min="1535" max="1535" width="13.88671875" style="11" bestFit="1" customWidth="1"/>
    <col min="1536" max="1781" width="9.109375" style="11"/>
    <col min="1782" max="1784" width="16.88671875" style="11" customWidth="1"/>
    <col min="1785" max="1785" width="37.88671875" style="11" customWidth="1"/>
    <col min="1786" max="1787" width="12.109375" style="11" customWidth="1"/>
    <col min="1788" max="1788" width="13.88671875" style="11" customWidth="1"/>
    <col min="1789" max="1790" width="12.109375" style="11" customWidth="1"/>
    <col min="1791" max="1791" width="13.88671875" style="11" bestFit="1" customWidth="1"/>
    <col min="1792" max="2037" width="9.109375" style="11"/>
    <col min="2038" max="2040" width="16.88671875" style="11" customWidth="1"/>
    <col min="2041" max="2041" width="37.88671875" style="11" customWidth="1"/>
    <col min="2042" max="2043" width="12.109375" style="11" customWidth="1"/>
    <col min="2044" max="2044" width="13.88671875" style="11" customWidth="1"/>
    <col min="2045" max="2046" width="12.109375" style="11" customWidth="1"/>
    <col min="2047" max="2047" width="13.88671875" style="11" bestFit="1" customWidth="1"/>
    <col min="2048" max="2293" width="9.109375" style="11"/>
    <col min="2294" max="2296" width="16.88671875" style="11" customWidth="1"/>
    <col min="2297" max="2297" width="37.88671875" style="11" customWidth="1"/>
    <col min="2298" max="2299" width="12.109375" style="11" customWidth="1"/>
    <col min="2300" max="2300" width="13.88671875" style="11" customWidth="1"/>
    <col min="2301" max="2302" width="12.109375" style="11" customWidth="1"/>
    <col min="2303" max="2303" width="13.88671875" style="11" bestFit="1" customWidth="1"/>
    <col min="2304" max="2549" width="9.109375" style="11"/>
    <col min="2550" max="2552" width="16.88671875" style="11" customWidth="1"/>
    <col min="2553" max="2553" width="37.88671875" style="11" customWidth="1"/>
    <col min="2554" max="2555" width="12.109375" style="11" customWidth="1"/>
    <col min="2556" max="2556" width="13.88671875" style="11" customWidth="1"/>
    <col min="2557" max="2558" width="12.109375" style="11" customWidth="1"/>
    <col min="2559" max="2559" width="13.88671875" style="11" bestFit="1" customWidth="1"/>
    <col min="2560" max="2805" width="9.109375" style="11"/>
    <col min="2806" max="2808" width="16.88671875" style="11" customWidth="1"/>
    <col min="2809" max="2809" width="37.88671875" style="11" customWidth="1"/>
    <col min="2810" max="2811" width="12.109375" style="11" customWidth="1"/>
    <col min="2812" max="2812" width="13.88671875" style="11" customWidth="1"/>
    <col min="2813" max="2814" width="12.109375" style="11" customWidth="1"/>
    <col min="2815" max="2815" width="13.88671875" style="11" bestFit="1" customWidth="1"/>
    <col min="2816" max="3061" width="9.109375" style="11"/>
    <col min="3062" max="3064" width="16.88671875" style="11" customWidth="1"/>
    <col min="3065" max="3065" width="37.88671875" style="11" customWidth="1"/>
    <col min="3066" max="3067" width="12.109375" style="11" customWidth="1"/>
    <col min="3068" max="3068" width="13.88671875" style="11" customWidth="1"/>
    <col min="3069" max="3070" width="12.109375" style="11" customWidth="1"/>
    <col min="3071" max="3071" width="13.88671875" style="11" bestFit="1" customWidth="1"/>
    <col min="3072" max="3317" width="9.109375" style="11"/>
    <col min="3318" max="3320" width="16.88671875" style="11" customWidth="1"/>
    <col min="3321" max="3321" width="37.88671875" style="11" customWidth="1"/>
    <col min="3322" max="3323" width="12.109375" style="11" customWidth="1"/>
    <col min="3324" max="3324" width="13.88671875" style="11" customWidth="1"/>
    <col min="3325" max="3326" width="12.109375" style="11" customWidth="1"/>
    <col min="3327" max="3327" width="13.88671875" style="11" bestFit="1" customWidth="1"/>
    <col min="3328" max="3573" width="9.109375" style="11"/>
    <col min="3574" max="3576" width="16.88671875" style="11" customWidth="1"/>
    <col min="3577" max="3577" width="37.88671875" style="11" customWidth="1"/>
    <col min="3578" max="3579" width="12.109375" style="11" customWidth="1"/>
    <col min="3580" max="3580" width="13.88671875" style="11" customWidth="1"/>
    <col min="3581" max="3582" width="12.109375" style="11" customWidth="1"/>
    <col min="3583" max="3583" width="13.88671875" style="11" bestFit="1" customWidth="1"/>
    <col min="3584" max="3829" width="9.109375" style="11"/>
    <col min="3830" max="3832" width="16.88671875" style="11" customWidth="1"/>
    <col min="3833" max="3833" width="37.88671875" style="11" customWidth="1"/>
    <col min="3834" max="3835" width="12.109375" style="11" customWidth="1"/>
    <col min="3836" max="3836" width="13.88671875" style="11" customWidth="1"/>
    <col min="3837" max="3838" width="12.109375" style="11" customWidth="1"/>
    <col min="3839" max="3839" width="13.88671875" style="11" bestFit="1" customWidth="1"/>
    <col min="3840" max="4085" width="9.109375" style="11"/>
    <col min="4086" max="4088" width="16.88671875" style="11" customWidth="1"/>
    <col min="4089" max="4089" width="37.88671875" style="11" customWidth="1"/>
    <col min="4090" max="4091" width="12.109375" style="11" customWidth="1"/>
    <col min="4092" max="4092" width="13.88671875" style="11" customWidth="1"/>
    <col min="4093" max="4094" width="12.109375" style="11" customWidth="1"/>
    <col min="4095" max="4095" width="13.88671875" style="11" bestFit="1" customWidth="1"/>
    <col min="4096" max="4341" width="9.109375" style="11"/>
    <col min="4342" max="4344" width="16.88671875" style="11" customWidth="1"/>
    <col min="4345" max="4345" width="37.88671875" style="11" customWidth="1"/>
    <col min="4346" max="4347" width="12.109375" style="11" customWidth="1"/>
    <col min="4348" max="4348" width="13.88671875" style="11" customWidth="1"/>
    <col min="4349" max="4350" width="12.109375" style="11" customWidth="1"/>
    <col min="4351" max="4351" width="13.88671875" style="11" bestFit="1" customWidth="1"/>
    <col min="4352" max="4597" width="9.109375" style="11"/>
    <col min="4598" max="4600" width="16.88671875" style="11" customWidth="1"/>
    <col min="4601" max="4601" width="37.88671875" style="11" customWidth="1"/>
    <col min="4602" max="4603" width="12.109375" style="11" customWidth="1"/>
    <col min="4604" max="4604" width="13.88671875" style="11" customWidth="1"/>
    <col min="4605" max="4606" width="12.109375" style="11" customWidth="1"/>
    <col min="4607" max="4607" width="13.88671875" style="11" bestFit="1" customWidth="1"/>
    <col min="4608" max="4853" width="9.109375" style="11"/>
    <col min="4854" max="4856" width="16.88671875" style="11" customWidth="1"/>
    <col min="4857" max="4857" width="37.88671875" style="11" customWidth="1"/>
    <col min="4858" max="4859" width="12.109375" style="11" customWidth="1"/>
    <col min="4860" max="4860" width="13.88671875" style="11" customWidth="1"/>
    <col min="4861" max="4862" width="12.109375" style="11" customWidth="1"/>
    <col min="4863" max="4863" width="13.88671875" style="11" bestFit="1" customWidth="1"/>
    <col min="4864" max="5109" width="9.109375" style="11"/>
    <col min="5110" max="5112" width="16.88671875" style="11" customWidth="1"/>
    <col min="5113" max="5113" width="37.88671875" style="11" customWidth="1"/>
    <col min="5114" max="5115" width="12.109375" style="11" customWidth="1"/>
    <col min="5116" max="5116" width="13.88671875" style="11" customWidth="1"/>
    <col min="5117" max="5118" width="12.109375" style="11" customWidth="1"/>
    <col min="5119" max="5119" width="13.88671875" style="11" bestFit="1" customWidth="1"/>
    <col min="5120" max="5365" width="9.109375" style="11"/>
    <col min="5366" max="5368" width="16.88671875" style="11" customWidth="1"/>
    <col min="5369" max="5369" width="37.88671875" style="11" customWidth="1"/>
    <col min="5370" max="5371" width="12.109375" style="11" customWidth="1"/>
    <col min="5372" max="5372" width="13.88671875" style="11" customWidth="1"/>
    <col min="5373" max="5374" width="12.109375" style="11" customWidth="1"/>
    <col min="5375" max="5375" width="13.88671875" style="11" bestFit="1" customWidth="1"/>
    <col min="5376" max="5621" width="9.109375" style="11"/>
    <col min="5622" max="5624" width="16.88671875" style="11" customWidth="1"/>
    <col min="5625" max="5625" width="37.88671875" style="11" customWidth="1"/>
    <col min="5626" max="5627" width="12.109375" style="11" customWidth="1"/>
    <col min="5628" max="5628" width="13.88671875" style="11" customWidth="1"/>
    <col min="5629" max="5630" width="12.109375" style="11" customWidth="1"/>
    <col min="5631" max="5631" width="13.88671875" style="11" bestFit="1" customWidth="1"/>
    <col min="5632" max="5877" width="9.109375" style="11"/>
    <col min="5878" max="5880" width="16.88671875" style="11" customWidth="1"/>
    <col min="5881" max="5881" width="37.88671875" style="11" customWidth="1"/>
    <col min="5882" max="5883" width="12.109375" style="11" customWidth="1"/>
    <col min="5884" max="5884" width="13.88671875" style="11" customWidth="1"/>
    <col min="5885" max="5886" width="12.109375" style="11" customWidth="1"/>
    <col min="5887" max="5887" width="13.88671875" style="11" bestFit="1" customWidth="1"/>
    <col min="5888" max="6133" width="9.109375" style="11"/>
    <col min="6134" max="6136" width="16.88671875" style="11" customWidth="1"/>
    <col min="6137" max="6137" width="37.88671875" style="11" customWidth="1"/>
    <col min="6138" max="6139" width="12.109375" style="11" customWidth="1"/>
    <col min="6140" max="6140" width="13.88671875" style="11" customWidth="1"/>
    <col min="6141" max="6142" width="12.109375" style="11" customWidth="1"/>
    <col min="6143" max="6143" width="13.88671875" style="11" bestFit="1" customWidth="1"/>
    <col min="6144" max="6389" width="9.109375" style="11"/>
    <col min="6390" max="6392" width="16.88671875" style="11" customWidth="1"/>
    <col min="6393" max="6393" width="37.88671875" style="11" customWidth="1"/>
    <col min="6394" max="6395" width="12.109375" style="11" customWidth="1"/>
    <col min="6396" max="6396" width="13.88671875" style="11" customWidth="1"/>
    <col min="6397" max="6398" width="12.109375" style="11" customWidth="1"/>
    <col min="6399" max="6399" width="13.88671875" style="11" bestFit="1" customWidth="1"/>
    <col min="6400" max="6645" width="9.109375" style="11"/>
    <col min="6646" max="6648" width="16.88671875" style="11" customWidth="1"/>
    <col min="6649" max="6649" width="37.88671875" style="11" customWidth="1"/>
    <col min="6650" max="6651" width="12.109375" style="11" customWidth="1"/>
    <col min="6652" max="6652" width="13.88671875" style="11" customWidth="1"/>
    <col min="6653" max="6654" width="12.109375" style="11" customWidth="1"/>
    <col min="6655" max="6655" width="13.88671875" style="11" bestFit="1" customWidth="1"/>
    <col min="6656" max="6901" width="9.109375" style="11"/>
    <col min="6902" max="6904" width="16.88671875" style="11" customWidth="1"/>
    <col min="6905" max="6905" width="37.88671875" style="11" customWidth="1"/>
    <col min="6906" max="6907" width="12.109375" style="11" customWidth="1"/>
    <col min="6908" max="6908" width="13.88671875" style="11" customWidth="1"/>
    <col min="6909" max="6910" width="12.109375" style="11" customWidth="1"/>
    <col min="6911" max="6911" width="13.88671875" style="11" bestFit="1" customWidth="1"/>
    <col min="6912" max="7157" width="9.109375" style="11"/>
    <col min="7158" max="7160" width="16.88671875" style="11" customWidth="1"/>
    <col min="7161" max="7161" width="37.88671875" style="11" customWidth="1"/>
    <col min="7162" max="7163" width="12.109375" style="11" customWidth="1"/>
    <col min="7164" max="7164" width="13.88671875" style="11" customWidth="1"/>
    <col min="7165" max="7166" width="12.109375" style="11" customWidth="1"/>
    <col min="7167" max="7167" width="13.88671875" style="11" bestFit="1" customWidth="1"/>
    <col min="7168" max="7413" width="9.109375" style="11"/>
    <col min="7414" max="7416" width="16.88671875" style="11" customWidth="1"/>
    <col min="7417" max="7417" width="37.88671875" style="11" customWidth="1"/>
    <col min="7418" max="7419" width="12.109375" style="11" customWidth="1"/>
    <col min="7420" max="7420" width="13.88671875" style="11" customWidth="1"/>
    <col min="7421" max="7422" width="12.109375" style="11" customWidth="1"/>
    <col min="7423" max="7423" width="13.88671875" style="11" bestFit="1" customWidth="1"/>
    <col min="7424" max="7669" width="9.109375" style="11"/>
    <col min="7670" max="7672" width="16.88671875" style="11" customWidth="1"/>
    <col min="7673" max="7673" width="37.88671875" style="11" customWidth="1"/>
    <col min="7674" max="7675" width="12.109375" style="11" customWidth="1"/>
    <col min="7676" max="7676" width="13.88671875" style="11" customWidth="1"/>
    <col min="7677" max="7678" width="12.109375" style="11" customWidth="1"/>
    <col min="7679" max="7679" width="13.88671875" style="11" bestFit="1" customWidth="1"/>
    <col min="7680" max="7925" width="9.109375" style="11"/>
    <col min="7926" max="7928" width="16.88671875" style="11" customWidth="1"/>
    <col min="7929" max="7929" width="37.88671875" style="11" customWidth="1"/>
    <col min="7930" max="7931" width="12.109375" style="11" customWidth="1"/>
    <col min="7932" max="7932" width="13.88671875" style="11" customWidth="1"/>
    <col min="7933" max="7934" width="12.109375" style="11" customWidth="1"/>
    <col min="7935" max="7935" width="13.88671875" style="11" bestFit="1" customWidth="1"/>
    <col min="7936" max="8181" width="9.109375" style="11"/>
    <col min="8182" max="8184" width="16.88671875" style="11" customWidth="1"/>
    <col min="8185" max="8185" width="37.88671875" style="11" customWidth="1"/>
    <col min="8186" max="8187" width="12.109375" style="11" customWidth="1"/>
    <col min="8188" max="8188" width="13.88671875" style="11" customWidth="1"/>
    <col min="8189" max="8190" width="12.109375" style="11" customWidth="1"/>
    <col min="8191" max="8191" width="13.88671875" style="11" bestFit="1" customWidth="1"/>
    <col min="8192" max="8437" width="9.109375" style="11"/>
    <col min="8438" max="8440" width="16.88671875" style="11" customWidth="1"/>
    <col min="8441" max="8441" width="37.88671875" style="11" customWidth="1"/>
    <col min="8442" max="8443" width="12.109375" style="11" customWidth="1"/>
    <col min="8444" max="8444" width="13.88671875" style="11" customWidth="1"/>
    <col min="8445" max="8446" width="12.109375" style="11" customWidth="1"/>
    <col min="8447" max="8447" width="13.88671875" style="11" bestFit="1" customWidth="1"/>
    <col min="8448" max="8693" width="9.109375" style="11"/>
    <col min="8694" max="8696" width="16.88671875" style="11" customWidth="1"/>
    <col min="8697" max="8697" width="37.88671875" style="11" customWidth="1"/>
    <col min="8698" max="8699" width="12.109375" style="11" customWidth="1"/>
    <col min="8700" max="8700" width="13.88671875" style="11" customWidth="1"/>
    <col min="8701" max="8702" width="12.109375" style="11" customWidth="1"/>
    <col min="8703" max="8703" width="13.88671875" style="11" bestFit="1" customWidth="1"/>
    <col min="8704" max="8949" width="9.109375" style="11"/>
    <col min="8950" max="8952" width="16.88671875" style="11" customWidth="1"/>
    <col min="8953" max="8953" width="37.88671875" style="11" customWidth="1"/>
    <col min="8954" max="8955" width="12.109375" style="11" customWidth="1"/>
    <col min="8956" max="8956" width="13.88671875" style="11" customWidth="1"/>
    <col min="8957" max="8958" width="12.109375" style="11" customWidth="1"/>
    <col min="8959" max="8959" width="13.88671875" style="11" bestFit="1" customWidth="1"/>
    <col min="8960" max="9205" width="9.109375" style="11"/>
    <col min="9206" max="9208" width="16.88671875" style="11" customWidth="1"/>
    <col min="9209" max="9209" width="37.88671875" style="11" customWidth="1"/>
    <col min="9210" max="9211" width="12.109375" style="11" customWidth="1"/>
    <col min="9212" max="9212" width="13.88671875" style="11" customWidth="1"/>
    <col min="9213" max="9214" width="12.109375" style="11" customWidth="1"/>
    <col min="9215" max="9215" width="13.88671875" style="11" bestFit="1" customWidth="1"/>
    <col min="9216" max="9461" width="9.109375" style="11"/>
    <col min="9462" max="9464" width="16.88671875" style="11" customWidth="1"/>
    <col min="9465" max="9465" width="37.88671875" style="11" customWidth="1"/>
    <col min="9466" max="9467" width="12.109375" style="11" customWidth="1"/>
    <col min="9468" max="9468" width="13.88671875" style="11" customWidth="1"/>
    <col min="9469" max="9470" width="12.109375" style="11" customWidth="1"/>
    <col min="9471" max="9471" width="13.88671875" style="11" bestFit="1" customWidth="1"/>
    <col min="9472" max="9717" width="9.109375" style="11"/>
    <col min="9718" max="9720" width="16.88671875" style="11" customWidth="1"/>
    <col min="9721" max="9721" width="37.88671875" style="11" customWidth="1"/>
    <col min="9722" max="9723" width="12.109375" style="11" customWidth="1"/>
    <col min="9724" max="9724" width="13.88671875" style="11" customWidth="1"/>
    <col min="9725" max="9726" width="12.109375" style="11" customWidth="1"/>
    <col min="9727" max="9727" width="13.88671875" style="11" bestFit="1" customWidth="1"/>
    <col min="9728" max="9973" width="9.109375" style="11"/>
    <col min="9974" max="9976" width="16.88671875" style="11" customWidth="1"/>
    <col min="9977" max="9977" width="37.88671875" style="11" customWidth="1"/>
    <col min="9978" max="9979" width="12.109375" style="11" customWidth="1"/>
    <col min="9980" max="9980" width="13.88671875" style="11" customWidth="1"/>
    <col min="9981" max="9982" width="12.109375" style="11" customWidth="1"/>
    <col min="9983" max="9983" width="13.88671875" style="11" bestFit="1" customWidth="1"/>
    <col min="9984" max="10229" width="9.109375" style="11"/>
    <col min="10230" max="10232" width="16.88671875" style="11" customWidth="1"/>
    <col min="10233" max="10233" width="37.88671875" style="11" customWidth="1"/>
    <col min="10234" max="10235" width="12.109375" style="11" customWidth="1"/>
    <col min="10236" max="10236" width="13.88671875" style="11" customWidth="1"/>
    <col min="10237" max="10238" width="12.109375" style="11" customWidth="1"/>
    <col min="10239" max="10239" width="13.88671875" style="11" bestFit="1" customWidth="1"/>
    <col min="10240" max="10485" width="9.109375" style="11"/>
    <col min="10486" max="10488" width="16.88671875" style="11" customWidth="1"/>
    <col min="10489" max="10489" width="37.88671875" style="11" customWidth="1"/>
    <col min="10490" max="10491" width="12.109375" style="11" customWidth="1"/>
    <col min="10492" max="10492" width="13.88671875" style="11" customWidth="1"/>
    <col min="10493" max="10494" width="12.109375" style="11" customWidth="1"/>
    <col min="10495" max="10495" width="13.88671875" style="11" bestFit="1" customWidth="1"/>
    <col min="10496" max="10741" width="9.109375" style="11"/>
    <col min="10742" max="10744" width="16.88671875" style="11" customWidth="1"/>
    <col min="10745" max="10745" width="37.88671875" style="11" customWidth="1"/>
    <col min="10746" max="10747" width="12.109375" style="11" customWidth="1"/>
    <col min="10748" max="10748" width="13.88671875" style="11" customWidth="1"/>
    <col min="10749" max="10750" width="12.109375" style="11" customWidth="1"/>
    <col min="10751" max="10751" width="13.88671875" style="11" bestFit="1" customWidth="1"/>
    <col min="10752" max="10997" width="9.109375" style="11"/>
    <col min="10998" max="11000" width="16.88671875" style="11" customWidth="1"/>
    <col min="11001" max="11001" width="37.88671875" style="11" customWidth="1"/>
    <col min="11002" max="11003" width="12.109375" style="11" customWidth="1"/>
    <col min="11004" max="11004" width="13.88671875" style="11" customWidth="1"/>
    <col min="11005" max="11006" width="12.109375" style="11" customWidth="1"/>
    <col min="11007" max="11007" width="13.88671875" style="11" bestFit="1" customWidth="1"/>
    <col min="11008" max="11253" width="9.109375" style="11"/>
    <col min="11254" max="11256" width="16.88671875" style="11" customWidth="1"/>
    <col min="11257" max="11257" width="37.88671875" style="11" customWidth="1"/>
    <col min="11258" max="11259" width="12.109375" style="11" customWidth="1"/>
    <col min="11260" max="11260" width="13.88671875" style="11" customWidth="1"/>
    <col min="11261" max="11262" width="12.109375" style="11" customWidth="1"/>
    <col min="11263" max="11263" width="13.88671875" style="11" bestFit="1" customWidth="1"/>
    <col min="11264" max="11509" width="9.109375" style="11"/>
    <col min="11510" max="11512" width="16.88671875" style="11" customWidth="1"/>
    <col min="11513" max="11513" width="37.88671875" style="11" customWidth="1"/>
    <col min="11514" max="11515" width="12.109375" style="11" customWidth="1"/>
    <col min="11516" max="11516" width="13.88671875" style="11" customWidth="1"/>
    <col min="11517" max="11518" width="12.109375" style="11" customWidth="1"/>
    <col min="11519" max="11519" width="13.88671875" style="11" bestFit="1" customWidth="1"/>
    <col min="11520" max="11765" width="9.109375" style="11"/>
    <col min="11766" max="11768" width="16.88671875" style="11" customWidth="1"/>
    <col min="11769" max="11769" width="37.88671875" style="11" customWidth="1"/>
    <col min="11770" max="11771" width="12.109375" style="11" customWidth="1"/>
    <col min="11772" max="11772" width="13.88671875" style="11" customWidth="1"/>
    <col min="11773" max="11774" width="12.109375" style="11" customWidth="1"/>
    <col min="11775" max="11775" width="13.88671875" style="11" bestFit="1" customWidth="1"/>
    <col min="11776" max="12021" width="9.109375" style="11"/>
    <col min="12022" max="12024" width="16.88671875" style="11" customWidth="1"/>
    <col min="12025" max="12025" width="37.88671875" style="11" customWidth="1"/>
    <col min="12026" max="12027" width="12.109375" style="11" customWidth="1"/>
    <col min="12028" max="12028" width="13.88671875" style="11" customWidth="1"/>
    <col min="12029" max="12030" width="12.109375" style="11" customWidth="1"/>
    <col min="12031" max="12031" width="13.88671875" style="11" bestFit="1" customWidth="1"/>
    <col min="12032" max="12277" width="9.109375" style="11"/>
    <col min="12278" max="12280" width="16.88671875" style="11" customWidth="1"/>
    <col min="12281" max="12281" width="37.88671875" style="11" customWidth="1"/>
    <col min="12282" max="12283" width="12.109375" style="11" customWidth="1"/>
    <col min="12284" max="12284" width="13.88671875" style="11" customWidth="1"/>
    <col min="12285" max="12286" width="12.109375" style="11" customWidth="1"/>
    <col min="12287" max="12287" width="13.88671875" style="11" bestFit="1" customWidth="1"/>
    <col min="12288" max="12533" width="9.109375" style="11"/>
    <col min="12534" max="12536" width="16.88671875" style="11" customWidth="1"/>
    <col min="12537" max="12537" width="37.88671875" style="11" customWidth="1"/>
    <col min="12538" max="12539" width="12.109375" style="11" customWidth="1"/>
    <col min="12540" max="12540" width="13.88671875" style="11" customWidth="1"/>
    <col min="12541" max="12542" width="12.109375" style="11" customWidth="1"/>
    <col min="12543" max="12543" width="13.88671875" style="11" bestFit="1" customWidth="1"/>
    <col min="12544" max="12789" width="9.109375" style="11"/>
    <col min="12790" max="12792" width="16.88671875" style="11" customWidth="1"/>
    <col min="12793" max="12793" width="37.88671875" style="11" customWidth="1"/>
    <col min="12794" max="12795" width="12.109375" style="11" customWidth="1"/>
    <col min="12796" max="12796" width="13.88671875" style="11" customWidth="1"/>
    <col min="12797" max="12798" width="12.109375" style="11" customWidth="1"/>
    <col min="12799" max="12799" width="13.88671875" style="11" bestFit="1" customWidth="1"/>
    <col min="12800" max="13045" width="9.109375" style="11"/>
    <col min="13046" max="13048" width="16.88671875" style="11" customWidth="1"/>
    <col min="13049" max="13049" width="37.88671875" style="11" customWidth="1"/>
    <col min="13050" max="13051" width="12.109375" style="11" customWidth="1"/>
    <col min="13052" max="13052" width="13.88671875" style="11" customWidth="1"/>
    <col min="13053" max="13054" width="12.109375" style="11" customWidth="1"/>
    <col min="13055" max="13055" width="13.88671875" style="11" bestFit="1" customWidth="1"/>
    <col min="13056" max="13301" width="9.109375" style="11"/>
    <col min="13302" max="13304" width="16.88671875" style="11" customWidth="1"/>
    <col min="13305" max="13305" width="37.88671875" style="11" customWidth="1"/>
    <col min="13306" max="13307" width="12.109375" style="11" customWidth="1"/>
    <col min="13308" max="13308" width="13.88671875" style="11" customWidth="1"/>
    <col min="13309" max="13310" width="12.109375" style="11" customWidth="1"/>
    <col min="13311" max="13311" width="13.88671875" style="11" bestFit="1" customWidth="1"/>
    <col min="13312" max="13557" width="9.109375" style="11"/>
    <col min="13558" max="13560" width="16.88671875" style="11" customWidth="1"/>
    <col min="13561" max="13561" width="37.88671875" style="11" customWidth="1"/>
    <col min="13562" max="13563" width="12.109375" style="11" customWidth="1"/>
    <col min="13564" max="13564" width="13.88671875" style="11" customWidth="1"/>
    <col min="13565" max="13566" width="12.109375" style="11" customWidth="1"/>
    <col min="13567" max="13567" width="13.88671875" style="11" bestFit="1" customWidth="1"/>
    <col min="13568" max="13813" width="9.109375" style="11"/>
    <col min="13814" max="13816" width="16.88671875" style="11" customWidth="1"/>
    <col min="13817" max="13817" width="37.88671875" style="11" customWidth="1"/>
    <col min="13818" max="13819" width="12.109375" style="11" customWidth="1"/>
    <col min="13820" max="13820" width="13.88671875" style="11" customWidth="1"/>
    <col min="13821" max="13822" width="12.109375" style="11" customWidth="1"/>
    <col min="13823" max="13823" width="13.88671875" style="11" bestFit="1" customWidth="1"/>
    <col min="13824" max="14069" width="9.109375" style="11"/>
    <col min="14070" max="14072" width="16.88671875" style="11" customWidth="1"/>
    <col min="14073" max="14073" width="37.88671875" style="11" customWidth="1"/>
    <col min="14074" max="14075" width="12.109375" style="11" customWidth="1"/>
    <col min="14076" max="14076" width="13.88671875" style="11" customWidth="1"/>
    <col min="14077" max="14078" width="12.109375" style="11" customWidth="1"/>
    <col min="14079" max="14079" width="13.88671875" style="11" bestFit="1" customWidth="1"/>
    <col min="14080" max="14325" width="9.109375" style="11"/>
    <col min="14326" max="14328" width="16.88671875" style="11" customWidth="1"/>
    <col min="14329" max="14329" width="37.88671875" style="11" customWidth="1"/>
    <col min="14330" max="14331" width="12.109375" style="11" customWidth="1"/>
    <col min="14332" max="14332" width="13.88671875" style="11" customWidth="1"/>
    <col min="14333" max="14334" width="12.109375" style="11" customWidth="1"/>
    <col min="14335" max="14335" width="13.88671875" style="11" bestFit="1" customWidth="1"/>
    <col min="14336" max="14581" width="9.109375" style="11"/>
    <col min="14582" max="14584" width="16.88671875" style="11" customWidth="1"/>
    <col min="14585" max="14585" width="37.88671875" style="11" customWidth="1"/>
    <col min="14586" max="14587" width="12.109375" style="11" customWidth="1"/>
    <col min="14588" max="14588" width="13.88671875" style="11" customWidth="1"/>
    <col min="14589" max="14590" width="12.109375" style="11" customWidth="1"/>
    <col min="14591" max="14591" width="13.88671875" style="11" bestFit="1" customWidth="1"/>
    <col min="14592" max="14837" width="9.109375" style="11"/>
    <col min="14838" max="14840" width="16.88671875" style="11" customWidth="1"/>
    <col min="14841" max="14841" width="37.88671875" style="11" customWidth="1"/>
    <col min="14842" max="14843" width="12.109375" style="11" customWidth="1"/>
    <col min="14844" max="14844" width="13.88671875" style="11" customWidth="1"/>
    <col min="14845" max="14846" width="12.109375" style="11" customWidth="1"/>
    <col min="14847" max="14847" width="13.88671875" style="11" bestFit="1" customWidth="1"/>
    <col min="14848" max="15093" width="9.109375" style="11"/>
    <col min="15094" max="15096" width="16.88671875" style="11" customWidth="1"/>
    <col min="15097" max="15097" width="37.88671875" style="11" customWidth="1"/>
    <col min="15098" max="15099" width="12.109375" style="11" customWidth="1"/>
    <col min="15100" max="15100" width="13.88671875" style="11" customWidth="1"/>
    <col min="15101" max="15102" width="12.109375" style="11" customWidth="1"/>
    <col min="15103" max="15103" width="13.88671875" style="11" bestFit="1" customWidth="1"/>
    <col min="15104" max="15349" width="9.109375" style="11"/>
    <col min="15350" max="15352" width="16.88671875" style="11" customWidth="1"/>
    <col min="15353" max="15353" width="37.88671875" style="11" customWidth="1"/>
    <col min="15354" max="15355" width="12.109375" style="11" customWidth="1"/>
    <col min="15356" max="15356" width="13.88671875" style="11" customWidth="1"/>
    <col min="15357" max="15358" width="12.109375" style="11" customWidth="1"/>
    <col min="15359" max="15359" width="13.88671875" style="11" bestFit="1" customWidth="1"/>
    <col min="15360" max="15605" width="9.109375" style="11"/>
    <col min="15606" max="15608" width="16.88671875" style="11" customWidth="1"/>
    <col min="15609" max="15609" width="37.88671875" style="11" customWidth="1"/>
    <col min="15610" max="15611" width="12.109375" style="11" customWidth="1"/>
    <col min="15612" max="15612" width="13.88671875" style="11" customWidth="1"/>
    <col min="15613" max="15614" width="12.109375" style="11" customWidth="1"/>
    <col min="15615" max="15615" width="13.88671875" style="11" bestFit="1" customWidth="1"/>
    <col min="15616" max="15861" width="9.109375" style="11"/>
    <col min="15862" max="15864" width="16.88671875" style="11" customWidth="1"/>
    <col min="15865" max="15865" width="37.88671875" style="11" customWidth="1"/>
    <col min="15866" max="15867" width="12.109375" style="11" customWidth="1"/>
    <col min="15868" max="15868" width="13.88671875" style="11" customWidth="1"/>
    <col min="15869" max="15870" width="12.109375" style="11" customWidth="1"/>
    <col min="15871" max="15871" width="13.88671875" style="11" bestFit="1" customWidth="1"/>
    <col min="15872" max="16117" width="9.109375" style="11"/>
    <col min="16118" max="16120" width="16.88671875" style="11" customWidth="1"/>
    <col min="16121" max="16121" width="37.88671875" style="11" customWidth="1"/>
    <col min="16122" max="16123" width="12.109375" style="11" customWidth="1"/>
    <col min="16124" max="16124" width="13.88671875" style="11" customWidth="1"/>
    <col min="16125" max="16126" width="12.109375" style="11" customWidth="1"/>
    <col min="16127" max="16127" width="13.88671875" style="11" bestFit="1" customWidth="1"/>
    <col min="16128" max="16384" width="9.109375" style="11"/>
  </cols>
  <sheetData>
    <row r="1" spans="1:29" s="9" customFormat="1" ht="20.399999999999999" x14ac:dyDescent="0.35"/>
    <row r="2" spans="1:29" s="12" customFormat="1" x14ac:dyDescent="0.25">
      <c r="A2" s="12" t="s">
        <v>179</v>
      </c>
      <c r="J2" s="12" t="s">
        <v>186</v>
      </c>
    </row>
    <row r="3" spans="1:29" s="12" customFormat="1" x14ac:dyDescent="0.25">
      <c r="J3" s="12" t="s">
        <v>195</v>
      </c>
    </row>
    <row r="4" spans="1:29" s="13" customFormat="1" ht="52.8" x14ac:dyDescent="0.25">
      <c r="B4" s="13" t="s">
        <v>92</v>
      </c>
      <c r="C4" s="13" t="s">
        <v>93</v>
      </c>
      <c r="D4" s="13" t="s">
        <v>94</v>
      </c>
      <c r="E4" s="13" t="s">
        <v>95</v>
      </c>
      <c r="F4" s="13" t="s">
        <v>96</v>
      </c>
      <c r="G4" s="13" t="s">
        <v>97</v>
      </c>
      <c r="J4" s="79" t="s">
        <v>183</v>
      </c>
    </row>
    <row r="5" spans="1:29" x14ac:dyDescent="0.25">
      <c r="A5" s="11" t="s">
        <v>98</v>
      </c>
      <c r="B5" s="74">
        <v>201.81508096879085</v>
      </c>
      <c r="C5" s="74">
        <v>170.00915783548697</v>
      </c>
      <c r="D5" s="72">
        <v>31.805923133303907</v>
      </c>
      <c r="E5" s="72">
        <v>6.746843686043543</v>
      </c>
      <c r="F5" s="72">
        <v>0.18624038356408457</v>
      </c>
      <c r="G5" s="11">
        <v>41.64</v>
      </c>
      <c r="J5" s="11" t="s">
        <v>180</v>
      </c>
      <c r="AA5" s="80" t="s">
        <v>187</v>
      </c>
      <c r="AB5" s="11" t="s">
        <v>188</v>
      </c>
      <c r="AC5" s="11" t="s">
        <v>189</v>
      </c>
    </row>
    <row r="6" spans="1:29" x14ac:dyDescent="0.25">
      <c r="A6" s="11" t="s">
        <v>99</v>
      </c>
      <c r="B6" s="74">
        <v>232.30875572491263</v>
      </c>
      <c r="C6" s="74">
        <v>190.54321413096736</v>
      </c>
      <c r="D6" s="72">
        <v>41.765541593945258</v>
      </c>
      <c r="E6" s="72">
        <v>7.6067642623820459</v>
      </c>
      <c r="F6" s="72">
        <v>0.24310452040316341</v>
      </c>
      <c r="G6" s="11">
        <v>50.26</v>
      </c>
      <c r="J6" s="11">
        <v>2006</v>
      </c>
      <c r="K6" s="81">
        <v>44.769999999999996</v>
      </c>
      <c r="L6" s="82">
        <v>44.480000000000004</v>
      </c>
      <c r="M6" s="82">
        <v>40.369999999999997</v>
      </c>
      <c r="N6" s="82">
        <v>42.5</v>
      </c>
      <c r="O6" s="82">
        <v>41.21</v>
      </c>
      <c r="P6" s="82">
        <v>39.549999999999997</v>
      </c>
      <c r="Q6" s="82">
        <v>37.269999999999996</v>
      </c>
      <c r="R6" s="82">
        <v>40.54</v>
      </c>
      <c r="S6" s="82">
        <v>41.95</v>
      </c>
      <c r="T6" s="82">
        <v>42.41</v>
      </c>
      <c r="U6" s="82">
        <v>48.09</v>
      </c>
      <c r="V6" s="82">
        <v>47.879999999999995</v>
      </c>
      <c r="W6" s="82">
        <v>47.03</v>
      </c>
      <c r="X6" s="82">
        <v>47.92</v>
      </c>
      <c r="Y6" s="82">
        <v>46.989999999999995</v>
      </c>
      <c r="Z6" s="83">
        <v>55.44</v>
      </c>
      <c r="AA6" s="77">
        <f>AVERAGE(K6:Z6)</f>
        <v>44.274999999999991</v>
      </c>
      <c r="AB6" s="74">
        <f>K13-K6</f>
        <v>4.8050914163767899</v>
      </c>
      <c r="AC6" s="89">
        <f>(K13-K6)/K13</f>
        <v>9.6925518019104678E-2</v>
      </c>
    </row>
    <row r="7" spans="1:29" x14ac:dyDescent="0.25">
      <c r="A7" s="11" t="s">
        <v>100</v>
      </c>
      <c r="B7" s="74">
        <v>249.48886400725664</v>
      </c>
      <c r="C7" s="74">
        <v>214.04328337659496</v>
      </c>
      <c r="D7" s="72">
        <v>35.445580630661638</v>
      </c>
      <c r="E7" s="72">
        <v>8.5558880215175872</v>
      </c>
      <c r="F7" s="72">
        <v>0.20578574754906923</v>
      </c>
      <c r="G7" s="11">
        <v>49.769999999999996</v>
      </c>
      <c r="J7" s="11">
        <v>1995</v>
      </c>
      <c r="K7" s="84">
        <v>46.480000000000004</v>
      </c>
      <c r="L7" s="77">
        <v>47.269999999999996</v>
      </c>
      <c r="M7" s="77">
        <v>41.71</v>
      </c>
      <c r="N7" s="77">
        <v>44.99</v>
      </c>
      <c r="O7" s="77">
        <v>42.260000000000005</v>
      </c>
      <c r="P7" s="77">
        <v>42.31</v>
      </c>
      <c r="Q7" s="77">
        <v>39.92</v>
      </c>
      <c r="R7" s="77">
        <v>43.82</v>
      </c>
      <c r="S7" s="77">
        <v>45.45</v>
      </c>
      <c r="T7" s="77">
        <v>46.78</v>
      </c>
      <c r="U7" s="77">
        <v>51.5</v>
      </c>
      <c r="V7" s="77">
        <v>51</v>
      </c>
      <c r="W7" s="77">
        <v>50.58</v>
      </c>
      <c r="X7" s="77">
        <v>51.03</v>
      </c>
      <c r="Y7" s="77">
        <v>51.97</v>
      </c>
      <c r="Z7" s="85">
        <v>58.16</v>
      </c>
      <c r="AA7" s="77">
        <f t="shared" ref="AA7:AA10" si="0">AVERAGE(K7:Z7)</f>
        <v>47.201875000000001</v>
      </c>
      <c r="AB7" s="74">
        <f t="shared" ref="AB7:AB9" si="1">K14-K7</f>
        <v>4.9966565295387184</v>
      </c>
      <c r="AC7" s="89">
        <f t="shared" ref="AC7:AC9" si="2">(K14-K7)/K14</f>
        <v>9.7066454319376771E-2</v>
      </c>
    </row>
    <row r="8" spans="1:29" x14ac:dyDescent="0.25">
      <c r="A8" s="11" t="s">
        <v>101</v>
      </c>
      <c r="B8" s="74">
        <v>402.4277071598359</v>
      </c>
      <c r="C8" s="74">
        <v>358.28215609017315</v>
      </c>
      <c r="D8" s="72">
        <v>44.145551069662716</v>
      </c>
      <c r="E8" s="72">
        <v>13.818223408033798</v>
      </c>
      <c r="F8" s="72">
        <v>0.2547514284441601</v>
      </c>
      <c r="G8" s="11">
        <v>72.63</v>
      </c>
      <c r="J8" s="11">
        <v>1982</v>
      </c>
      <c r="K8" s="84">
        <v>57.81</v>
      </c>
      <c r="L8" s="77">
        <v>59.95</v>
      </c>
      <c r="M8" s="77">
        <v>52.61</v>
      </c>
      <c r="N8" s="77">
        <v>56.849999999999994</v>
      </c>
      <c r="O8" s="77">
        <v>53.16</v>
      </c>
      <c r="P8" s="77">
        <v>53.510000000000005</v>
      </c>
      <c r="Q8" s="77">
        <v>49.68</v>
      </c>
      <c r="R8" s="77">
        <v>55.519999999999996</v>
      </c>
      <c r="S8" s="77">
        <v>57.43</v>
      </c>
      <c r="T8" s="77">
        <v>59.32</v>
      </c>
      <c r="U8" s="77">
        <v>67.77</v>
      </c>
      <c r="V8" s="77">
        <v>67.010000000000005</v>
      </c>
      <c r="W8" s="77">
        <v>66.150000000000006</v>
      </c>
      <c r="X8" s="77">
        <v>66.83</v>
      </c>
      <c r="Y8" s="77">
        <v>69.92</v>
      </c>
      <c r="Z8" s="85">
        <v>75.13</v>
      </c>
      <c r="AA8" s="77">
        <f t="shared" si="0"/>
        <v>60.540624999999999</v>
      </c>
      <c r="AB8" s="74">
        <f t="shared" si="1"/>
        <v>29.405306118316872</v>
      </c>
      <c r="AC8" s="89">
        <f t="shared" si="2"/>
        <v>0.33715763238192886</v>
      </c>
    </row>
    <row r="9" spans="1:29" x14ac:dyDescent="0.25">
      <c r="A9" s="11" t="s">
        <v>102</v>
      </c>
      <c r="B9" s="74">
        <v>404.33821791720493</v>
      </c>
      <c r="C9" s="74">
        <v>358.70926717068846</v>
      </c>
      <c r="D9" s="72">
        <v>45.628950746516459</v>
      </c>
      <c r="E9" s="72">
        <v>13.831382583856117</v>
      </c>
      <c r="F9" s="72">
        <v>0.26312677214139069</v>
      </c>
      <c r="G9" s="11">
        <v>73.5</v>
      </c>
      <c r="J9" s="11" t="s">
        <v>178</v>
      </c>
      <c r="K9" s="84">
        <v>60.539999999999992</v>
      </c>
      <c r="L9" s="77">
        <v>62.730000000000004</v>
      </c>
      <c r="M9" s="77">
        <v>54.75</v>
      </c>
      <c r="N9" s="77">
        <v>59.33</v>
      </c>
      <c r="O9" s="77">
        <v>55.33</v>
      </c>
      <c r="P9" s="77">
        <v>55.53</v>
      </c>
      <c r="Q9" s="77">
        <v>51.5</v>
      </c>
      <c r="R9" s="77">
        <v>57.72</v>
      </c>
      <c r="S9" s="77">
        <v>59.95</v>
      </c>
      <c r="T9" s="77">
        <v>62.03</v>
      </c>
      <c r="U9" s="77">
        <v>71.25</v>
      </c>
      <c r="V9" s="77">
        <v>70.38</v>
      </c>
      <c r="W9" s="77">
        <v>69.45</v>
      </c>
      <c r="X9" s="77">
        <v>70.22</v>
      </c>
      <c r="Y9" s="77">
        <v>73.510000000000005</v>
      </c>
      <c r="Z9" s="85">
        <v>79.319999999999993</v>
      </c>
      <c r="AA9" s="77">
        <f t="shared" si="0"/>
        <v>63.346249999999998</v>
      </c>
      <c r="AB9" s="74">
        <f t="shared" si="1"/>
        <v>31.528334095980114</v>
      </c>
      <c r="AC9" s="89">
        <f t="shared" si="2"/>
        <v>0.34244492860175152</v>
      </c>
    </row>
    <row r="10" spans="1:29" x14ac:dyDescent="0.25">
      <c r="A10" s="11" t="s">
        <v>103</v>
      </c>
      <c r="B10" s="74">
        <v>246.12616472360463</v>
      </c>
      <c r="C10" s="74">
        <v>223.14567538783623</v>
      </c>
      <c r="D10" s="72">
        <v>22.980489335768404</v>
      </c>
      <c r="E10" s="72">
        <v>7.9933966019762419</v>
      </c>
      <c r="F10" s="72">
        <v>0.13337527485654818</v>
      </c>
      <c r="G10" s="11">
        <v>40.61</v>
      </c>
      <c r="J10" s="11" t="s">
        <v>181</v>
      </c>
      <c r="K10" s="86">
        <v>60.15</v>
      </c>
      <c r="L10" s="87">
        <v>59.49</v>
      </c>
      <c r="M10" s="87">
        <v>52.79</v>
      </c>
      <c r="N10" s="87">
        <v>55.6</v>
      </c>
      <c r="O10" s="87">
        <v>53.42</v>
      </c>
      <c r="P10" s="87">
        <v>51.14</v>
      </c>
      <c r="Q10" s="87">
        <v>47.4</v>
      </c>
      <c r="R10" s="87">
        <v>52.61</v>
      </c>
      <c r="S10" s="87">
        <v>54.64</v>
      </c>
      <c r="T10" s="87">
        <v>56.42</v>
      </c>
      <c r="U10" s="87">
        <v>65.33</v>
      </c>
      <c r="V10" s="87">
        <v>64.56</v>
      </c>
      <c r="W10" s="87">
        <v>63.120000000000005</v>
      </c>
      <c r="X10" s="87">
        <v>64.39</v>
      </c>
      <c r="Y10" s="87">
        <v>62.75</v>
      </c>
      <c r="Z10" s="88">
        <v>76.429999999999993</v>
      </c>
      <c r="AA10" s="77">
        <f t="shared" si="0"/>
        <v>58.764999999999993</v>
      </c>
    </row>
    <row r="11" spans="1:29" x14ac:dyDescent="0.25">
      <c r="A11" s="11" t="s">
        <v>104</v>
      </c>
      <c r="B11" s="74">
        <v>290.93196839807729</v>
      </c>
      <c r="C11" s="74">
        <v>257.53897111525953</v>
      </c>
      <c r="D11" s="72">
        <v>33.392997687762964</v>
      </c>
      <c r="E11" s="72">
        <v>9.1009679846866582</v>
      </c>
      <c r="F11" s="72">
        <v>0.1912105269551766</v>
      </c>
      <c r="G11" s="11">
        <v>50.17</v>
      </c>
      <c r="J11" s="11" t="s">
        <v>182</v>
      </c>
    </row>
    <row r="12" spans="1:29" x14ac:dyDescent="0.25">
      <c r="A12" s="11" t="s">
        <v>105</v>
      </c>
      <c r="B12" s="74">
        <v>330.2807367572799</v>
      </c>
      <c r="C12" s="74">
        <v>302.11619254333925</v>
      </c>
      <c r="D12" s="72">
        <v>28.164544213940641</v>
      </c>
      <c r="E12" s="72">
        <v>10.646467177689759</v>
      </c>
      <c r="F12" s="72">
        <v>0.16157704284725061</v>
      </c>
      <c r="G12" s="11">
        <v>52.489999999999995</v>
      </c>
      <c r="J12" s="11">
        <v>2013</v>
      </c>
      <c r="K12" s="81">
        <v>41.634134449902206</v>
      </c>
      <c r="L12" s="82">
        <v>40.604959363750119</v>
      </c>
      <c r="M12" s="82">
        <v>37.977779847497644</v>
      </c>
      <c r="N12" s="82">
        <v>39.316444419247851</v>
      </c>
      <c r="O12" s="82">
        <v>38.261862261942845</v>
      </c>
      <c r="P12" s="82">
        <v>38.674863837179636</v>
      </c>
      <c r="Q12" s="82">
        <v>37.22041855134907</v>
      </c>
      <c r="R12" s="82">
        <v>38.738710735501947</v>
      </c>
      <c r="S12" s="82">
        <v>39.822314099786595</v>
      </c>
      <c r="T12" s="82">
        <v>40.376300987661317</v>
      </c>
      <c r="U12" s="82">
        <v>44.091995448416057</v>
      </c>
      <c r="V12" s="82">
        <v>41.954568794113712</v>
      </c>
      <c r="W12" s="82">
        <v>43.504540245477777</v>
      </c>
      <c r="X12" s="82">
        <v>44.312526169582945</v>
      </c>
      <c r="Y12" s="82">
        <v>45.404542675148917</v>
      </c>
      <c r="Z12" s="83">
        <v>47.783174527327731</v>
      </c>
      <c r="AA12" s="77">
        <f t="shared" ref="AA12:AA17" si="3">AVERAGE(K12:Z12)</f>
        <v>41.229946025867903</v>
      </c>
    </row>
    <row r="13" spans="1:29" x14ac:dyDescent="0.25">
      <c r="A13" s="11" t="s">
        <v>106</v>
      </c>
      <c r="B13" s="74">
        <v>492.03447176924601</v>
      </c>
      <c r="C13" s="74">
        <v>455.95830967778511</v>
      </c>
      <c r="D13" s="72">
        <v>36.076162091460922</v>
      </c>
      <c r="E13" s="72">
        <v>16.337944179478026</v>
      </c>
      <c r="F13" s="72">
        <v>0.20527113105241207</v>
      </c>
      <c r="G13" s="11">
        <v>76.28</v>
      </c>
      <c r="J13" s="11">
        <v>2006</v>
      </c>
      <c r="K13" s="84">
        <v>49.575091416376786</v>
      </c>
      <c r="L13" s="77">
        <v>49.690304397299833</v>
      </c>
      <c r="M13" s="77">
        <v>44.919163221258003</v>
      </c>
      <c r="N13" s="77">
        <v>47.683187890519015</v>
      </c>
      <c r="O13" s="77">
        <v>45.926331965968402</v>
      </c>
      <c r="P13" s="77">
        <v>45.490921938715587</v>
      </c>
      <c r="Q13" s="77">
        <v>43.142580391743977</v>
      </c>
      <c r="R13" s="77">
        <v>46.916873661149964</v>
      </c>
      <c r="S13" s="77">
        <v>48.791018315670975</v>
      </c>
      <c r="T13" s="77">
        <v>48.367527445160299</v>
      </c>
      <c r="U13" s="77">
        <v>54.553542258055366</v>
      </c>
      <c r="V13" s="77">
        <v>51.35346896297586</v>
      </c>
      <c r="W13" s="77">
        <v>53.528216580885775</v>
      </c>
      <c r="X13" s="77">
        <v>54.954679749095959</v>
      </c>
      <c r="Y13" s="77">
        <v>55.057044224064271</v>
      </c>
      <c r="Z13" s="85">
        <v>61.656466772222387</v>
      </c>
      <c r="AA13" s="77">
        <f t="shared" si="3"/>
        <v>50.100401199447653</v>
      </c>
    </row>
    <row r="14" spans="1:29" x14ac:dyDescent="0.25">
      <c r="A14" s="11" t="s">
        <v>107</v>
      </c>
      <c r="B14" s="74">
        <v>495.06861593783276</v>
      </c>
      <c r="C14" s="74">
        <v>458.26738004511088</v>
      </c>
      <c r="D14" s="72">
        <v>36.801235487776729</v>
      </c>
      <c r="E14" s="72">
        <v>16.398832412464369</v>
      </c>
      <c r="F14" s="72">
        <v>0.20922999671994397</v>
      </c>
      <c r="G14" s="11">
        <v>76.87</v>
      </c>
      <c r="J14" s="11">
        <v>1995</v>
      </c>
      <c r="K14" s="84">
        <v>51.476656529538722</v>
      </c>
      <c r="L14" s="77">
        <v>54.447986005094215</v>
      </c>
      <c r="M14" s="77">
        <v>48.179314184825081</v>
      </c>
      <c r="N14" s="77">
        <v>52.502143374894203</v>
      </c>
      <c r="O14" s="77">
        <v>48.837543278517252</v>
      </c>
      <c r="P14" s="77">
        <v>51.364905020105525</v>
      </c>
      <c r="Q14" s="77">
        <v>49.110053574248724</v>
      </c>
      <c r="R14" s="77">
        <v>53.359372253965425</v>
      </c>
      <c r="S14" s="77">
        <v>54.956007564376165</v>
      </c>
      <c r="T14" s="77">
        <v>56.453516341563173</v>
      </c>
      <c r="U14" s="77">
        <v>60.019483532903813</v>
      </c>
      <c r="V14" s="77">
        <v>56.562670937488605</v>
      </c>
      <c r="W14" s="77">
        <v>59.334216653775918</v>
      </c>
      <c r="X14" s="77">
        <v>59.913545821573052</v>
      </c>
      <c r="Y14" s="77">
        <v>63.049371322591476</v>
      </c>
      <c r="Z14" s="85">
        <v>65.059680417255521</v>
      </c>
      <c r="AA14" s="77">
        <f t="shared" si="3"/>
        <v>55.289154175794806</v>
      </c>
    </row>
    <row r="15" spans="1:29" x14ac:dyDescent="0.25">
      <c r="A15" s="11" t="s">
        <v>108</v>
      </c>
      <c r="B15" s="74">
        <v>219.99386993970367</v>
      </c>
      <c r="C15" s="74">
        <v>197.74572276642354</v>
      </c>
      <c r="D15" s="72">
        <v>22.248147173280096</v>
      </c>
      <c r="E15" s="72">
        <v>7.32908805189465</v>
      </c>
      <c r="F15" s="72">
        <v>0.1298241849465675</v>
      </c>
      <c r="G15" s="11">
        <v>37.99</v>
      </c>
      <c r="J15" s="11">
        <v>1982</v>
      </c>
      <c r="K15" s="84">
        <v>87.215306118316875</v>
      </c>
      <c r="L15" s="77">
        <v>91.962909450205913</v>
      </c>
      <c r="M15" s="77">
        <v>85.33653334521172</v>
      </c>
      <c r="N15" s="77">
        <v>90.310665851377024</v>
      </c>
      <c r="O15" s="77">
        <v>85.952176377927245</v>
      </c>
      <c r="P15" s="77">
        <v>87.369862359129684</v>
      </c>
      <c r="Q15" s="77">
        <v>84.757574702264037</v>
      </c>
      <c r="R15" s="77">
        <v>89.763956638468983</v>
      </c>
      <c r="S15" s="77">
        <v>91.909791979655566</v>
      </c>
      <c r="T15" s="77">
        <v>93.489221168914781</v>
      </c>
      <c r="U15" s="77">
        <v>100.07448561837154</v>
      </c>
      <c r="V15" s="77">
        <v>95.372099276362931</v>
      </c>
      <c r="W15" s="77">
        <v>99.402901027345933</v>
      </c>
      <c r="X15" s="77">
        <v>99.605148878099342</v>
      </c>
      <c r="Y15" s="77">
        <v>107.04459661384831</v>
      </c>
      <c r="Z15" s="85">
        <v>102.94840512336656</v>
      </c>
      <c r="AA15" s="77">
        <f t="shared" si="3"/>
        <v>93.282227158054141</v>
      </c>
    </row>
    <row r="16" spans="1:29" x14ac:dyDescent="0.25">
      <c r="A16" s="11" t="s">
        <v>109</v>
      </c>
      <c r="B16" s="74">
        <v>253.82653403361854</v>
      </c>
      <c r="C16" s="74">
        <v>224.16604210620093</v>
      </c>
      <c r="D16" s="72">
        <v>29.660492332362811</v>
      </c>
      <c r="E16" s="72">
        <v>8.2606055964346208</v>
      </c>
      <c r="F16" s="72">
        <v>0.17131625409500825</v>
      </c>
      <c r="G16" s="11">
        <v>45.32</v>
      </c>
      <c r="J16" s="11" t="s">
        <v>178</v>
      </c>
      <c r="K16" s="86">
        <v>92.068334095980106</v>
      </c>
      <c r="L16" s="87">
        <v>97.234781552316889</v>
      </c>
      <c r="M16" s="87">
        <v>89.87793332172491</v>
      </c>
      <c r="N16" s="87">
        <v>95.350418105909355</v>
      </c>
      <c r="O16" s="87">
        <v>90.596751124735263</v>
      </c>
      <c r="P16" s="87">
        <v>91.925679194321035</v>
      </c>
      <c r="Q16" s="87">
        <v>89.124152550952218</v>
      </c>
      <c r="R16" s="87">
        <v>94.57925020348496</v>
      </c>
      <c r="S16" s="87">
        <v>97.079050565505952</v>
      </c>
      <c r="T16" s="87">
        <v>98.83909948288499</v>
      </c>
      <c r="U16" s="87">
        <v>106.14718016416478</v>
      </c>
      <c r="V16" s="87">
        <v>100.99533138689678</v>
      </c>
      <c r="W16" s="87">
        <v>105.42177754740895</v>
      </c>
      <c r="X16" s="87">
        <v>105.639445711023</v>
      </c>
      <c r="Y16" s="87">
        <v>113.70364815122272</v>
      </c>
      <c r="Z16" s="88">
        <v>109.55935443637703</v>
      </c>
      <c r="AA16" s="77">
        <f t="shared" si="3"/>
        <v>98.633886724681815</v>
      </c>
    </row>
    <row r="17" spans="1:29" s="14" customFormat="1" x14ac:dyDescent="0.25">
      <c r="A17" s="14" t="s">
        <v>110</v>
      </c>
      <c r="B17" s="75">
        <v>285.41299145160701</v>
      </c>
      <c r="C17" s="75">
        <v>260.97415801771228</v>
      </c>
      <c r="D17" s="73">
        <v>24.438833838839916</v>
      </c>
      <c r="E17" s="73">
        <v>9.5732773269606746</v>
      </c>
      <c r="F17" s="73">
        <v>0.14153274184339149</v>
      </c>
      <c r="G17" s="14">
        <v>46.809999999999995</v>
      </c>
      <c r="J17" s="14" t="s">
        <v>181</v>
      </c>
      <c r="K17" s="78">
        <v>70.986640048269464</v>
      </c>
      <c r="L17" s="78">
        <v>73.970337764783523</v>
      </c>
      <c r="M17" s="78">
        <v>65.589194847477387</v>
      </c>
      <c r="N17" s="78">
        <v>70.788453797778459</v>
      </c>
      <c r="O17" s="78">
        <v>66.306054740490879</v>
      </c>
      <c r="P17" s="78">
        <v>66.415704179439317</v>
      </c>
      <c r="Q17" s="78">
        <v>62.324042405860368</v>
      </c>
      <c r="R17" s="78">
        <v>68.702771039939734</v>
      </c>
      <c r="S17" s="78">
        <v>70.953445071209615</v>
      </c>
      <c r="T17" s="78">
        <v>72.676995063718124</v>
      </c>
      <c r="U17" s="78">
        <v>81.653998631285248</v>
      </c>
      <c r="V17" s="78">
        <v>76.712114745269233</v>
      </c>
      <c r="W17" s="78">
        <v>79.694617873470833</v>
      </c>
      <c r="X17" s="78">
        <v>80.592524711780257</v>
      </c>
      <c r="Y17" s="78">
        <v>82.280730278156852</v>
      </c>
      <c r="Z17" s="78">
        <v>91.026559545165568</v>
      </c>
      <c r="AA17" s="77">
        <f t="shared" si="3"/>
        <v>73.79213654650593</v>
      </c>
    </row>
    <row r="18" spans="1:29" s="14" customFormat="1" x14ac:dyDescent="0.25">
      <c r="A18" s="14" t="s">
        <v>111</v>
      </c>
      <c r="B18" s="75">
        <v>441.63688848214395</v>
      </c>
      <c r="C18" s="75">
        <v>410.08919241780626</v>
      </c>
      <c r="D18" s="73">
        <v>31.547696064337693</v>
      </c>
      <c r="E18" s="73">
        <v>15.27116722688276</v>
      </c>
      <c r="F18" s="73">
        <v>0.18094554702021079</v>
      </c>
      <c r="G18" s="14">
        <v>70.2</v>
      </c>
    </row>
    <row r="19" spans="1:29" x14ac:dyDescent="0.25">
      <c r="A19" s="11" t="s">
        <v>112</v>
      </c>
      <c r="B19" s="74">
        <v>443.77707362308507</v>
      </c>
      <c r="C19" s="74">
        <v>411.36107909794407</v>
      </c>
      <c r="D19" s="72">
        <v>32.415994525141024</v>
      </c>
      <c r="E19" s="72">
        <v>15.308644833069534</v>
      </c>
      <c r="F19" s="72">
        <v>0.18573484593860221</v>
      </c>
      <c r="G19" s="11">
        <v>70.8</v>
      </c>
    </row>
    <row r="20" spans="1:29" x14ac:dyDescent="0.25">
      <c r="A20" s="11" t="s">
        <v>113</v>
      </c>
      <c r="B20" s="74">
        <v>245.3942096887186</v>
      </c>
      <c r="C20" s="74">
        <v>226.00452323777978</v>
      </c>
      <c r="D20" s="72">
        <v>19.389686450938864</v>
      </c>
      <c r="E20" s="72">
        <v>8.2113848170837525</v>
      </c>
      <c r="F20" s="72">
        <v>0.1131105621854082</v>
      </c>
      <c r="G20" s="11">
        <v>39.33</v>
      </c>
      <c r="J20" s="12" t="s">
        <v>184</v>
      </c>
    </row>
    <row r="21" spans="1:29" x14ac:dyDescent="0.25">
      <c r="A21" s="11" t="s">
        <v>114</v>
      </c>
      <c r="B21" s="74">
        <v>289.17611754748992</v>
      </c>
      <c r="C21" s="74">
        <v>260.95712764277357</v>
      </c>
      <c r="D21" s="72">
        <v>28.218989499771205</v>
      </c>
      <c r="E21" s="72">
        <v>9.3460732856513467</v>
      </c>
      <c r="F21" s="72">
        <v>0.16159500216645678</v>
      </c>
      <c r="G21" s="11">
        <v>48.05</v>
      </c>
    </row>
    <row r="22" spans="1:29" x14ac:dyDescent="0.25">
      <c r="A22" s="11" t="s">
        <v>115</v>
      </c>
      <c r="B22" s="74">
        <v>326.89392784686595</v>
      </c>
      <c r="C22" s="74">
        <v>303.34720972516368</v>
      </c>
      <c r="D22" s="72">
        <v>23.546717716757037</v>
      </c>
      <c r="E22" s="72">
        <v>10.892166247936075</v>
      </c>
      <c r="F22" s="72">
        <v>0.13574770294840593</v>
      </c>
      <c r="G22" s="11">
        <v>50.73</v>
      </c>
      <c r="J22" s="11" t="s">
        <v>180</v>
      </c>
      <c r="AB22" s="11" t="s">
        <v>188</v>
      </c>
      <c r="AC22" s="11" t="s">
        <v>189</v>
      </c>
    </row>
    <row r="23" spans="1:29" ht="12.75" customHeight="1" x14ac:dyDescent="0.25">
      <c r="A23" s="11" t="s">
        <v>116</v>
      </c>
      <c r="B23" s="74">
        <v>487.53377809813441</v>
      </c>
      <c r="C23" s="74">
        <v>456.96834745917141</v>
      </c>
      <c r="D23" s="72">
        <v>30.565430638963015</v>
      </c>
      <c r="E23" s="72">
        <v>16.666092915191431</v>
      </c>
      <c r="F23" s="72">
        <v>0.17406817657230095</v>
      </c>
      <c r="G23" s="11">
        <v>74.27</v>
      </c>
      <c r="J23" s="11">
        <v>2006</v>
      </c>
      <c r="K23" s="81">
        <v>33.57</v>
      </c>
      <c r="L23" s="82">
        <v>35.72</v>
      </c>
      <c r="M23" s="82">
        <v>34.49</v>
      </c>
      <c r="N23" s="82">
        <v>36.25</v>
      </c>
      <c r="O23" s="82">
        <v>35.1</v>
      </c>
      <c r="P23" s="82">
        <v>36.270000000000003</v>
      </c>
      <c r="Q23" s="82">
        <v>35.299999999999997</v>
      </c>
      <c r="R23" s="82">
        <v>36.75</v>
      </c>
      <c r="S23" s="82">
        <v>37.18</v>
      </c>
      <c r="T23" s="82">
        <v>37.119999999999997</v>
      </c>
      <c r="U23" s="82">
        <v>37.840000000000003</v>
      </c>
      <c r="V23" s="82">
        <v>38.31</v>
      </c>
      <c r="W23" s="82">
        <v>37.86</v>
      </c>
      <c r="X23" s="82">
        <v>38.29</v>
      </c>
      <c r="Y23" s="82">
        <v>40.799999999999997</v>
      </c>
      <c r="Z23" s="83">
        <v>37.49</v>
      </c>
      <c r="AA23" s="77">
        <f t="shared" ref="AA23:AA27" si="4">AVERAGE(K23:Z23)</f>
        <v>36.771250000000002</v>
      </c>
      <c r="AB23" s="74">
        <f>K30-K23</f>
        <v>2.1239480204642547</v>
      </c>
      <c r="AC23" s="89">
        <f>(K30-K23)/K30</f>
        <v>5.950442969341864E-2</v>
      </c>
    </row>
    <row r="24" spans="1:29" ht="12.75" customHeight="1" x14ac:dyDescent="0.25">
      <c r="A24" s="11" t="s">
        <v>117</v>
      </c>
      <c r="B24" s="74">
        <v>490.43280906429311</v>
      </c>
      <c r="C24" s="74">
        <v>459.08204432530056</v>
      </c>
      <c r="D24" s="72">
        <v>31.350764738992577</v>
      </c>
      <c r="E24" s="72">
        <v>16.725576064323043</v>
      </c>
      <c r="F24" s="72">
        <v>0.17835670811955601</v>
      </c>
      <c r="G24" s="11">
        <v>74.91</v>
      </c>
      <c r="J24" s="11">
        <v>1995</v>
      </c>
      <c r="K24" s="84">
        <v>34.54</v>
      </c>
      <c r="L24" s="77">
        <v>38.33</v>
      </c>
      <c r="M24" s="77">
        <v>35.78</v>
      </c>
      <c r="N24" s="77">
        <v>38.14</v>
      </c>
      <c r="O24" s="77">
        <v>36.36</v>
      </c>
      <c r="P24" s="77">
        <v>38.36</v>
      </c>
      <c r="Q24" s="77">
        <v>37.25</v>
      </c>
      <c r="R24" s="77">
        <v>39.08</v>
      </c>
      <c r="S24" s="77">
        <v>39.629999999999995</v>
      </c>
      <c r="T24" s="77">
        <v>40.28</v>
      </c>
      <c r="U24" s="77">
        <v>40.31</v>
      </c>
      <c r="V24" s="77">
        <v>40.79</v>
      </c>
      <c r="W24" s="77">
        <v>40.28</v>
      </c>
      <c r="X24" s="77">
        <v>40.769999999999996</v>
      </c>
      <c r="Y24" s="77">
        <v>44.33</v>
      </c>
      <c r="Z24" s="85">
        <v>39.46</v>
      </c>
      <c r="AA24" s="77">
        <f t="shared" si="4"/>
        <v>38.980625000000003</v>
      </c>
      <c r="AB24" s="74">
        <f t="shared" ref="AB24:AB26" si="5">K31-K24</f>
        <v>3.2381498639923976</v>
      </c>
      <c r="AC24" s="89">
        <f t="shared" ref="AC24:AC26" si="6">(K31-K24)/K31</f>
        <v>8.571488745876317E-2</v>
      </c>
    </row>
    <row r="25" spans="1:29" ht="12.75" customHeight="1" x14ac:dyDescent="0.25">
      <c r="A25" s="11" t="s">
        <v>118</v>
      </c>
      <c r="B25" s="74">
        <v>217.61058607717445</v>
      </c>
      <c r="C25" s="74">
        <v>195.47086986276409</v>
      </c>
      <c r="D25" s="72">
        <v>22.139716619355571</v>
      </c>
      <c r="E25" s="72">
        <v>7.4119609396800028</v>
      </c>
      <c r="F25" s="72">
        <v>0.12982748929932333</v>
      </c>
      <c r="G25" s="11">
        <v>38.269999999999996</v>
      </c>
      <c r="J25" s="11">
        <v>1982</v>
      </c>
      <c r="K25" s="84">
        <v>37.97</v>
      </c>
      <c r="L25" s="77">
        <v>41.08</v>
      </c>
      <c r="M25" s="77">
        <v>37.97</v>
      </c>
      <c r="N25" s="77">
        <v>40.739999999999995</v>
      </c>
      <c r="O25" s="77">
        <v>38.68</v>
      </c>
      <c r="P25" s="77">
        <v>40.89</v>
      </c>
      <c r="Q25" s="77">
        <v>39.33</v>
      </c>
      <c r="R25" s="77">
        <v>41.730000000000004</v>
      </c>
      <c r="S25" s="77">
        <v>42.35</v>
      </c>
      <c r="T25" s="77">
        <v>43.21</v>
      </c>
      <c r="U25" s="77">
        <v>44.55</v>
      </c>
      <c r="V25" s="77">
        <v>45.160000000000004</v>
      </c>
      <c r="W25" s="77">
        <v>44.21</v>
      </c>
      <c r="X25" s="77">
        <v>45.099999999999994</v>
      </c>
      <c r="Y25" s="77">
        <v>48.89</v>
      </c>
      <c r="Z25" s="85">
        <v>44.669999999999995</v>
      </c>
      <c r="AA25" s="77">
        <f t="shared" si="4"/>
        <v>42.283124999999998</v>
      </c>
      <c r="AB25" s="74">
        <f t="shared" si="5"/>
        <v>4.3229506313553401</v>
      </c>
      <c r="AC25" s="89">
        <f t="shared" si="6"/>
        <v>0.10221444866867178</v>
      </c>
    </row>
    <row r="26" spans="1:29" ht="12.75" customHeight="1" x14ac:dyDescent="0.25">
      <c r="A26" s="11" t="s">
        <v>119</v>
      </c>
      <c r="B26" s="74">
        <v>251.53597654557456</v>
      </c>
      <c r="C26" s="74">
        <v>220.96309936950033</v>
      </c>
      <c r="D26" s="72">
        <v>30.572877176074218</v>
      </c>
      <c r="E26" s="72">
        <v>8.3751489485018826</v>
      </c>
      <c r="F26" s="72">
        <v>0.17773046848109109</v>
      </c>
      <c r="G26" s="11">
        <v>46.349999999999994</v>
      </c>
      <c r="J26" s="11" t="s">
        <v>178</v>
      </c>
      <c r="K26" s="84">
        <v>38.729999999999997</v>
      </c>
      <c r="L26" s="77">
        <v>41.99</v>
      </c>
      <c r="M26" s="77">
        <v>38.65</v>
      </c>
      <c r="N26" s="77">
        <v>41.63</v>
      </c>
      <c r="O26" s="77">
        <v>39.409999999999997</v>
      </c>
      <c r="P26" s="77">
        <v>41.75</v>
      </c>
      <c r="Q26" s="77">
        <v>40.059999999999995</v>
      </c>
      <c r="R26" s="77">
        <v>42.66</v>
      </c>
      <c r="S26" s="77">
        <v>43.349999999999994</v>
      </c>
      <c r="T26" s="77">
        <v>44.28</v>
      </c>
      <c r="U26" s="77">
        <v>45.790000000000006</v>
      </c>
      <c r="V26" s="77">
        <v>46.430000000000007</v>
      </c>
      <c r="W26" s="77">
        <v>45.41</v>
      </c>
      <c r="X26" s="77">
        <v>46.37</v>
      </c>
      <c r="Y26" s="77">
        <v>50.41</v>
      </c>
      <c r="Z26" s="85">
        <v>45.949999999999996</v>
      </c>
      <c r="AA26" s="77">
        <f t="shared" si="4"/>
        <v>43.304375</v>
      </c>
      <c r="AB26" s="74">
        <f t="shared" si="5"/>
        <v>4.6083061706564052</v>
      </c>
      <c r="AC26" s="89">
        <f t="shared" si="6"/>
        <v>0.10633332443842966</v>
      </c>
    </row>
    <row r="27" spans="1:29" ht="12.75" customHeight="1" x14ac:dyDescent="0.25">
      <c r="A27" s="11" t="s">
        <v>120</v>
      </c>
      <c r="B27" s="74">
        <v>281.92855835462672</v>
      </c>
      <c r="C27" s="74">
        <v>257.37048637966853</v>
      </c>
      <c r="D27" s="72">
        <v>24.558071974958189</v>
      </c>
      <c r="E27" s="72">
        <v>9.7144885510672125</v>
      </c>
      <c r="F27" s="72">
        <v>0.14299687787257995</v>
      </c>
      <c r="G27" s="11">
        <v>47.45</v>
      </c>
      <c r="J27" s="11" t="s">
        <v>181</v>
      </c>
      <c r="K27" s="86">
        <v>37.11</v>
      </c>
      <c r="L27" s="87">
        <v>40.200000000000003</v>
      </c>
      <c r="M27" s="87">
        <v>37.47</v>
      </c>
      <c r="N27" s="87">
        <v>39.6</v>
      </c>
      <c r="O27" s="87">
        <v>38.18</v>
      </c>
      <c r="P27" s="87">
        <v>39.32</v>
      </c>
      <c r="Q27" s="87">
        <v>37.809999999999995</v>
      </c>
      <c r="R27" s="87">
        <v>39.93</v>
      </c>
      <c r="S27" s="87">
        <v>40.54</v>
      </c>
      <c r="T27" s="87">
        <v>41.309999999999995</v>
      </c>
      <c r="U27" s="87">
        <v>42.18</v>
      </c>
      <c r="V27" s="87">
        <v>42.72</v>
      </c>
      <c r="W27" s="87">
        <v>41.86</v>
      </c>
      <c r="X27" s="87">
        <v>42.650000000000006</v>
      </c>
      <c r="Y27" s="87">
        <v>45.14</v>
      </c>
      <c r="Z27" s="88">
        <v>42.85</v>
      </c>
      <c r="AA27" s="77">
        <f t="shared" si="4"/>
        <v>40.554375</v>
      </c>
    </row>
    <row r="28" spans="1:29" ht="12.75" customHeight="1" x14ac:dyDescent="0.25">
      <c r="A28" s="11" t="s">
        <v>121</v>
      </c>
      <c r="B28" s="74">
        <v>436.31028520289777</v>
      </c>
      <c r="C28" s="74">
        <v>404.36014124488253</v>
      </c>
      <c r="D28" s="72">
        <v>31.950143958015282</v>
      </c>
      <c r="E28" s="72">
        <v>15.370123749588689</v>
      </c>
      <c r="F28" s="72">
        <v>0.18443898488339602</v>
      </c>
      <c r="G28" s="11">
        <v>70.88</v>
      </c>
      <c r="J28" s="11" t="s">
        <v>182</v>
      </c>
    </row>
    <row r="29" spans="1:29" ht="12.75" customHeight="1" x14ac:dyDescent="0.25">
      <c r="A29" s="11" t="s">
        <v>122</v>
      </c>
      <c r="B29" s="74">
        <v>438.29930632888841</v>
      </c>
      <c r="C29" s="74">
        <v>405.63578176693784</v>
      </c>
      <c r="D29" s="72">
        <v>32.663524561950538</v>
      </c>
      <c r="E29" s="72">
        <v>15.409873060316668</v>
      </c>
      <c r="F29" s="72">
        <v>0.18842909207238798</v>
      </c>
      <c r="G29" s="11">
        <v>71.42</v>
      </c>
      <c r="J29" s="11">
        <v>2013</v>
      </c>
      <c r="K29" s="81">
        <v>33.289935698206875</v>
      </c>
      <c r="L29" s="82">
        <v>35.505886111599516</v>
      </c>
      <c r="M29" s="82">
        <v>33.983453200387892</v>
      </c>
      <c r="N29" s="82">
        <v>35.684993091011272</v>
      </c>
      <c r="O29" s="82">
        <v>34.389840085484643</v>
      </c>
      <c r="P29" s="82">
        <v>36.347157898779919</v>
      </c>
      <c r="Q29" s="82">
        <v>35.662909031990175</v>
      </c>
      <c r="R29" s="82">
        <v>36.667727890816536</v>
      </c>
      <c r="S29" s="82">
        <v>36.939398538549845</v>
      </c>
      <c r="T29" s="82">
        <v>37.305852009479985</v>
      </c>
      <c r="U29" s="82">
        <v>37.519732989167309</v>
      </c>
      <c r="V29" s="82">
        <v>36.544481078171415</v>
      </c>
      <c r="W29" s="82">
        <v>37.606910051511171</v>
      </c>
      <c r="X29" s="82">
        <v>37.992160148326505</v>
      </c>
      <c r="Y29" s="82">
        <v>40.761050513088669</v>
      </c>
      <c r="Z29" s="83">
        <v>36.410560991985726</v>
      </c>
      <c r="AA29" s="77">
        <f t="shared" ref="AA29:AA34" si="7">AVERAGE(K29:Z29)</f>
        <v>36.413253083034839</v>
      </c>
    </row>
    <row r="30" spans="1:29" ht="12.75" customHeight="1" x14ac:dyDescent="0.25">
      <c r="A30" s="11" t="s">
        <v>123</v>
      </c>
      <c r="B30" s="74">
        <v>237.79305357019928</v>
      </c>
      <c r="C30" s="74">
        <v>220.56186955095629</v>
      </c>
      <c r="D30" s="72">
        <v>17.231184019242995</v>
      </c>
      <c r="E30" s="72">
        <v>8.390473014483339</v>
      </c>
      <c r="F30" s="72">
        <v>0.10059194078081532</v>
      </c>
      <c r="G30" s="11">
        <v>38.69</v>
      </c>
      <c r="J30" s="11">
        <v>2006</v>
      </c>
      <c r="K30" s="84">
        <v>35.693948020464255</v>
      </c>
      <c r="L30" s="77">
        <v>38.34304317693779</v>
      </c>
      <c r="M30" s="77">
        <v>36.818520042593157</v>
      </c>
      <c r="N30" s="77">
        <v>38.911552824817093</v>
      </c>
      <c r="O30" s="77">
        <v>37.470079165767807</v>
      </c>
      <c r="P30" s="77">
        <v>39.218531472117085</v>
      </c>
      <c r="Q30" s="77">
        <v>38.117499235079578</v>
      </c>
      <c r="R30" s="77">
        <v>39.766004176903671</v>
      </c>
      <c r="S30" s="77">
        <v>40.224270286426112</v>
      </c>
      <c r="T30" s="77">
        <v>40.129548526346547</v>
      </c>
      <c r="U30" s="77">
        <v>40.753451930647969</v>
      </c>
      <c r="V30" s="77">
        <v>39.51530316299489</v>
      </c>
      <c r="W30" s="77">
        <v>40.802086512732927</v>
      </c>
      <c r="X30" s="77">
        <v>41.358894416369914</v>
      </c>
      <c r="Y30" s="77">
        <v>44.306191539057181</v>
      </c>
      <c r="Z30" s="85">
        <v>40.113306389737815</v>
      </c>
      <c r="AA30" s="77">
        <f t="shared" si="7"/>
        <v>39.471389429937112</v>
      </c>
    </row>
    <row r="31" spans="1:29" ht="12.75" customHeight="1" x14ac:dyDescent="0.25">
      <c r="A31" s="11" t="s">
        <v>124</v>
      </c>
      <c r="B31" s="74">
        <v>277.56681069217279</v>
      </c>
      <c r="C31" s="74">
        <v>255.0231462621534</v>
      </c>
      <c r="D31" s="72">
        <v>22.543664430019398</v>
      </c>
      <c r="E31" s="72">
        <v>9.6059389100254897</v>
      </c>
      <c r="F31" s="72">
        <v>0.12954764787586001</v>
      </c>
      <c r="G31" s="11">
        <v>45.730000000000004</v>
      </c>
      <c r="J31" s="11">
        <v>1995</v>
      </c>
      <c r="K31" s="84">
        <v>37.778149863992397</v>
      </c>
      <c r="L31" s="77">
        <v>42.115313548386133</v>
      </c>
      <c r="M31" s="77">
        <v>39.409919875867544</v>
      </c>
      <c r="N31" s="77">
        <v>42.07418572100066</v>
      </c>
      <c r="O31" s="77">
        <v>40.04598649377072</v>
      </c>
      <c r="P31" s="77">
        <v>42.901988103226692</v>
      </c>
      <c r="Q31" s="77">
        <v>41.7814233132083</v>
      </c>
      <c r="R31" s="77">
        <v>43.563575561552277</v>
      </c>
      <c r="S31" s="77">
        <v>44.016220601371948</v>
      </c>
      <c r="T31" s="77">
        <v>44.702113417794969</v>
      </c>
      <c r="U31" s="77">
        <v>44.333774075415839</v>
      </c>
      <c r="V31" s="77">
        <v>42.79502379410598</v>
      </c>
      <c r="W31" s="77">
        <v>44.413252523678032</v>
      </c>
      <c r="X31" s="77">
        <v>44.908577606001373</v>
      </c>
      <c r="Y31" s="77">
        <v>49.06479551873165</v>
      </c>
      <c r="Z31" s="85">
        <v>43.0863179835262</v>
      </c>
      <c r="AA31" s="77">
        <f t="shared" si="7"/>
        <v>42.936913625101923</v>
      </c>
    </row>
    <row r="32" spans="1:29" ht="12.75" customHeight="1" x14ac:dyDescent="0.25">
      <c r="A32" s="11" t="s">
        <v>125</v>
      </c>
      <c r="B32" s="74">
        <v>321.32374760576153</v>
      </c>
      <c r="C32" s="74">
        <v>302.98240715619141</v>
      </c>
      <c r="D32" s="72">
        <v>18.34134004462496</v>
      </c>
      <c r="E32" s="72">
        <v>11.448828925330847</v>
      </c>
      <c r="F32" s="72">
        <v>0.10666713100381864</v>
      </c>
      <c r="G32" s="11">
        <v>49.730000000000004</v>
      </c>
      <c r="J32" s="11">
        <v>1982</v>
      </c>
      <c r="K32" s="84">
        <v>42.292950631355339</v>
      </c>
      <c r="L32" s="77">
        <v>46.455724765130739</v>
      </c>
      <c r="M32" s="77">
        <v>43.061831393825784</v>
      </c>
      <c r="N32" s="77">
        <v>46.298565268454901</v>
      </c>
      <c r="O32" s="77">
        <v>43.905616184653375</v>
      </c>
      <c r="P32" s="77">
        <v>47.012412407055876</v>
      </c>
      <c r="Q32" s="77">
        <v>45.429768372213914</v>
      </c>
      <c r="R32" s="77">
        <v>47.788044699320544</v>
      </c>
      <c r="S32" s="77">
        <v>48.31826050103826</v>
      </c>
      <c r="T32" s="77">
        <v>49.193412716007288</v>
      </c>
      <c r="U32" s="77">
        <v>50.152209468680027</v>
      </c>
      <c r="V32" s="77">
        <v>48.006539720019546</v>
      </c>
      <c r="W32" s="77">
        <v>49.968972105435775</v>
      </c>
      <c r="X32" s="77">
        <v>50.861287810888179</v>
      </c>
      <c r="Y32" s="77">
        <v>55.450741455405371</v>
      </c>
      <c r="Z32" s="85">
        <v>49.656962882760865</v>
      </c>
      <c r="AA32" s="77">
        <f t="shared" si="7"/>
        <v>47.740831273890365</v>
      </c>
    </row>
    <row r="33" spans="1:29" ht="12.75" customHeight="1" x14ac:dyDescent="0.25">
      <c r="A33" s="11" t="s">
        <v>126</v>
      </c>
      <c r="B33" s="74">
        <v>464.95680773607296</v>
      </c>
      <c r="C33" s="74">
        <v>442.24062329163746</v>
      </c>
      <c r="D33" s="72">
        <v>22.716184444435445</v>
      </c>
      <c r="E33" s="72">
        <v>16.977803629601098</v>
      </c>
      <c r="F33" s="72">
        <v>0.13031499066601337</v>
      </c>
      <c r="G33" s="11">
        <v>70.959999999999994</v>
      </c>
      <c r="J33" s="11" t="s">
        <v>178</v>
      </c>
      <c r="K33" s="84">
        <v>43.338306170656402</v>
      </c>
      <c r="L33" s="77">
        <v>49.397522944349781</v>
      </c>
      <c r="M33" s="77">
        <v>44.36055570606397</v>
      </c>
      <c r="N33" s="77">
        <v>48.974748769554878</v>
      </c>
      <c r="O33" s="77">
        <v>45.266359368471257</v>
      </c>
      <c r="P33" s="77">
        <v>49.23977258044156</v>
      </c>
      <c r="Q33" s="77">
        <v>47.001963901722505</v>
      </c>
      <c r="R33" s="77">
        <v>51.157122485900942</v>
      </c>
      <c r="S33" s="77">
        <v>51.973333130721869</v>
      </c>
      <c r="T33" s="77">
        <v>54.306798814089007</v>
      </c>
      <c r="U33" s="77">
        <v>56.814050222409591</v>
      </c>
      <c r="V33" s="77">
        <v>52.425449858044573</v>
      </c>
      <c r="W33" s="77">
        <v>56.525258315631248</v>
      </c>
      <c r="X33" s="77">
        <v>57.586263446238263</v>
      </c>
      <c r="Y33" s="77">
        <v>65.341735866871602</v>
      </c>
      <c r="Z33" s="85">
        <v>51.697271811792099</v>
      </c>
      <c r="AA33" s="77">
        <f t="shared" si="7"/>
        <v>51.587907087059968</v>
      </c>
    </row>
    <row r="34" spans="1:29" ht="12.75" customHeight="1" x14ac:dyDescent="0.25">
      <c r="A34" s="11" t="s">
        <v>127</v>
      </c>
      <c r="B34" s="74">
        <v>466.89404852053275</v>
      </c>
      <c r="C34" s="74">
        <v>443.86700830542583</v>
      </c>
      <c r="D34" s="72">
        <v>23.027040215106883</v>
      </c>
      <c r="E34" s="72">
        <v>17.029399130030537</v>
      </c>
      <c r="F34" s="72">
        <v>0.13197953407006363</v>
      </c>
      <c r="G34" s="11">
        <v>71.3</v>
      </c>
      <c r="J34" s="11" t="s">
        <v>181</v>
      </c>
      <c r="K34" s="86">
        <v>40.574834668114036</v>
      </c>
      <c r="L34" s="87">
        <v>44.372180445520243</v>
      </c>
      <c r="M34" s="87">
        <v>41.342928322341663</v>
      </c>
      <c r="N34" s="87">
        <v>43.836802246675234</v>
      </c>
      <c r="O34" s="87">
        <v>42.195091345762123</v>
      </c>
      <c r="P34" s="87">
        <v>43.923789687064115</v>
      </c>
      <c r="Q34" s="87">
        <v>42.362820541744526</v>
      </c>
      <c r="R34" s="87">
        <v>44.479198546119818</v>
      </c>
      <c r="S34" s="87">
        <v>45.025189980875595</v>
      </c>
      <c r="T34" s="87">
        <v>45.834542351979735</v>
      </c>
      <c r="U34" s="87">
        <v>46.497236777411231</v>
      </c>
      <c r="V34" s="87">
        <v>44.816480348024349</v>
      </c>
      <c r="W34" s="87">
        <v>46.284388836506153</v>
      </c>
      <c r="X34" s="87">
        <v>47.117633387485284</v>
      </c>
      <c r="Y34" s="87">
        <v>50.060678279783936</v>
      </c>
      <c r="Z34" s="88">
        <v>46.910993747696146</v>
      </c>
      <c r="AA34" s="77">
        <f t="shared" si="7"/>
        <v>44.727174344569015</v>
      </c>
    </row>
    <row r="35" spans="1:29" ht="12.75" customHeight="1" x14ac:dyDescent="0.25">
      <c r="A35" s="11" t="s">
        <v>128</v>
      </c>
      <c r="B35" s="74">
        <v>240.55381559605905</v>
      </c>
      <c r="C35" s="74">
        <v>225.59798094327931</v>
      </c>
      <c r="D35" s="72">
        <v>14.955834652779744</v>
      </c>
      <c r="E35" s="72">
        <v>8.2758124039610994</v>
      </c>
      <c r="F35" s="72">
        <v>8.9952516126942231E-2</v>
      </c>
      <c r="G35" s="11">
        <v>37.239999999999995</v>
      </c>
    </row>
    <row r="36" spans="1:29" ht="12.75" customHeight="1" x14ac:dyDescent="0.25">
      <c r="A36" s="11" t="s">
        <v>129</v>
      </c>
      <c r="B36" s="74">
        <v>277.75636027163722</v>
      </c>
      <c r="C36" s="74">
        <v>258.95553094388674</v>
      </c>
      <c r="D36" s="72">
        <v>18.800829327750488</v>
      </c>
      <c r="E36" s="72">
        <v>9.4214797294477961</v>
      </c>
      <c r="F36" s="72">
        <v>0.11161393335412052</v>
      </c>
      <c r="G36" s="11">
        <v>43.31</v>
      </c>
      <c r="J36" s="12" t="s">
        <v>185</v>
      </c>
    </row>
    <row r="37" spans="1:29" ht="12.75" customHeight="1" x14ac:dyDescent="0.25">
      <c r="A37" s="11" t="s">
        <v>130</v>
      </c>
      <c r="B37" s="74">
        <v>324.54912673569635</v>
      </c>
      <c r="C37" s="74">
        <v>309.04410015104452</v>
      </c>
      <c r="D37" s="72">
        <v>15.505026584651766</v>
      </c>
      <c r="E37" s="72">
        <v>11.25816560939495</v>
      </c>
      <c r="F37" s="72">
        <v>9.3186060166756415E-2</v>
      </c>
      <c r="G37" s="11">
        <v>47.73</v>
      </c>
    </row>
    <row r="38" spans="1:29" ht="12.75" customHeight="1" x14ac:dyDescent="0.25">
      <c r="A38" s="11" t="s">
        <v>131</v>
      </c>
      <c r="B38" s="74">
        <v>464.66312123654063</v>
      </c>
      <c r="C38" s="74">
        <v>446.20384292985938</v>
      </c>
      <c r="D38" s="72">
        <v>18.459278306681192</v>
      </c>
      <c r="E38" s="72">
        <v>16.842735775337637</v>
      </c>
      <c r="F38" s="72">
        <v>0.1096562136814782</v>
      </c>
      <c r="G38" s="11">
        <v>68.44</v>
      </c>
      <c r="J38" s="11" t="s">
        <v>180</v>
      </c>
      <c r="AB38" s="11" t="s">
        <v>188</v>
      </c>
      <c r="AC38" s="11" t="s">
        <v>189</v>
      </c>
    </row>
    <row r="39" spans="1:29" x14ac:dyDescent="0.25">
      <c r="A39" s="11" t="s">
        <v>132</v>
      </c>
      <c r="B39" s="74">
        <v>466.59283044539922</v>
      </c>
      <c r="C39" s="74">
        <v>447.79206793360515</v>
      </c>
      <c r="D39" s="72">
        <v>18.800762511794026</v>
      </c>
      <c r="E39" s="72">
        <v>16.891101446218759</v>
      </c>
      <c r="F39" s="72">
        <v>0.11154475656719863</v>
      </c>
      <c r="G39" s="11">
        <v>68.78</v>
      </c>
      <c r="J39" s="11">
        <v>2006</v>
      </c>
      <c r="K39" s="81">
        <v>39.99</v>
      </c>
      <c r="L39" s="82">
        <v>43.27</v>
      </c>
      <c r="M39" s="82">
        <v>42.28</v>
      </c>
      <c r="N39" s="82">
        <v>44.47</v>
      </c>
      <c r="O39" s="82">
        <v>42.87</v>
      </c>
      <c r="P39" s="82">
        <v>45.53</v>
      </c>
      <c r="Q39" s="82">
        <v>44.980000000000004</v>
      </c>
      <c r="R39" s="82">
        <v>45.9</v>
      </c>
      <c r="S39" s="82">
        <v>45.86</v>
      </c>
      <c r="T39" s="82">
        <v>45.59</v>
      </c>
      <c r="U39" s="82">
        <v>45.129999999999995</v>
      </c>
      <c r="V39" s="82">
        <v>45.58</v>
      </c>
      <c r="W39" s="82">
        <v>45.14</v>
      </c>
      <c r="X39" s="82">
        <v>45.54</v>
      </c>
      <c r="Y39" s="82">
        <v>48.42</v>
      </c>
      <c r="Z39" s="83">
        <v>44.41</v>
      </c>
      <c r="AA39" s="77">
        <f t="shared" ref="AA39:AA43" si="8">AVERAGE(K39:Z39)</f>
        <v>44.684999999999995</v>
      </c>
      <c r="AB39" s="74">
        <f>K46-K39</f>
        <v>1.4695749350564853</v>
      </c>
      <c r="AC39" s="89">
        <f>(K46-K39)/K46</f>
        <v>3.5445972066970567E-2</v>
      </c>
    </row>
    <row r="40" spans="1:29" x14ac:dyDescent="0.25">
      <c r="A40" s="11" t="s">
        <v>133</v>
      </c>
      <c r="B40" s="74">
        <v>247.12515519524433</v>
      </c>
      <c r="C40" s="74">
        <v>232.07410375505674</v>
      </c>
      <c r="D40" s="72">
        <v>15.051051035242379</v>
      </c>
      <c r="E40" s="72">
        <v>8.7616465832920305</v>
      </c>
      <c r="F40" s="72">
        <v>8.8558370824508903E-2</v>
      </c>
      <c r="G40" s="11">
        <v>38.75</v>
      </c>
      <c r="J40" s="11">
        <v>1995</v>
      </c>
      <c r="K40" s="84">
        <v>41.08</v>
      </c>
      <c r="L40" s="77">
        <v>45.79</v>
      </c>
      <c r="M40" s="77">
        <v>43.68</v>
      </c>
      <c r="N40" s="77">
        <v>46.17</v>
      </c>
      <c r="O40" s="77">
        <v>44.36</v>
      </c>
      <c r="P40" s="77">
        <v>47.370000000000005</v>
      </c>
      <c r="Q40" s="77">
        <v>46.61</v>
      </c>
      <c r="R40" s="77">
        <v>47.79</v>
      </c>
      <c r="S40" s="77">
        <v>47.76</v>
      </c>
      <c r="T40" s="77">
        <v>48.12</v>
      </c>
      <c r="U40" s="77">
        <v>46.93</v>
      </c>
      <c r="V40" s="77">
        <v>47.44</v>
      </c>
      <c r="W40" s="77">
        <v>46.81</v>
      </c>
      <c r="X40" s="77">
        <v>47.43</v>
      </c>
      <c r="Y40" s="77">
        <v>50.470000000000006</v>
      </c>
      <c r="Z40" s="85">
        <v>46.120000000000005</v>
      </c>
      <c r="AA40" s="77">
        <f t="shared" si="8"/>
        <v>46.495625000000004</v>
      </c>
      <c r="AB40" s="74">
        <f t="shared" ref="AB40:AB42" si="9">K47-K40</f>
        <v>2.796560428100868</v>
      </c>
      <c r="AC40" s="89">
        <f t="shared" ref="AC40:AC42" si="10">(K47-K40)/K47</f>
        <v>6.3737002190121614E-2</v>
      </c>
    </row>
    <row r="41" spans="1:29" x14ac:dyDescent="0.25">
      <c r="A41" s="11" t="s">
        <v>134</v>
      </c>
      <c r="B41" s="74">
        <v>294.54437875333576</v>
      </c>
      <c r="C41" s="74">
        <v>272.62414242732245</v>
      </c>
      <c r="D41" s="72">
        <v>21.920235921068084</v>
      </c>
      <c r="E41" s="72">
        <v>10.132657599600444</v>
      </c>
      <c r="F41" s="72">
        <v>0.12574462131550493</v>
      </c>
      <c r="G41" s="11">
        <v>47.14</v>
      </c>
      <c r="J41" s="11">
        <v>1982</v>
      </c>
      <c r="K41" s="84">
        <v>44.14</v>
      </c>
      <c r="L41" s="77">
        <v>50.199999999999996</v>
      </c>
      <c r="M41" s="77">
        <v>46.94</v>
      </c>
      <c r="N41" s="77">
        <v>50.84</v>
      </c>
      <c r="O41" s="77">
        <v>48.01</v>
      </c>
      <c r="P41" s="77">
        <v>52.68</v>
      </c>
      <c r="Q41" s="77">
        <v>51.23</v>
      </c>
      <c r="R41" s="77">
        <v>53.400000000000006</v>
      </c>
      <c r="S41" s="77">
        <v>53.29</v>
      </c>
      <c r="T41" s="77">
        <v>53.83</v>
      </c>
      <c r="U41" s="77">
        <v>53.13</v>
      </c>
      <c r="V41" s="77">
        <v>53.8</v>
      </c>
      <c r="W41" s="77">
        <v>52.76</v>
      </c>
      <c r="X41" s="77">
        <v>53.77</v>
      </c>
      <c r="Y41" s="77">
        <v>58.34</v>
      </c>
      <c r="Z41" s="85">
        <v>51.43</v>
      </c>
      <c r="AA41" s="77">
        <f t="shared" si="8"/>
        <v>51.736874999999998</v>
      </c>
      <c r="AB41" s="74">
        <f t="shared" si="9"/>
        <v>3.2605164717222834</v>
      </c>
      <c r="AC41" s="89">
        <f t="shared" si="10"/>
        <v>6.878651783609592E-2</v>
      </c>
    </row>
    <row r="42" spans="1:29" x14ac:dyDescent="0.25">
      <c r="A42" s="11" t="s">
        <v>135</v>
      </c>
      <c r="B42" s="74">
        <v>340.00257545141261</v>
      </c>
      <c r="C42" s="74">
        <v>322.03596439721883</v>
      </c>
      <c r="D42" s="72">
        <v>17.966611459139006</v>
      </c>
      <c r="E42" s="72">
        <v>12.046254937987328</v>
      </c>
      <c r="F42" s="72">
        <v>0.1043403402349492</v>
      </c>
      <c r="G42" s="11">
        <v>51.53</v>
      </c>
      <c r="J42" s="11" t="s">
        <v>178</v>
      </c>
      <c r="K42" s="84">
        <v>44.36</v>
      </c>
      <c r="L42" s="77">
        <v>50.83</v>
      </c>
      <c r="M42" s="77">
        <v>47.4</v>
      </c>
      <c r="N42" s="77">
        <v>51.529999999999994</v>
      </c>
      <c r="O42" s="77">
        <v>48.5</v>
      </c>
      <c r="P42" s="77">
        <v>53.480000000000004</v>
      </c>
      <c r="Q42" s="77">
        <v>51.989999999999995</v>
      </c>
      <c r="R42" s="77">
        <v>54.27</v>
      </c>
      <c r="S42" s="77">
        <v>54.17</v>
      </c>
      <c r="T42" s="77">
        <v>54.739999999999995</v>
      </c>
      <c r="U42" s="77">
        <v>53.940000000000005</v>
      </c>
      <c r="V42" s="77">
        <v>54.61</v>
      </c>
      <c r="W42" s="77">
        <v>53.59</v>
      </c>
      <c r="X42" s="77">
        <v>54.580000000000005</v>
      </c>
      <c r="Y42" s="77">
        <v>59.57</v>
      </c>
      <c r="Z42" s="85">
        <v>51.94</v>
      </c>
      <c r="AA42" s="77">
        <f t="shared" si="8"/>
        <v>52.468750000000014</v>
      </c>
      <c r="AB42" s="74">
        <f t="shared" si="9"/>
        <v>3.6295196350169476</v>
      </c>
      <c r="AC42" s="89">
        <f t="shared" si="10"/>
        <v>7.5631505850051545E-2</v>
      </c>
    </row>
    <row r="43" spans="1:29" x14ac:dyDescent="0.25">
      <c r="A43" s="11" t="s">
        <v>136</v>
      </c>
      <c r="B43" s="74">
        <v>486.94190818272745</v>
      </c>
      <c r="C43" s="74">
        <v>464.68538917257547</v>
      </c>
      <c r="D43" s="72">
        <v>22.256518605206786</v>
      </c>
      <c r="E43" s="72">
        <v>17.656969229449235</v>
      </c>
      <c r="F43" s="72">
        <v>0.12743778219617977</v>
      </c>
      <c r="G43" s="11">
        <v>72.989999999999995</v>
      </c>
      <c r="J43" s="11" t="s">
        <v>181</v>
      </c>
      <c r="K43" s="86">
        <v>42.94</v>
      </c>
      <c r="L43" s="87">
        <v>50.120000000000005</v>
      </c>
      <c r="M43" s="87">
        <v>46.71</v>
      </c>
      <c r="N43" s="87">
        <v>50.68</v>
      </c>
      <c r="O43" s="87">
        <v>47.8</v>
      </c>
      <c r="P43" s="87">
        <v>52.5</v>
      </c>
      <c r="Q43" s="87">
        <v>50.98</v>
      </c>
      <c r="R43" s="87">
        <v>53.279999999999994</v>
      </c>
      <c r="S43" s="87">
        <v>53.199999999999996</v>
      </c>
      <c r="T43" s="87">
        <v>53.78</v>
      </c>
      <c r="U43" s="87">
        <v>52.330000000000005</v>
      </c>
      <c r="V43" s="87">
        <v>52.95</v>
      </c>
      <c r="W43" s="87">
        <v>52.18</v>
      </c>
      <c r="X43" s="87">
        <v>52.91</v>
      </c>
      <c r="Y43" s="87">
        <v>58.07</v>
      </c>
      <c r="Z43" s="88">
        <v>50.120000000000005</v>
      </c>
      <c r="AA43" s="77">
        <f t="shared" si="8"/>
        <v>51.284375000000004</v>
      </c>
    </row>
    <row r="44" spans="1:29" x14ac:dyDescent="0.25">
      <c r="A44" s="11" t="s">
        <v>137</v>
      </c>
      <c r="B44" s="74">
        <v>489.04557010208669</v>
      </c>
      <c r="C44" s="74">
        <v>466.44262331593421</v>
      </c>
      <c r="D44" s="72">
        <v>22.602946786152494</v>
      </c>
      <c r="E44" s="72">
        <v>17.712621658792102</v>
      </c>
      <c r="F44" s="72">
        <v>0.12928438085905072</v>
      </c>
      <c r="G44" s="11">
        <v>73.37</v>
      </c>
      <c r="J44" s="11" t="s">
        <v>182</v>
      </c>
    </row>
    <row r="45" spans="1:29" x14ac:dyDescent="0.25">
      <c r="A45" s="11" t="s">
        <v>138</v>
      </c>
      <c r="B45" s="74">
        <v>262.80772999874466</v>
      </c>
      <c r="C45" s="74">
        <v>246.81988807314929</v>
      </c>
      <c r="D45" s="72">
        <v>15.987841925595371</v>
      </c>
      <c r="E45" s="72">
        <v>8.931925917285465</v>
      </c>
      <c r="F45" s="72">
        <v>9.3577787946401467E-2</v>
      </c>
      <c r="G45" s="11">
        <v>39.840000000000003</v>
      </c>
      <c r="J45" s="11">
        <v>2013</v>
      </c>
      <c r="K45" s="81">
        <v>39.007549363400173</v>
      </c>
      <c r="L45" s="82">
        <v>42.201392029436846</v>
      </c>
      <c r="M45" s="82">
        <v>40.253208861646698</v>
      </c>
      <c r="N45" s="82">
        <v>42.401626316429116</v>
      </c>
      <c r="O45" s="82">
        <v>40.743995216107848</v>
      </c>
      <c r="P45" s="82">
        <v>43.169937356683512</v>
      </c>
      <c r="Q45" s="82">
        <v>42.114738816962799</v>
      </c>
      <c r="R45" s="82">
        <v>43.746632313501195</v>
      </c>
      <c r="S45" s="82">
        <v>44.037291699850783</v>
      </c>
      <c r="T45" s="82">
        <v>44.441528187490171</v>
      </c>
      <c r="U45" s="82">
        <v>44.329891711067589</v>
      </c>
      <c r="V45" s="82">
        <v>43.271176426212236</v>
      </c>
      <c r="W45" s="82">
        <v>44.340733295697859</v>
      </c>
      <c r="X45" s="82">
        <v>45.083179807857185</v>
      </c>
      <c r="Y45" s="82">
        <v>47.897767341801952</v>
      </c>
      <c r="Z45" s="83">
        <v>42.76743871326466</v>
      </c>
      <c r="AA45" s="77">
        <f t="shared" ref="AA45:AA50" si="11">AVERAGE(K45:Z45)</f>
        <v>43.113005466088161</v>
      </c>
    </row>
    <row r="46" spans="1:29" x14ac:dyDescent="0.25">
      <c r="A46" s="11" t="s">
        <v>139</v>
      </c>
      <c r="B46" s="74">
        <v>318.64906315930136</v>
      </c>
      <c r="C46" s="74">
        <v>294.73955423633413</v>
      </c>
      <c r="D46" s="72">
        <v>23.909508922967277</v>
      </c>
      <c r="E46" s="72">
        <v>10.378967766794812</v>
      </c>
      <c r="F46" s="72">
        <v>0.13655143006394083</v>
      </c>
      <c r="G46" s="11">
        <v>49.069999999999993</v>
      </c>
      <c r="J46" s="11">
        <v>2006</v>
      </c>
      <c r="K46" s="84">
        <v>41.459574935056487</v>
      </c>
      <c r="L46" s="77">
        <v>45.185475631001339</v>
      </c>
      <c r="M46" s="77">
        <v>43.301095388829623</v>
      </c>
      <c r="N46" s="77">
        <v>46.002554754580984</v>
      </c>
      <c r="O46" s="77">
        <v>43.958745854728711</v>
      </c>
      <c r="P46" s="77">
        <v>46.253162340460541</v>
      </c>
      <c r="Q46" s="77">
        <v>44.719623735478343</v>
      </c>
      <c r="R46" s="77">
        <v>47.014654371780757</v>
      </c>
      <c r="S46" s="77">
        <v>47.535439330710616</v>
      </c>
      <c r="T46" s="77">
        <v>47.59524866121496</v>
      </c>
      <c r="U46" s="77">
        <v>47.632148784284922</v>
      </c>
      <c r="V46" s="77">
        <v>46.321034300390714</v>
      </c>
      <c r="W46" s="77">
        <v>47.527405129160485</v>
      </c>
      <c r="X46" s="77">
        <v>48.576334154307304</v>
      </c>
      <c r="Y46" s="77">
        <v>51.235288037264169</v>
      </c>
      <c r="Z46" s="85">
        <v>46.137285230058382</v>
      </c>
      <c r="AA46" s="77">
        <f t="shared" si="11"/>
        <v>46.278441914956773</v>
      </c>
    </row>
    <row r="47" spans="1:29" x14ac:dyDescent="0.25">
      <c r="A47" s="11" t="s">
        <v>140</v>
      </c>
      <c r="B47" s="74">
        <v>363.00041668860121</v>
      </c>
      <c r="C47" s="74">
        <v>343.59925935524632</v>
      </c>
      <c r="D47" s="72">
        <v>19.401157738300121</v>
      </c>
      <c r="E47" s="72">
        <v>12.244876162752266</v>
      </c>
      <c r="F47" s="72">
        <v>0.11206429314792242</v>
      </c>
      <c r="G47" s="11">
        <v>52.99</v>
      </c>
      <c r="J47" s="11">
        <v>1995</v>
      </c>
      <c r="K47" s="84">
        <v>43.876560428100866</v>
      </c>
      <c r="L47" s="77">
        <v>49.926667322544823</v>
      </c>
      <c r="M47" s="77">
        <v>46.414524302256773</v>
      </c>
      <c r="N47" s="77">
        <v>50.376393156227742</v>
      </c>
      <c r="O47" s="77">
        <v>47.126005495319028</v>
      </c>
      <c r="P47" s="77">
        <v>50.498453767587257</v>
      </c>
      <c r="Q47" s="77">
        <v>48.540047941954242</v>
      </c>
      <c r="R47" s="77">
        <v>51.750892156632297</v>
      </c>
      <c r="S47" s="77">
        <v>52.480745151144014</v>
      </c>
      <c r="T47" s="77">
        <v>53.487523468379372</v>
      </c>
      <c r="U47" s="77">
        <v>52.632562406747752</v>
      </c>
      <c r="V47" s="77">
        <v>50.797512266795223</v>
      </c>
      <c r="W47" s="77">
        <v>52.497628170352101</v>
      </c>
      <c r="X47" s="77">
        <v>53.862590744730468</v>
      </c>
      <c r="Y47" s="77">
        <v>56.903261315561579</v>
      </c>
      <c r="Z47" s="85">
        <v>49.688432620209404</v>
      </c>
      <c r="AA47" s="77">
        <f t="shared" si="11"/>
        <v>50.678737544658929</v>
      </c>
    </row>
    <row r="48" spans="1:29" x14ac:dyDescent="0.25">
      <c r="A48" s="11" t="s">
        <v>141</v>
      </c>
      <c r="B48" s="74">
        <v>516.0818770829369</v>
      </c>
      <c r="C48" s="74">
        <v>492.10447626413765</v>
      </c>
      <c r="D48" s="72">
        <v>23.977400818799175</v>
      </c>
      <c r="E48" s="72">
        <v>17.935124087050923</v>
      </c>
      <c r="F48" s="72">
        <v>0.13674940776765865</v>
      </c>
      <c r="G48" s="11">
        <v>74.86</v>
      </c>
      <c r="J48" s="11">
        <v>1982</v>
      </c>
      <c r="K48" s="84">
        <v>47.400516471722284</v>
      </c>
      <c r="L48" s="77">
        <v>54.504059388022299</v>
      </c>
      <c r="M48" s="77">
        <v>50.03617219842608</v>
      </c>
      <c r="N48" s="77">
        <v>55.237003512521632</v>
      </c>
      <c r="O48" s="77">
        <v>51.000820320454118</v>
      </c>
      <c r="P48" s="77">
        <v>55.648822671937914</v>
      </c>
      <c r="Q48" s="77">
        <v>53.07755763751797</v>
      </c>
      <c r="R48" s="77">
        <v>57.268552677197803</v>
      </c>
      <c r="S48" s="77">
        <v>58.123737678742366</v>
      </c>
      <c r="T48" s="77">
        <v>59.32487436829058</v>
      </c>
      <c r="U48" s="77">
        <v>58.880754864175351</v>
      </c>
      <c r="V48" s="77">
        <v>56.330225211971737</v>
      </c>
      <c r="W48" s="77">
        <v>58.613207549334206</v>
      </c>
      <c r="X48" s="77">
        <v>60.335306115974852</v>
      </c>
      <c r="Y48" s="77">
        <v>64.388850791549487</v>
      </c>
      <c r="Z48" s="85">
        <v>55.330348475908174</v>
      </c>
      <c r="AA48" s="77">
        <f t="shared" si="11"/>
        <v>55.968800620859191</v>
      </c>
    </row>
    <row r="49" spans="1:29" x14ac:dyDescent="0.25">
      <c r="A49" s="11" t="s">
        <v>142</v>
      </c>
      <c r="B49" s="74">
        <v>519.47031954224997</v>
      </c>
      <c r="C49" s="74">
        <v>494.9148116802391</v>
      </c>
      <c r="D49" s="72">
        <v>24.555507457065687</v>
      </c>
      <c r="E49" s="72">
        <v>18.01594768157506</v>
      </c>
      <c r="F49" s="72">
        <v>0.13985261209895242</v>
      </c>
      <c r="G49" s="11">
        <v>75.459999999999994</v>
      </c>
      <c r="J49" s="11" t="s">
        <v>178</v>
      </c>
      <c r="K49" s="84">
        <v>47.989519635016947</v>
      </c>
      <c r="L49" s="77">
        <v>55.422534925146984</v>
      </c>
      <c r="M49" s="77">
        <v>50.816402454625056</v>
      </c>
      <c r="N49" s="77">
        <v>56.221198166341537</v>
      </c>
      <c r="O49" s="77">
        <v>51.809265430991935</v>
      </c>
      <c r="P49" s="77">
        <v>56.704393985996347</v>
      </c>
      <c r="Q49" s="77">
        <v>54.073202968754565</v>
      </c>
      <c r="R49" s="77">
        <v>58.402267935460678</v>
      </c>
      <c r="S49" s="77">
        <v>59.278910278808638</v>
      </c>
      <c r="T49" s="77">
        <v>60.495332457749207</v>
      </c>
      <c r="U49" s="77">
        <v>60.004108589312658</v>
      </c>
      <c r="V49" s="77">
        <v>57.352958408516173</v>
      </c>
      <c r="W49" s="77">
        <v>59.759588208350763</v>
      </c>
      <c r="X49" s="77">
        <v>61.482101555008967</v>
      </c>
      <c r="Y49" s="77">
        <v>65.899936839225262</v>
      </c>
      <c r="Z49" s="85">
        <v>56.276588568152135</v>
      </c>
      <c r="AA49" s="77">
        <f t="shared" si="11"/>
        <v>56.999269400466119</v>
      </c>
    </row>
    <row r="50" spans="1:29" x14ac:dyDescent="0.25">
      <c r="A50" s="11" t="s">
        <v>143</v>
      </c>
      <c r="B50" s="74">
        <v>262.86167355748398</v>
      </c>
      <c r="C50" s="74">
        <v>246.51725147501287</v>
      </c>
      <c r="D50" s="72">
        <v>16.344422487416328</v>
      </c>
      <c r="E50" s="72">
        <v>9.0398581711988584</v>
      </c>
      <c r="F50" s="72">
        <v>9.5435465909689113E-2</v>
      </c>
      <c r="G50" s="11">
        <v>40.379999999999995</v>
      </c>
      <c r="J50" s="11" t="s">
        <v>181</v>
      </c>
      <c r="K50" s="86">
        <v>45.11317707748799</v>
      </c>
      <c r="L50" s="87">
        <v>52.722801410932</v>
      </c>
      <c r="M50" s="87">
        <v>48.37047897967161</v>
      </c>
      <c r="N50" s="87">
        <v>53.27942428525219</v>
      </c>
      <c r="O50" s="87">
        <v>49.37991908880128</v>
      </c>
      <c r="P50" s="87">
        <v>53.68544814168353</v>
      </c>
      <c r="Q50" s="87">
        <v>51.169606170888827</v>
      </c>
      <c r="R50" s="87">
        <v>55.155028197720441</v>
      </c>
      <c r="S50" s="87">
        <v>55.875157002485537</v>
      </c>
      <c r="T50" s="87">
        <v>57.041781468808487</v>
      </c>
      <c r="U50" s="87">
        <v>56.181279474237392</v>
      </c>
      <c r="V50" s="87">
        <v>53.891332411613867</v>
      </c>
      <c r="W50" s="87">
        <v>56.016875708884953</v>
      </c>
      <c r="X50" s="87">
        <v>57.527247962427317</v>
      </c>
      <c r="Y50" s="87">
        <v>61.690792175605772</v>
      </c>
      <c r="Z50" s="88">
        <v>52.471988333016277</v>
      </c>
      <c r="AA50" s="77">
        <f t="shared" si="11"/>
        <v>53.723271118094843</v>
      </c>
    </row>
    <row r="51" spans="1:29" x14ac:dyDescent="0.25">
      <c r="A51" s="11" t="s">
        <v>144</v>
      </c>
      <c r="B51" s="74">
        <v>313.35296885566538</v>
      </c>
      <c r="C51" s="74">
        <v>290.84930815114171</v>
      </c>
      <c r="D51" s="72">
        <v>22.503660299578453</v>
      </c>
      <c r="E51" s="72">
        <v>10.47017288847702</v>
      </c>
      <c r="F51" s="72">
        <v>0.12885109760393929</v>
      </c>
      <c r="G51" s="11">
        <v>48.61</v>
      </c>
    </row>
    <row r="52" spans="1:29" x14ac:dyDescent="0.25">
      <c r="A52" s="11" t="s">
        <v>145</v>
      </c>
      <c r="B52" s="74">
        <v>367.50261432615099</v>
      </c>
      <c r="C52" s="74">
        <v>347.49197520115649</v>
      </c>
      <c r="D52" s="72">
        <v>20.01063912499443</v>
      </c>
      <c r="E52" s="72">
        <v>12.546784046589355</v>
      </c>
      <c r="F52" s="72">
        <v>0.11529260124642129</v>
      </c>
      <c r="G52" s="11">
        <v>54.34</v>
      </c>
      <c r="J52" s="12" t="s">
        <v>190</v>
      </c>
    </row>
    <row r="53" spans="1:29" x14ac:dyDescent="0.25">
      <c r="A53" s="11" t="s">
        <v>146</v>
      </c>
      <c r="B53" s="74">
        <v>521.29442471461482</v>
      </c>
      <c r="C53" s="74">
        <v>496.43954735226583</v>
      </c>
      <c r="D53" s="72">
        <v>24.854877362349004</v>
      </c>
      <c r="E53" s="72">
        <v>18.200813943631061</v>
      </c>
      <c r="F53" s="72">
        <v>0.14142924190210857</v>
      </c>
      <c r="G53" s="11">
        <v>76.240000000000009</v>
      </c>
    </row>
    <row r="54" spans="1:29" x14ac:dyDescent="0.25">
      <c r="A54" s="11" t="s">
        <v>147</v>
      </c>
      <c r="B54" s="74">
        <v>524.94590661154007</v>
      </c>
      <c r="C54" s="74">
        <v>499.46887510275479</v>
      </c>
      <c r="D54" s="72">
        <v>25.477031103840094</v>
      </c>
      <c r="E54" s="72">
        <v>18.287484082698782</v>
      </c>
      <c r="F54" s="72">
        <v>0.14478217593248752</v>
      </c>
      <c r="G54" s="11">
        <v>76.88</v>
      </c>
      <c r="J54" s="11" t="s">
        <v>180</v>
      </c>
      <c r="AB54" s="11" t="s">
        <v>188</v>
      </c>
      <c r="AC54" s="11" t="s">
        <v>189</v>
      </c>
    </row>
    <row r="55" spans="1:29" x14ac:dyDescent="0.25">
      <c r="A55" s="11" t="s">
        <v>148</v>
      </c>
      <c r="B55" s="74">
        <v>280.54783900998996</v>
      </c>
      <c r="C55" s="74">
        <v>257.80410371456225</v>
      </c>
      <c r="D55" s="72">
        <v>22.743734890482571</v>
      </c>
      <c r="E55" s="72">
        <v>9.0955508339589723</v>
      </c>
      <c r="F55" s="72">
        <v>0.13069589831016371</v>
      </c>
      <c r="G55" s="11">
        <v>44.1</v>
      </c>
      <c r="J55" s="11">
        <v>2006</v>
      </c>
      <c r="K55" s="11">
        <v>82.98</v>
      </c>
      <c r="L55" s="11">
        <v>89.31</v>
      </c>
      <c r="M55" s="11">
        <v>85.61</v>
      </c>
      <c r="N55" s="11">
        <v>90</v>
      </c>
      <c r="O55" s="11">
        <v>85.8</v>
      </c>
      <c r="P55" s="11">
        <v>91.38000000000001</v>
      </c>
      <c r="Q55" s="11">
        <v>89.89</v>
      </c>
      <c r="R55" s="11">
        <v>93.110000000000014</v>
      </c>
      <c r="S55" s="11">
        <v>94.03</v>
      </c>
      <c r="T55" s="11">
        <v>95.47999999999999</v>
      </c>
      <c r="U55" s="11">
        <v>95.93</v>
      </c>
      <c r="V55" s="11">
        <v>96.82</v>
      </c>
      <c r="W55" s="11">
        <v>96.5</v>
      </c>
      <c r="X55" s="11">
        <v>96.9</v>
      </c>
      <c r="Y55" s="11">
        <v>106.34</v>
      </c>
      <c r="Z55" s="11">
        <v>91.740000000000009</v>
      </c>
      <c r="AA55" s="77">
        <f t="shared" ref="AA55:AA59" si="12">AVERAGE(K55:Z55)</f>
        <v>92.613749999999996</v>
      </c>
      <c r="AB55" s="74">
        <f>K62-K55</f>
        <v>28.469348317759994</v>
      </c>
      <c r="AC55" s="89">
        <f>(K62-K55)/K62</f>
        <v>0.25544652119983069</v>
      </c>
    </row>
    <row r="56" spans="1:29" x14ac:dyDescent="0.25">
      <c r="A56" s="11" t="s">
        <v>149</v>
      </c>
      <c r="B56" s="74">
        <v>340.49840492089396</v>
      </c>
      <c r="C56" s="74">
        <v>307.19437247668526</v>
      </c>
      <c r="D56" s="72">
        <v>33.304032849153863</v>
      </c>
      <c r="E56" s="72">
        <v>10.617703963522331</v>
      </c>
      <c r="F56" s="72">
        <v>0.18812116365049988</v>
      </c>
      <c r="G56" s="11">
        <v>55.039999999999992</v>
      </c>
      <c r="J56" s="11">
        <v>1995</v>
      </c>
      <c r="K56" s="11">
        <v>83.91</v>
      </c>
      <c r="L56" s="11">
        <v>92.45</v>
      </c>
      <c r="M56" s="11">
        <v>87.97</v>
      </c>
      <c r="N56" s="11">
        <v>94</v>
      </c>
      <c r="O56" s="11">
        <v>88.03</v>
      </c>
      <c r="P56" s="11">
        <v>95.49</v>
      </c>
      <c r="Q56" s="11">
        <v>93.67</v>
      </c>
      <c r="R56" s="11">
        <v>97.36</v>
      </c>
      <c r="S56" s="11">
        <v>98.990000000000009</v>
      </c>
      <c r="T56" s="11">
        <v>100.41</v>
      </c>
      <c r="U56" s="11">
        <v>99.93</v>
      </c>
      <c r="V56" s="11">
        <v>100.43</v>
      </c>
      <c r="W56" s="11">
        <v>100.56</v>
      </c>
      <c r="X56" s="11">
        <v>100.56</v>
      </c>
      <c r="Y56" s="11">
        <v>112.43</v>
      </c>
      <c r="Z56" s="11">
        <v>92.95</v>
      </c>
      <c r="AA56" s="77">
        <f t="shared" si="12"/>
        <v>96.196250000000006</v>
      </c>
      <c r="AB56" s="74">
        <f t="shared" ref="AB56:AB58" si="13">K63-K56</f>
        <v>65.635259958382392</v>
      </c>
      <c r="AC56" s="89">
        <f t="shared" ref="AC56:AC58" si="14">(K63-K56)/K63</f>
        <v>0.43889896594949462</v>
      </c>
    </row>
    <row r="57" spans="1:29" x14ac:dyDescent="0.25">
      <c r="A57" s="11" t="s">
        <v>150</v>
      </c>
      <c r="B57" s="74">
        <v>372.82413554325422</v>
      </c>
      <c r="C57" s="74">
        <v>344.15111663636327</v>
      </c>
      <c r="D57" s="72">
        <v>28.673018501945759</v>
      </c>
      <c r="E57" s="72">
        <v>12.082376713617771</v>
      </c>
      <c r="F57" s="72">
        <v>0.16281479831704779</v>
      </c>
      <c r="G57" s="11">
        <v>57.51</v>
      </c>
      <c r="J57" s="11">
        <v>1982</v>
      </c>
      <c r="K57" s="11">
        <v>95.31</v>
      </c>
      <c r="L57" s="11">
        <v>107.57000000000001</v>
      </c>
      <c r="M57" s="11">
        <v>102.05</v>
      </c>
      <c r="N57" s="11">
        <v>109.6</v>
      </c>
      <c r="O57" s="11">
        <v>102.31</v>
      </c>
      <c r="P57" s="11">
        <v>112.51</v>
      </c>
      <c r="Q57" s="11">
        <v>109.76</v>
      </c>
      <c r="R57" s="11">
        <v>114.64</v>
      </c>
      <c r="S57" s="11">
        <v>115.91999999999999</v>
      </c>
      <c r="T57" s="11">
        <v>118.15</v>
      </c>
      <c r="U57" s="11">
        <v>117.42999999999999</v>
      </c>
      <c r="V57" s="11">
        <v>117.85</v>
      </c>
      <c r="W57" s="11">
        <v>118.98</v>
      </c>
      <c r="X57" s="11">
        <v>117.8</v>
      </c>
      <c r="Y57" s="11">
        <v>134.9</v>
      </c>
      <c r="Z57" s="11">
        <v>106.72</v>
      </c>
      <c r="AA57" s="77">
        <f t="shared" si="12"/>
        <v>112.59375</v>
      </c>
      <c r="AB57" s="74">
        <f t="shared" si="13"/>
        <v>86.53999176330376</v>
      </c>
      <c r="AC57" s="89">
        <f t="shared" si="14"/>
        <v>0.4758866960848937</v>
      </c>
    </row>
    <row r="58" spans="1:29" x14ac:dyDescent="0.25">
      <c r="A58" s="11" t="s">
        <v>151</v>
      </c>
      <c r="B58" s="74">
        <v>541.53009269195411</v>
      </c>
      <c r="C58" s="74">
        <v>503.77190166310993</v>
      </c>
      <c r="D58" s="72">
        <v>37.758191028844244</v>
      </c>
      <c r="E58" s="72">
        <v>17.804251783032278</v>
      </c>
      <c r="F58" s="72">
        <v>0.21195721754060587</v>
      </c>
      <c r="G58" s="11">
        <v>81.95</v>
      </c>
      <c r="J58" s="11" t="s">
        <v>178</v>
      </c>
      <c r="K58" s="11">
        <v>96.69</v>
      </c>
      <c r="L58" s="11">
        <v>109.93</v>
      </c>
      <c r="M58" s="11">
        <v>103.72</v>
      </c>
      <c r="N58" s="11">
        <v>111.99000000000001</v>
      </c>
      <c r="O58" s="11">
        <v>104.05</v>
      </c>
      <c r="P58" s="11">
        <v>114.95</v>
      </c>
      <c r="Q58" s="11">
        <v>111.93</v>
      </c>
      <c r="R58" s="11">
        <v>117.28</v>
      </c>
      <c r="S58" s="11">
        <v>118.72999999999999</v>
      </c>
      <c r="T58" s="11">
        <v>121.1</v>
      </c>
      <c r="U58" s="11">
        <v>120.5</v>
      </c>
      <c r="V58" s="11">
        <v>120.94</v>
      </c>
      <c r="W58" s="11">
        <v>122.07</v>
      </c>
      <c r="X58" s="11">
        <v>120.92</v>
      </c>
      <c r="Y58" s="11">
        <v>139.20999999999998</v>
      </c>
      <c r="Z58" s="11">
        <v>109.2</v>
      </c>
      <c r="AA58" s="77">
        <f t="shared" si="12"/>
        <v>115.200625</v>
      </c>
      <c r="AB58" s="74">
        <f t="shared" si="13"/>
        <v>89.478615629258172</v>
      </c>
      <c r="AC58" s="89">
        <f t="shared" si="14"/>
        <v>0.48063211582047</v>
      </c>
    </row>
    <row r="59" spans="1:29" x14ac:dyDescent="0.25">
      <c r="A59" s="11" t="s">
        <v>152</v>
      </c>
      <c r="B59" s="74">
        <v>546.16785464087434</v>
      </c>
      <c r="C59" s="74">
        <v>507.29369824294281</v>
      </c>
      <c r="D59" s="72">
        <v>38.874156397931536</v>
      </c>
      <c r="E59" s="72">
        <v>17.902077734845385</v>
      </c>
      <c r="F59" s="72">
        <v>0.2179937678935156</v>
      </c>
      <c r="G59" s="11">
        <v>82.88</v>
      </c>
      <c r="J59" s="11" t="s">
        <v>181</v>
      </c>
      <c r="K59" s="11">
        <v>92.77000000000001</v>
      </c>
      <c r="L59" s="11">
        <v>102.35</v>
      </c>
      <c r="M59" s="11">
        <v>97.72</v>
      </c>
      <c r="N59" s="11">
        <v>103.81</v>
      </c>
      <c r="O59" s="11">
        <v>97.73</v>
      </c>
      <c r="P59" s="11">
        <v>105.58000000000001</v>
      </c>
      <c r="Q59" s="11">
        <v>103.39</v>
      </c>
      <c r="R59" s="11">
        <v>107.63</v>
      </c>
      <c r="S59" s="11">
        <v>108.47</v>
      </c>
      <c r="T59" s="11">
        <v>110.1</v>
      </c>
      <c r="U59" s="11">
        <v>109.52</v>
      </c>
      <c r="V59" s="11">
        <v>110.1</v>
      </c>
      <c r="W59" s="11">
        <v>110.42</v>
      </c>
      <c r="X59" s="11">
        <v>110.22</v>
      </c>
      <c r="Y59" s="11">
        <v>122.56</v>
      </c>
      <c r="Z59" s="11">
        <v>103.05000000000001</v>
      </c>
      <c r="AA59" s="77">
        <f t="shared" si="12"/>
        <v>105.96374999999999</v>
      </c>
    </row>
    <row r="60" spans="1:29" x14ac:dyDescent="0.25">
      <c r="A60" s="11" t="s">
        <v>153</v>
      </c>
      <c r="B60" s="74">
        <v>263.20789683616323</v>
      </c>
      <c r="C60" s="74">
        <v>241.0229170631755</v>
      </c>
      <c r="D60" s="72">
        <v>22.184979368042537</v>
      </c>
      <c r="E60" s="72">
        <v>8.5500650948207042</v>
      </c>
      <c r="F60" s="72">
        <v>0.12778274690520638</v>
      </c>
      <c r="G60" s="11">
        <v>41.95</v>
      </c>
      <c r="J60" s="11" t="s">
        <v>182</v>
      </c>
    </row>
    <row r="61" spans="1:29" x14ac:dyDescent="0.25">
      <c r="A61" s="11" t="s">
        <v>154</v>
      </c>
      <c r="B61" s="74">
        <v>315.89670496098353</v>
      </c>
      <c r="C61" s="74">
        <v>283.77861484448078</v>
      </c>
      <c r="D61" s="72">
        <v>32.118090116502728</v>
      </c>
      <c r="E61" s="72">
        <v>9.8544058969590171</v>
      </c>
      <c r="F61" s="72">
        <v>0.18184762317420336</v>
      </c>
      <c r="G61" s="11">
        <v>51.8</v>
      </c>
      <c r="J61" s="11">
        <v>2013</v>
      </c>
      <c r="K61" s="11">
        <v>97.049079085699219</v>
      </c>
      <c r="L61" s="11">
        <v>104.91932166452756</v>
      </c>
      <c r="M61" s="11">
        <v>101.4288835231162</v>
      </c>
      <c r="N61" s="11">
        <v>106.63969724287738</v>
      </c>
      <c r="O61" s="11">
        <v>101.26100211387705</v>
      </c>
      <c r="P61" s="11">
        <v>108.79838984045807</v>
      </c>
      <c r="Q61" s="11">
        <v>107.3691681003462</v>
      </c>
      <c r="R61" s="11">
        <v>110.88051253498512</v>
      </c>
      <c r="S61" s="11">
        <v>111.20963566805271</v>
      </c>
      <c r="T61" s="11">
        <v>112.03819077321705</v>
      </c>
      <c r="U61" s="11">
        <v>110.96768911133755</v>
      </c>
      <c r="V61" s="11">
        <v>108.40308979015464</v>
      </c>
      <c r="W61" s="11">
        <v>111.90074089436773</v>
      </c>
      <c r="X61" s="11">
        <v>111.73016749782167</v>
      </c>
      <c r="Y61" s="11">
        <v>122.62313335923636</v>
      </c>
      <c r="Z61" s="11">
        <v>103.06140225816297</v>
      </c>
      <c r="AA61" s="77">
        <f t="shared" ref="AA61:AA66" si="15">AVERAGE(K61:Z61)</f>
        <v>108.14250646613984</v>
      </c>
    </row>
    <row r="62" spans="1:29" x14ac:dyDescent="0.25">
      <c r="A62" s="11" t="s">
        <v>155</v>
      </c>
      <c r="B62" s="74">
        <v>350.34903724280912</v>
      </c>
      <c r="C62" s="74">
        <v>322.79275957999084</v>
      </c>
      <c r="D62" s="72">
        <v>27.556277662818339</v>
      </c>
      <c r="E62" s="72">
        <v>11.341038378497659</v>
      </c>
      <c r="F62" s="72">
        <v>0.15686149254698376</v>
      </c>
      <c r="G62" s="11">
        <v>54.39</v>
      </c>
      <c r="J62" s="11">
        <v>2006</v>
      </c>
      <c r="K62" s="11">
        <v>111.44934831776</v>
      </c>
      <c r="L62" s="11">
        <v>120.40211567687854</v>
      </c>
      <c r="M62" s="11">
        <v>116.44226121767616</v>
      </c>
      <c r="N62" s="11">
        <v>121.94677415228897</v>
      </c>
      <c r="O62" s="11">
        <v>116.2121477562481</v>
      </c>
      <c r="P62" s="11">
        <v>124.87025028640954</v>
      </c>
      <c r="Q62" s="11">
        <v>122.7413099938331</v>
      </c>
      <c r="R62" s="11">
        <v>126.56594443992174</v>
      </c>
      <c r="S62" s="11">
        <v>126.79505612410654</v>
      </c>
      <c r="T62" s="11">
        <v>127.2119946878517</v>
      </c>
      <c r="U62" s="11">
        <v>127.66649433626101</v>
      </c>
      <c r="V62" s="11">
        <v>124.94921078951377</v>
      </c>
      <c r="W62" s="11">
        <v>128.57569294696324</v>
      </c>
      <c r="X62" s="11">
        <v>128.00050574231466</v>
      </c>
      <c r="Y62" s="11">
        <v>140.86709776071018</v>
      </c>
      <c r="Z62" s="11">
        <v>119.69841722111951</v>
      </c>
      <c r="AA62" s="77">
        <f t="shared" si="15"/>
        <v>124.02466384061606</v>
      </c>
    </row>
    <row r="63" spans="1:29" x14ac:dyDescent="0.25">
      <c r="A63" s="11" t="s">
        <v>156</v>
      </c>
      <c r="B63" s="74">
        <v>513.14898986422179</v>
      </c>
      <c r="C63" s="74">
        <v>477.84249778292508</v>
      </c>
      <c r="D63" s="72">
        <v>35.306492081296796</v>
      </c>
      <c r="E63" s="72">
        <v>17.031624073608928</v>
      </c>
      <c r="F63" s="72">
        <v>0.19885044159273044</v>
      </c>
      <c r="G63" s="11">
        <v>78</v>
      </c>
      <c r="J63" s="11">
        <v>1995</v>
      </c>
      <c r="K63" s="11">
        <v>149.54525995838239</v>
      </c>
      <c r="L63" s="11">
        <v>164.79068500898788</v>
      </c>
      <c r="M63" s="11">
        <v>156.94184971616522</v>
      </c>
      <c r="N63" s="11">
        <v>166.34955909719142</v>
      </c>
      <c r="O63" s="11">
        <v>158.07048099722937</v>
      </c>
      <c r="P63" s="11">
        <v>168.41814477937194</v>
      </c>
      <c r="Q63" s="11">
        <v>165.58265714237385</v>
      </c>
      <c r="R63" s="11">
        <v>172.38264720167723</v>
      </c>
      <c r="S63" s="11">
        <v>174.87759981921764</v>
      </c>
      <c r="T63" s="11">
        <v>178.87376486011237</v>
      </c>
      <c r="U63" s="11">
        <v>175.3542397654362</v>
      </c>
      <c r="V63" s="11">
        <v>169.72033712376899</v>
      </c>
      <c r="W63" s="11">
        <v>176.17339632940818</v>
      </c>
      <c r="X63" s="11">
        <v>179.19216295643147</v>
      </c>
      <c r="Y63" s="11">
        <v>196.52487603084731</v>
      </c>
      <c r="Z63" s="11">
        <v>170.84176944066542</v>
      </c>
      <c r="AA63" s="77">
        <f t="shared" si="15"/>
        <v>170.22746438920416</v>
      </c>
    </row>
    <row r="64" spans="1:29" x14ac:dyDescent="0.25">
      <c r="A64" s="11" t="s">
        <v>157</v>
      </c>
      <c r="B64" s="74">
        <v>517.12741478940825</v>
      </c>
      <c r="C64" s="74">
        <v>480.80825440276658</v>
      </c>
      <c r="D64" s="72">
        <v>36.31916038664167</v>
      </c>
      <c r="E64" s="72">
        <v>17.114170465433105</v>
      </c>
      <c r="F64" s="72">
        <v>0.20433414457353197</v>
      </c>
      <c r="G64" s="11">
        <v>78.819999999999993</v>
      </c>
      <c r="J64" s="11">
        <v>1982</v>
      </c>
      <c r="K64" s="11">
        <v>181.84999176330376</v>
      </c>
      <c r="L64" s="11">
        <v>203.07609061649069</v>
      </c>
      <c r="M64" s="11">
        <v>191.72420491300389</v>
      </c>
      <c r="N64" s="11">
        <v>204.73017324726061</v>
      </c>
      <c r="O64" s="11">
        <v>193.15011576786964</v>
      </c>
      <c r="P64" s="11">
        <v>207.23941759516632</v>
      </c>
      <c r="Q64" s="11">
        <v>203.46854761089565</v>
      </c>
      <c r="R64" s="11">
        <v>212.86395269261641</v>
      </c>
      <c r="S64" s="11">
        <v>216.20789079665639</v>
      </c>
      <c r="T64" s="11">
        <v>220.24475024145559</v>
      </c>
      <c r="U64" s="11">
        <v>218.64607403727516</v>
      </c>
      <c r="V64" s="11">
        <v>210.25345543364057</v>
      </c>
      <c r="W64" s="11">
        <v>219.49705378750122</v>
      </c>
      <c r="X64" s="11">
        <v>222.81995627759991</v>
      </c>
      <c r="Y64" s="11">
        <v>246.86236426428721</v>
      </c>
      <c r="Z64" s="11">
        <v>211.10140802093395</v>
      </c>
      <c r="AA64" s="77">
        <f t="shared" si="15"/>
        <v>210.23346544162231</v>
      </c>
    </row>
    <row r="65" spans="1:27" x14ac:dyDescent="0.25">
      <c r="A65" s="11" t="s">
        <v>158</v>
      </c>
      <c r="B65" s="74">
        <v>281.16298962935366</v>
      </c>
      <c r="C65" s="74">
        <v>259.77120434749156</v>
      </c>
      <c r="D65" s="72">
        <v>21.391785281862099</v>
      </c>
      <c r="E65" s="72">
        <v>9.1567883499746596</v>
      </c>
      <c r="F65" s="72">
        <v>0.12283426403236322</v>
      </c>
      <c r="G65" s="11">
        <v>43.519999999999996</v>
      </c>
      <c r="J65" s="11" t="s">
        <v>178</v>
      </c>
      <c r="K65" s="11">
        <v>186.16861562925817</v>
      </c>
      <c r="L65" s="11">
        <v>209.57315098668289</v>
      </c>
      <c r="M65" s="11">
        <v>196.97193340549848</v>
      </c>
      <c r="N65" s="11">
        <v>211.40692729067851</v>
      </c>
      <c r="O65" s="11">
        <v>198.45378888443472</v>
      </c>
      <c r="P65" s="11">
        <v>213.96369441781971</v>
      </c>
      <c r="Q65" s="11">
        <v>209.68175738850817</v>
      </c>
      <c r="R65" s="11">
        <v>220.16517384011942</v>
      </c>
      <c r="S65" s="11">
        <v>223.83554963094849</v>
      </c>
      <c r="T65" s="11">
        <v>226.36274126916447</v>
      </c>
      <c r="U65" s="11">
        <v>226.86120637727768</v>
      </c>
      <c r="V65" s="11">
        <v>217.57456497370131</v>
      </c>
      <c r="W65" s="11">
        <v>227.72352685417113</v>
      </c>
      <c r="X65" s="11">
        <v>231.20379157167247</v>
      </c>
      <c r="Y65" s="11">
        <v>257.68319224848972</v>
      </c>
      <c r="Z65" s="11">
        <v>217.00979066959383</v>
      </c>
      <c r="AA65" s="77">
        <f t="shared" si="15"/>
        <v>217.16496283987621</v>
      </c>
    </row>
    <row r="66" spans="1:27" x14ac:dyDescent="0.25">
      <c r="A66" s="11" t="s">
        <v>159</v>
      </c>
      <c r="B66" s="74">
        <v>342.34271928794436</v>
      </c>
      <c r="C66" s="74">
        <v>311.85009212503087</v>
      </c>
      <c r="D66" s="72">
        <v>30.4926271629135</v>
      </c>
      <c r="E66" s="72">
        <v>10.773168261406164</v>
      </c>
      <c r="F66" s="72">
        <v>0.17191188392651052</v>
      </c>
      <c r="G66" s="11">
        <v>53.95</v>
      </c>
      <c r="J66" s="11" t="s">
        <v>181</v>
      </c>
      <c r="K66" s="11">
        <v>142.52348129195059</v>
      </c>
      <c r="L66" s="11">
        <v>156.78299713419628</v>
      </c>
      <c r="M66" s="11">
        <v>148.58022333820591</v>
      </c>
      <c r="N66" s="11">
        <v>157.71808659338325</v>
      </c>
      <c r="O66" s="11">
        <v>149.34098272576901</v>
      </c>
      <c r="P66" s="11">
        <v>159.2325673886323</v>
      </c>
      <c r="Q66" s="11">
        <v>156.57613123752671</v>
      </c>
      <c r="R66" s="11">
        <v>163.49474117983985</v>
      </c>
      <c r="S66" s="11">
        <v>166.01647889193481</v>
      </c>
      <c r="T66" s="11">
        <v>169.60457696169817</v>
      </c>
      <c r="U66" s="11">
        <v>168.1998100851992</v>
      </c>
      <c r="V66" s="11">
        <v>161.97047342296847</v>
      </c>
      <c r="W66" s="11">
        <v>168.7694944934957</v>
      </c>
      <c r="X66" s="11">
        <v>170.78853576038537</v>
      </c>
      <c r="Y66" s="11">
        <v>189.27484301323594</v>
      </c>
      <c r="Z66" s="11">
        <v>164.16973339518285</v>
      </c>
      <c r="AA66" s="77">
        <f t="shared" si="15"/>
        <v>162.06519730710028</v>
      </c>
    </row>
    <row r="67" spans="1:27" x14ac:dyDescent="0.25">
      <c r="A67" s="11" t="s">
        <v>160</v>
      </c>
      <c r="B67" s="74">
        <v>377.68369366706213</v>
      </c>
      <c r="C67" s="74">
        <v>351.44833385301297</v>
      </c>
      <c r="D67" s="72">
        <v>26.235360218994359</v>
      </c>
      <c r="E67" s="72">
        <v>12.319269531476165</v>
      </c>
      <c r="F67" s="72">
        <v>0.14895548437518982</v>
      </c>
      <c r="G67" s="11">
        <v>56.93</v>
      </c>
    </row>
    <row r="68" spans="1:27" x14ac:dyDescent="0.25">
      <c r="A68" s="11" t="s">
        <v>161</v>
      </c>
      <c r="B68" s="74">
        <v>548.77197698291536</v>
      </c>
      <c r="C68" s="74">
        <v>515.42856483374976</v>
      </c>
      <c r="D68" s="72">
        <v>33.343411744220418</v>
      </c>
      <c r="E68" s="72">
        <v>18.269049107181043</v>
      </c>
      <c r="F68" s="72">
        <v>0.18719038498139273</v>
      </c>
      <c r="G68" s="11">
        <v>81.05</v>
      </c>
    </row>
    <row r="69" spans="1:27" x14ac:dyDescent="0.25">
      <c r="A69" s="11" t="s">
        <v>162</v>
      </c>
      <c r="B69" s="74">
        <v>553.61288414113153</v>
      </c>
      <c r="C69" s="74">
        <v>519.36218783787615</v>
      </c>
      <c r="D69" s="72">
        <v>34.250696303255353</v>
      </c>
      <c r="E69" s="72">
        <v>18.384758041521913</v>
      </c>
      <c r="F69" s="72">
        <v>0.19205793145897704</v>
      </c>
      <c r="G69" s="11">
        <v>81.94</v>
      </c>
    </row>
    <row r="70" spans="1:27" x14ac:dyDescent="0.25">
      <c r="A70" s="11" t="s">
        <v>163</v>
      </c>
      <c r="B70" s="74">
        <v>274.6874584424998</v>
      </c>
      <c r="C70" s="74">
        <v>251.8571122548563</v>
      </c>
      <c r="D70" s="72">
        <v>22.830345782698313</v>
      </c>
      <c r="E70" s="72">
        <v>9.1789708487457844</v>
      </c>
      <c r="F70" s="72">
        <v>0.13004563732298832</v>
      </c>
      <c r="G70" s="11">
        <v>44.32</v>
      </c>
    </row>
    <row r="71" spans="1:27" x14ac:dyDescent="0.25">
      <c r="A71" s="11" t="s">
        <v>164</v>
      </c>
      <c r="B71" s="74">
        <v>334.21076465800354</v>
      </c>
      <c r="C71" s="74">
        <v>300.85881950378018</v>
      </c>
      <c r="D71" s="72">
        <v>33.351945154223372</v>
      </c>
      <c r="E71" s="72">
        <v>10.773670051636573</v>
      </c>
      <c r="F71" s="72">
        <v>0.18671663960282975</v>
      </c>
      <c r="G71" s="11">
        <v>55.43</v>
      </c>
      <c r="J71" s="11" t="s">
        <v>191</v>
      </c>
    </row>
    <row r="72" spans="1:27" x14ac:dyDescent="0.25">
      <c r="A72" s="11" t="s">
        <v>165</v>
      </c>
      <c r="B72" s="74">
        <v>363.78179892851506</v>
      </c>
      <c r="C72" s="74">
        <v>335.76595139847825</v>
      </c>
      <c r="D72" s="72">
        <v>28.015847530036808</v>
      </c>
      <c r="E72" s="72">
        <v>12.218443163670885</v>
      </c>
      <c r="F72" s="72">
        <v>0.15800105690694763</v>
      </c>
      <c r="G72" s="11">
        <v>57.489999999999995</v>
      </c>
    </row>
    <row r="73" spans="1:27" x14ac:dyDescent="0.25">
      <c r="A73" s="11" t="s">
        <v>166</v>
      </c>
      <c r="B73" s="74">
        <v>521.78767468323156</v>
      </c>
      <c r="C73" s="74">
        <v>485.04907773732828</v>
      </c>
      <c r="D73" s="72">
        <v>36.738596945903375</v>
      </c>
      <c r="E73" s="72">
        <v>17.897933455503956</v>
      </c>
      <c r="F73" s="72">
        <v>0.20487881610224057</v>
      </c>
      <c r="G73" s="11">
        <v>81.56</v>
      </c>
      <c r="J73" s="11" t="s">
        <v>192</v>
      </c>
    </row>
    <row r="74" spans="1:27" x14ac:dyDescent="0.25">
      <c r="A74" s="11" t="s">
        <v>167</v>
      </c>
      <c r="B74" s="74">
        <v>525.92729249596073</v>
      </c>
      <c r="C74" s="74">
        <v>488.35944716882562</v>
      </c>
      <c r="D74" s="72">
        <v>37.567845327134975</v>
      </c>
      <c r="E74" s="72">
        <v>17.994650199300658</v>
      </c>
      <c r="F74" s="72">
        <v>0.2093281635330658</v>
      </c>
      <c r="G74" s="11">
        <v>82.33</v>
      </c>
      <c r="J74" s="11" t="s">
        <v>193</v>
      </c>
    </row>
    <row r="75" spans="1:27" x14ac:dyDescent="0.25">
      <c r="A75" s="11" t="s">
        <v>168</v>
      </c>
      <c r="B75" s="74">
        <v>316.90213041664811</v>
      </c>
      <c r="C75" s="74">
        <v>304.50057866667748</v>
      </c>
      <c r="D75" s="72">
        <v>12.40155174997064</v>
      </c>
      <c r="E75" s="72">
        <v>11.191867465322375</v>
      </c>
      <c r="F75" s="72">
        <v>7.2786512895479591E-2</v>
      </c>
      <c r="G75" s="11">
        <v>45.47</v>
      </c>
      <c r="J75" s="11" t="s">
        <v>194</v>
      </c>
    </row>
    <row r="76" spans="1:27" x14ac:dyDescent="0.25">
      <c r="A76" s="11" t="s">
        <v>169</v>
      </c>
      <c r="B76" s="74">
        <v>389.4488566372541</v>
      </c>
      <c r="C76" s="74">
        <v>373.77173644547213</v>
      </c>
      <c r="D76" s="72">
        <v>15.677120596727232</v>
      </c>
      <c r="E76" s="72">
        <v>13.529556947093216</v>
      </c>
      <c r="F76" s="72">
        <v>9.015053027572717E-2</v>
      </c>
      <c r="G76" s="11">
        <v>55.179999999999993</v>
      </c>
    </row>
    <row r="77" spans="1:27" x14ac:dyDescent="0.25">
      <c r="A77" s="11" t="s">
        <v>170</v>
      </c>
      <c r="B77" s="74">
        <v>428.37216366264823</v>
      </c>
      <c r="C77" s="74">
        <v>414.37580573969313</v>
      </c>
      <c r="D77" s="72">
        <v>13.996357518009937</v>
      </c>
      <c r="E77" s="72">
        <v>15.2795872859382</v>
      </c>
      <c r="F77" s="72">
        <v>8.1423831834361221E-2</v>
      </c>
      <c r="G77" s="11">
        <v>60.27</v>
      </c>
      <c r="K77" s="11" t="s">
        <v>200</v>
      </c>
      <c r="L77" s="11" t="s">
        <v>199</v>
      </c>
      <c r="M77" s="11" t="s">
        <v>75</v>
      </c>
      <c r="N77" s="11" t="s">
        <v>202</v>
      </c>
      <c r="O77" s="11" t="s">
        <v>203</v>
      </c>
    </row>
    <row r="78" spans="1:27" x14ac:dyDescent="0.25">
      <c r="A78" s="11" t="s">
        <v>171</v>
      </c>
      <c r="B78" s="74">
        <v>612.82056676128889</v>
      </c>
      <c r="C78" s="74">
        <v>595.00407050905653</v>
      </c>
      <c r="D78" s="72">
        <v>17.816496252232263</v>
      </c>
      <c r="E78" s="72">
        <v>22.159997372081332</v>
      </c>
      <c r="F78" s="72">
        <v>0.10150151247028714</v>
      </c>
      <c r="G78" s="11">
        <v>85.76</v>
      </c>
      <c r="J78" s="11" t="s">
        <v>198</v>
      </c>
      <c r="K78" s="11">
        <v>6850.5640489093566</v>
      </c>
      <c r="L78" s="11">
        <v>23847.896564550207</v>
      </c>
      <c r="M78" s="11">
        <v>21587.505531584706</v>
      </c>
      <c r="N78" s="11">
        <f>M78*T78</f>
        <v>17270.004425267765</v>
      </c>
      <c r="O78" s="11">
        <f>M78*T79</f>
        <v>4317.5011063169413</v>
      </c>
      <c r="R78" s="11" t="s">
        <v>206</v>
      </c>
      <c r="T78" s="11">
        <v>0.8</v>
      </c>
      <c r="V78" s="92" t="s">
        <v>205</v>
      </c>
    </row>
    <row r="79" spans="1:27" x14ac:dyDescent="0.25">
      <c r="A79" s="11" t="s">
        <v>172</v>
      </c>
      <c r="B79" s="74">
        <v>618.1226785504582</v>
      </c>
      <c r="C79" s="74">
        <v>599.96254135502761</v>
      </c>
      <c r="D79" s="72">
        <v>18.160137195430597</v>
      </c>
      <c r="E79" s="72">
        <v>22.32740779045518</v>
      </c>
      <c r="F79" s="72">
        <v>0.103305632382657</v>
      </c>
      <c r="G79" s="11">
        <v>86.51</v>
      </c>
      <c r="J79" s="11" t="s">
        <v>201</v>
      </c>
      <c r="K79" s="89">
        <v>0.02</v>
      </c>
      <c r="L79" s="89">
        <v>0.02</v>
      </c>
      <c r="M79" s="89">
        <v>0.02</v>
      </c>
      <c r="N79" s="89">
        <v>0.02</v>
      </c>
      <c r="O79" s="89">
        <v>0.02</v>
      </c>
      <c r="R79" s="11" t="s">
        <v>204</v>
      </c>
      <c r="T79" s="11">
        <v>0.2</v>
      </c>
    </row>
    <row r="80" spans="1:27" x14ac:dyDescent="0.25">
      <c r="A80" s="11" t="s">
        <v>173</v>
      </c>
      <c r="B80" s="74">
        <v>241.86621785241368</v>
      </c>
      <c r="C80" s="74">
        <v>204.49035865995535</v>
      </c>
      <c r="D80" s="72">
        <v>37.37585959740349</v>
      </c>
      <c r="E80" s="72">
        <v>7.7660017189709603</v>
      </c>
      <c r="F80" s="72">
        <v>0.21298565684134652</v>
      </c>
      <c r="G80" s="11">
        <v>47.8</v>
      </c>
      <c r="J80" s="11" t="s">
        <v>207</v>
      </c>
      <c r="K80" s="74">
        <f>K78*K79</f>
        <v>137.01128097818713</v>
      </c>
      <c r="L80" s="74">
        <f t="shared" ref="L80:O80" si="16">L78*L79</f>
        <v>476.95793129100412</v>
      </c>
      <c r="M80" s="74">
        <f t="shared" si="16"/>
        <v>431.7501106316941</v>
      </c>
      <c r="N80" s="74">
        <f t="shared" si="16"/>
        <v>345.40008850535531</v>
      </c>
      <c r="O80" s="74">
        <f t="shared" si="16"/>
        <v>86.350022126338828</v>
      </c>
    </row>
    <row r="81" spans="1:21" x14ac:dyDescent="0.25">
      <c r="A81" s="11" t="s">
        <v>174</v>
      </c>
      <c r="B81" s="74">
        <v>295.66991945640154</v>
      </c>
      <c r="C81" s="74">
        <v>239.06514879711031</v>
      </c>
      <c r="D81" s="72">
        <v>56.604771064236459</v>
      </c>
      <c r="E81" s="72">
        <v>9.0077703000483744</v>
      </c>
      <c r="F81" s="72">
        <v>0.31932904631358144</v>
      </c>
      <c r="G81" s="11">
        <v>62.66</v>
      </c>
    </row>
    <row r="82" spans="1:21" x14ac:dyDescent="0.25">
      <c r="A82" s="11" t="s">
        <v>175</v>
      </c>
      <c r="B82" s="74">
        <v>315.38584392602462</v>
      </c>
      <c r="C82" s="74">
        <v>266.92817973087341</v>
      </c>
      <c r="D82" s="72">
        <v>48.457664195151182</v>
      </c>
      <c r="E82" s="72">
        <v>10.174625801091828</v>
      </c>
      <c r="F82" s="72">
        <v>0.27392918723450782</v>
      </c>
      <c r="G82" s="11">
        <v>62.11</v>
      </c>
    </row>
    <row r="83" spans="1:21" s="14" customFormat="1" x14ac:dyDescent="0.25">
      <c r="A83" s="14" t="s">
        <v>176</v>
      </c>
      <c r="B83" s="75">
        <v>462.82926174442287</v>
      </c>
      <c r="C83" s="75">
        <v>400.96270819244609</v>
      </c>
      <c r="D83" s="73">
        <v>61.866553551976736</v>
      </c>
      <c r="E83" s="73">
        <v>15.333932900657842</v>
      </c>
      <c r="F83" s="73">
        <v>0.347318392205615</v>
      </c>
      <c r="G83" s="14">
        <v>87.05</v>
      </c>
    </row>
    <row r="85" spans="1:21" x14ac:dyDescent="0.25">
      <c r="J85" s="11" t="s">
        <v>210</v>
      </c>
      <c r="K85" s="90">
        <v>0.85</v>
      </c>
      <c r="N85" s="11" t="s">
        <v>211</v>
      </c>
      <c r="P85" s="90">
        <v>0.15</v>
      </c>
      <c r="R85" s="11" t="s">
        <v>213</v>
      </c>
      <c r="T85" s="93">
        <v>0.25</v>
      </c>
    </row>
    <row r="86" spans="1:21" ht="55.2" x14ac:dyDescent="0.3">
      <c r="A86" s="76" t="s">
        <v>177</v>
      </c>
      <c r="B86" s="70" t="s">
        <v>92</v>
      </c>
      <c r="C86" s="70" t="s">
        <v>93</v>
      </c>
      <c r="D86" s="70" t="s">
        <v>94</v>
      </c>
      <c r="E86" s="70" t="s">
        <v>95</v>
      </c>
      <c r="F86" s="70" t="s">
        <v>96</v>
      </c>
      <c r="G86" s="70" t="s">
        <v>97</v>
      </c>
      <c r="J86" s="12" t="s">
        <v>34</v>
      </c>
      <c r="K86" s="11" t="s">
        <v>196</v>
      </c>
      <c r="L86" s="11" t="s">
        <v>197</v>
      </c>
      <c r="M86" s="11">
        <v>1982</v>
      </c>
      <c r="N86" s="11">
        <v>1995</v>
      </c>
      <c r="O86" s="11">
        <v>2006</v>
      </c>
      <c r="P86" s="11" t="s">
        <v>197</v>
      </c>
      <c r="Q86" s="11">
        <v>1982</v>
      </c>
      <c r="R86" s="11">
        <v>1995</v>
      </c>
      <c r="S86" s="11">
        <v>2006</v>
      </c>
    </row>
    <row r="87" spans="1:21" ht="13.8" x14ac:dyDescent="0.3">
      <c r="A87" s="69">
        <v>2013</v>
      </c>
      <c r="B87" s="71">
        <f>AVERAGE(B6,B11,B16,B21,B26,B31,B36,B41,B46,B51,B56,B61,B66,B71,B76,B81)</f>
        <v>301.10726899395416</v>
      </c>
      <c r="C87" s="71">
        <f t="shared" ref="C87:G87" si="17">AVERAGE(C6,C11,C16,C21,C26,C31,C36,C41,C46,C51,C56,C61,C66,C71,C76,C81)</f>
        <v>271.42993253613122</v>
      </c>
      <c r="D87" s="71">
        <f t="shared" si="17"/>
        <v>29.67733650844108</v>
      </c>
      <c r="E87" s="71">
        <f t="shared" si="17"/>
        <v>9.8284407745417397</v>
      </c>
      <c r="F87" s="71">
        <f t="shared" si="17"/>
        <v>0.16970889932860089</v>
      </c>
      <c r="G87" s="71">
        <f t="shared" si="17"/>
        <v>50.504374999999989</v>
      </c>
      <c r="J87" s="11" t="s">
        <v>184</v>
      </c>
      <c r="K87" s="90">
        <v>0.7</v>
      </c>
      <c r="L87" s="90">
        <v>0.5</v>
      </c>
      <c r="M87" s="90">
        <v>0.15</v>
      </c>
      <c r="N87" s="90">
        <v>0.15</v>
      </c>
      <c r="O87" s="90">
        <v>0.2</v>
      </c>
      <c r="P87" s="89">
        <v>5.950442969341864E-2</v>
      </c>
      <c r="Q87" s="89">
        <v>8.571488745876317E-2</v>
      </c>
      <c r="R87" s="89">
        <v>0.10221444866867178</v>
      </c>
      <c r="S87" s="89">
        <v>0.10633332443842966</v>
      </c>
    </row>
    <row r="88" spans="1:21" ht="13.8" x14ac:dyDescent="0.3">
      <c r="A88" s="69">
        <v>2006</v>
      </c>
      <c r="B88" s="71">
        <f t="shared" ref="B88:G90" si="18">AVERAGE(B7,B12,B17,B22,B27,B32,B37,B42,B47,B52,B57,B62,B67,B72,B77,B82)</f>
        <v>337.42376451222327</v>
      </c>
      <c r="C88" s="71">
        <f t="shared" si="18"/>
        <v>312.40419895260931</v>
      </c>
      <c r="D88" s="71">
        <f t="shared" si="18"/>
        <v>25.019565559614001</v>
      </c>
      <c r="E88" s="71">
        <f t="shared" si="18"/>
        <v>11.39640861759491</v>
      </c>
      <c r="F88" s="71">
        <f t="shared" si="18"/>
        <v>0.1438235243797252</v>
      </c>
      <c r="G88" s="71">
        <f t="shared" si="18"/>
        <v>53.266874999999999</v>
      </c>
      <c r="J88" s="11" t="s">
        <v>185</v>
      </c>
      <c r="K88" s="90">
        <v>0.3</v>
      </c>
      <c r="L88" s="90">
        <v>0.5</v>
      </c>
      <c r="M88" s="90">
        <v>0.15</v>
      </c>
      <c r="N88" s="90">
        <v>0.15</v>
      </c>
      <c r="O88" s="90">
        <v>0.2</v>
      </c>
      <c r="P88" s="89">
        <v>3.5445972066970567E-2</v>
      </c>
      <c r="Q88" s="89">
        <v>6.3737002190121614E-2</v>
      </c>
      <c r="R88" s="89">
        <v>6.878651783609592E-2</v>
      </c>
      <c r="S88" s="89">
        <v>7.5631505850051545E-2</v>
      </c>
    </row>
    <row r="89" spans="1:21" ht="13.8" x14ac:dyDescent="0.3">
      <c r="A89" s="69">
        <v>1995</v>
      </c>
      <c r="B89" s="71">
        <f t="shared" si="18"/>
        <v>494.6731145245742</v>
      </c>
      <c r="C89" s="71">
        <f t="shared" si="18"/>
        <v>462.8369279136819</v>
      </c>
      <c r="D89" s="71">
        <f t="shared" si="18"/>
        <v>31.836186560274061</v>
      </c>
      <c r="E89" s="71">
        <f t="shared" si="18"/>
        <v>17.098361677269374</v>
      </c>
      <c r="F89" s="71">
        <f t="shared" si="18"/>
        <v>0.1810474793174244</v>
      </c>
      <c r="G89" s="71">
        <f t="shared" si="18"/>
        <v>76.444999999999993</v>
      </c>
      <c r="J89" s="11" t="s">
        <v>183</v>
      </c>
      <c r="K89" s="90">
        <v>0.7</v>
      </c>
      <c r="L89" s="90">
        <v>0.5</v>
      </c>
      <c r="M89" s="90">
        <v>0.15</v>
      </c>
      <c r="N89" s="90">
        <v>0.15</v>
      </c>
      <c r="O89" s="90">
        <v>0.2</v>
      </c>
      <c r="P89" s="89">
        <v>3.5445972066970567E-2</v>
      </c>
      <c r="Q89" s="89">
        <v>6.3737002190121614E-2</v>
      </c>
      <c r="R89" s="89">
        <v>6.878651783609592E-2</v>
      </c>
      <c r="S89" s="89">
        <v>7.5631505850051545E-2</v>
      </c>
    </row>
    <row r="90" spans="1:21" ht="13.8" x14ac:dyDescent="0.3">
      <c r="A90" s="69">
        <v>1982</v>
      </c>
      <c r="B90" s="71">
        <f t="shared" si="18"/>
        <v>499.98818818072976</v>
      </c>
      <c r="C90" s="71">
        <f t="shared" si="18"/>
        <v>469.4218045167587</v>
      </c>
      <c r="D90" s="71">
        <f t="shared" si="18"/>
        <v>30.566383582982048</v>
      </c>
      <c r="E90" s="71">
        <f t="shared" si="18"/>
        <v>17.288928478993412</v>
      </c>
      <c r="F90" s="71">
        <f t="shared" si="18"/>
        <v>0.17395603429075873</v>
      </c>
      <c r="G90" s="71">
        <f t="shared" si="18"/>
        <v>76.384666666666661</v>
      </c>
      <c r="J90" s="11" t="s">
        <v>190</v>
      </c>
      <c r="K90" s="90">
        <v>0.3</v>
      </c>
      <c r="L90" s="90">
        <v>0.5</v>
      </c>
      <c r="M90" s="90">
        <v>0.15</v>
      </c>
      <c r="N90" s="90">
        <v>0.15</v>
      </c>
      <c r="O90" s="90">
        <v>0.2</v>
      </c>
      <c r="P90" s="89">
        <v>0.25544652119983069</v>
      </c>
      <c r="Q90" s="89">
        <v>0.43889896594949462</v>
      </c>
      <c r="R90" s="89">
        <v>0.4758866960848937</v>
      </c>
      <c r="S90" s="89">
        <v>0.48063211582047</v>
      </c>
    </row>
    <row r="91" spans="1:21" ht="13.8" x14ac:dyDescent="0.3">
      <c r="A91" s="76" t="s">
        <v>178</v>
      </c>
      <c r="B91" s="71">
        <f t="shared" ref="B91:G91" si="19">AVERAGE(B10,B15,B20,B25,B30,B35,B40,B45,B50,B55,B60,B65,B70,B75,B80,B86)</f>
        <v>255.90938603560011</v>
      </c>
      <c r="C91" s="71">
        <f t="shared" si="19"/>
        <v>235.55894398393178</v>
      </c>
      <c r="D91" s="71">
        <f t="shared" si="19"/>
        <v>20.35044202467196</v>
      </c>
      <c r="E91" s="71">
        <f t="shared" si="19"/>
        <v>8.6189860541765935</v>
      </c>
      <c r="F91" s="71">
        <f t="shared" si="19"/>
        <v>0.11809228727891681</v>
      </c>
      <c r="G91" s="71">
        <f t="shared" si="19"/>
        <v>41.217333333333336</v>
      </c>
    </row>
    <row r="92" spans="1:21" x14ac:dyDescent="0.25">
      <c r="J92" s="11" t="s">
        <v>209</v>
      </c>
    </row>
    <row r="93" spans="1:21" x14ac:dyDescent="0.25">
      <c r="S93" s="11" t="s">
        <v>212</v>
      </c>
    </row>
    <row r="94" spans="1:21" x14ac:dyDescent="0.25">
      <c r="J94" s="12" t="s">
        <v>34</v>
      </c>
      <c r="K94" s="11" t="s">
        <v>197</v>
      </c>
      <c r="L94" s="11">
        <v>1982</v>
      </c>
      <c r="M94" s="11">
        <v>1995</v>
      </c>
      <c r="N94" s="11">
        <v>2006</v>
      </c>
      <c r="O94" s="11" t="s">
        <v>197</v>
      </c>
      <c r="P94" s="11">
        <v>1982</v>
      </c>
      <c r="Q94" s="11">
        <v>1995</v>
      </c>
      <c r="R94" s="11">
        <v>2006</v>
      </c>
      <c r="S94" s="11" t="s">
        <v>208</v>
      </c>
      <c r="T94" s="11" t="s">
        <v>216</v>
      </c>
      <c r="U94" s="11" t="s">
        <v>215</v>
      </c>
    </row>
    <row r="95" spans="1:21" ht="14.4" x14ac:dyDescent="0.3">
      <c r="J95" s="11" t="s">
        <v>184</v>
      </c>
      <c r="K95" s="90">
        <v>0.5</v>
      </c>
      <c r="L95" s="90">
        <v>0.15</v>
      </c>
      <c r="M95" s="90">
        <v>0.15</v>
      </c>
      <c r="N95" s="90">
        <v>0.2</v>
      </c>
      <c r="O95" s="91">
        <v>4.6083061706564052</v>
      </c>
      <c r="P95" s="91">
        <v>4.3229506313553401</v>
      </c>
      <c r="Q95" s="91">
        <v>3.2381498639923976</v>
      </c>
      <c r="R95" s="91">
        <v>2.1239480204642547</v>
      </c>
      <c r="S95" s="74">
        <f>K80</f>
        <v>137.01128097818713</v>
      </c>
      <c r="T95" s="74">
        <f>SUMPRODUCT(K95:N95,O95:R95)*K$85/3.412*S95*ACTION_FRACTION</f>
        <v>32.964239579046222</v>
      </c>
      <c r="U95" s="72">
        <f>SUMPRODUCT(K95:N95,O95:R95)*S95*P$85*ACTION_FRACTION/100</f>
        <v>0.19848350372418655</v>
      </c>
    </row>
    <row r="96" spans="1:21" ht="14.4" x14ac:dyDescent="0.3">
      <c r="J96" s="11" t="s">
        <v>185</v>
      </c>
      <c r="K96" s="90">
        <v>0.5</v>
      </c>
      <c r="L96" s="90">
        <v>0.15</v>
      </c>
      <c r="M96" s="90">
        <v>0.15</v>
      </c>
      <c r="N96" s="90">
        <v>0.2</v>
      </c>
      <c r="O96" s="91">
        <v>3.6295196350169476</v>
      </c>
      <c r="P96" s="91">
        <v>3.2605164717222834</v>
      </c>
      <c r="Q96" s="91">
        <v>2.796560428100868</v>
      </c>
      <c r="R96" s="91">
        <v>1.4695749350564853</v>
      </c>
      <c r="S96" s="74">
        <f>L80</f>
        <v>476.95793129100412</v>
      </c>
      <c r="T96" s="74">
        <f>SUMPRODUCT(K96:N96,O96:R96)*K$85/3.412*S96*ACTION_FRACTION</f>
        <v>89.627094247921193</v>
      </c>
      <c r="U96" s="72">
        <f>SUMPRODUCT(K96:N96,O96:R96)*S96*P$85*ACTION_FRACTION/100</f>
        <v>0.53966055101277721</v>
      </c>
    </row>
    <row r="97" spans="10:22" ht="14.4" x14ac:dyDescent="0.3">
      <c r="J97" s="11" t="s">
        <v>183</v>
      </c>
      <c r="K97" s="90">
        <v>0.5</v>
      </c>
      <c r="L97" s="90">
        <v>0.15</v>
      </c>
      <c r="M97" s="90">
        <v>0.15</v>
      </c>
      <c r="N97" s="90">
        <v>0.2</v>
      </c>
      <c r="O97" s="91">
        <v>31.528334095980114</v>
      </c>
      <c r="P97" s="91">
        <v>29.405306118316872</v>
      </c>
      <c r="Q97" s="91">
        <v>4.9966565295387184</v>
      </c>
      <c r="R97" s="91">
        <v>4.8050914163767899</v>
      </c>
      <c r="S97" s="74">
        <f>N80</f>
        <v>345.40008850535531</v>
      </c>
      <c r="T97" s="74">
        <f>SUMPRODUCT(K97:N97,O97:R97)*K$85/3.412*S97*ACTION_FRACTION</f>
        <v>470.79129835203969</v>
      </c>
      <c r="U97" s="72">
        <f>SUMPRODUCT(K97:N97,O97:R97)*S97*P$85*ACTION_FRACTION/100</f>
        <v>2.834717488194987</v>
      </c>
    </row>
    <row r="98" spans="10:22" x14ac:dyDescent="0.25">
      <c r="J98" s="11" t="s">
        <v>190</v>
      </c>
      <c r="K98" s="90">
        <v>0.5</v>
      </c>
      <c r="L98" s="90">
        <v>0.15</v>
      </c>
      <c r="M98" s="90">
        <v>0.15</v>
      </c>
      <c r="N98" s="90">
        <v>0.2</v>
      </c>
      <c r="O98" s="72">
        <v>89.478615629258172</v>
      </c>
      <c r="P98" s="72">
        <v>86.53999176330376</v>
      </c>
      <c r="Q98" s="72">
        <v>65.635259958382392</v>
      </c>
      <c r="R98" s="72">
        <v>28.469348317759994</v>
      </c>
      <c r="S98" s="74">
        <f>O80</f>
        <v>86.350022126338828</v>
      </c>
      <c r="T98" s="74">
        <f>SUMPRODUCT(K98:N98,O98:R98)*K$85/3.412*S98*ACTION_FRACTION</f>
        <v>393.98175392074688</v>
      </c>
      <c r="U98" s="72">
        <f>SUMPRODUCT(K98:N98,O98:R98)*S98*P$85*ACTION_FRACTION/100</f>
        <v>2.3722336665486852</v>
      </c>
    </row>
    <row r="100" spans="10:22" x14ac:dyDescent="0.25">
      <c r="T100" s="94">
        <f>SUM(T95:T98)</f>
        <v>987.36438609975403</v>
      </c>
      <c r="U100" s="94">
        <f>SUM(U95:U98)</f>
        <v>5.9450952094806357</v>
      </c>
      <c r="V100" s="11" t="s">
        <v>214</v>
      </c>
    </row>
    <row r="158" s="14" customFormat="1" x14ac:dyDescent="0.25"/>
    <row r="175" ht="13.5" customHeight="1" x14ac:dyDescent="0.25"/>
    <row r="179" s="14" customFormat="1" x14ac:dyDescent="0.25"/>
    <row r="301" ht="27.75" customHeight="1" x14ac:dyDescent="0.25"/>
    <row r="330" s="12" customFormat="1" x14ac:dyDescent="0.25"/>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178"/>
  <sheetViews>
    <sheetView topLeftCell="C1" zoomScale="85" zoomScaleNormal="85" workbookViewId="0">
      <pane xSplit="7" ySplit="6" topLeftCell="P7" activePane="bottomRight" state="frozen"/>
      <selection activeCell="Q53" sqref="Q53"/>
      <selection pane="topRight" activeCell="Q53" sqref="Q53"/>
      <selection pane="bottomLeft" activeCell="Q53" sqref="Q53"/>
      <selection pane="bottomRight" activeCell="V6" sqref="V6"/>
    </sheetView>
  </sheetViews>
  <sheetFormatPr defaultRowHeight="14.4" x14ac:dyDescent="0.3"/>
  <cols>
    <col min="1" max="2" width="16.88671875" style="4" hidden="1" customWidth="1"/>
    <col min="3" max="3" width="31.109375" customWidth="1"/>
    <col min="4" max="4" width="16.5546875" customWidth="1"/>
    <col min="6" max="6" width="9.6640625" hidden="1" customWidth="1"/>
    <col min="7" max="7" width="9.6640625" customWidth="1"/>
    <col min="8" max="8" width="13.109375" customWidth="1"/>
    <col min="9" max="9" width="13.88671875" customWidth="1"/>
    <col min="10" max="10" width="9.109375" customWidth="1"/>
    <col min="11" max="11" width="11" customWidth="1"/>
    <col min="12" max="12" width="10.88671875" customWidth="1"/>
    <col min="13" max="13" width="14.33203125" customWidth="1"/>
    <col min="14" max="14" width="10.44140625" hidden="1" customWidth="1"/>
    <col min="15" max="15" width="35.88671875" customWidth="1"/>
    <col min="16" max="17" width="14.33203125" customWidth="1"/>
    <col min="19" max="19" width="11.109375" bestFit="1" customWidth="1"/>
    <col min="20" max="20" width="13.6640625" customWidth="1"/>
    <col min="21" max="21" width="20.5546875" bestFit="1" customWidth="1"/>
    <col min="22" max="22" width="16.44140625" customWidth="1"/>
    <col min="23" max="23" width="12.5546875" style="4" customWidth="1"/>
    <col min="24" max="24" width="17" style="4" customWidth="1"/>
    <col min="25" max="25" width="23.33203125" style="4" hidden="1" customWidth="1"/>
    <col min="26" max="26" width="22.33203125" style="4" customWidth="1"/>
    <col min="27" max="257" width="8.88671875" style="4"/>
    <col min="258" max="259" width="0" style="4" hidden="1" customWidth="1"/>
    <col min="260" max="260" width="13.88671875" style="4" customWidth="1"/>
    <col min="261" max="261" width="16.88671875" style="4" bestFit="1" customWidth="1"/>
    <col min="262" max="262" width="18.44140625" style="4" customWidth="1"/>
    <col min="263" max="263" width="0" style="4" hidden="1" customWidth="1"/>
    <col min="264" max="264" width="12" style="4" customWidth="1"/>
    <col min="265" max="265" width="23.44140625" style="4" bestFit="1" customWidth="1"/>
    <col min="266" max="266" width="11" style="4" customWidth="1"/>
    <col min="267" max="267" width="11.6640625" style="4" bestFit="1" customWidth="1"/>
    <col min="268" max="268" width="14" style="4" bestFit="1" customWidth="1"/>
    <col min="269" max="269" width="12.6640625" style="4" bestFit="1" customWidth="1"/>
    <col min="270" max="270" width="11.44140625" style="4" bestFit="1" customWidth="1"/>
    <col min="271" max="513" width="8.88671875" style="4"/>
    <col min="514" max="515" width="0" style="4" hidden="1" customWidth="1"/>
    <col min="516" max="516" width="13.88671875" style="4" customWidth="1"/>
    <col min="517" max="517" width="16.88671875" style="4" bestFit="1" customWidth="1"/>
    <col min="518" max="518" width="18.44140625" style="4" customWidth="1"/>
    <col min="519" max="519" width="0" style="4" hidden="1" customWidth="1"/>
    <col min="520" max="520" width="12" style="4" customWidth="1"/>
    <col min="521" max="521" width="23.44140625" style="4" bestFit="1" customWidth="1"/>
    <col min="522" max="522" width="11" style="4" customWidth="1"/>
    <col min="523" max="523" width="11.6640625" style="4" bestFit="1" customWidth="1"/>
    <col min="524" max="524" width="14" style="4" bestFit="1" customWidth="1"/>
    <col min="525" max="525" width="12.6640625" style="4" bestFit="1" customWidth="1"/>
    <col min="526" max="526" width="11.44140625" style="4" bestFit="1" customWidth="1"/>
    <col min="527" max="769" width="8.88671875" style="4"/>
    <col min="770" max="771" width="0" style="4" hidden="1" customWidth="1"/>
    <col min="772" max="772" width="13.88671875" style="4" customWidth="1"/>
    <col min="773" max="773" width="16.88671875" style="4" bestFit="1" customWidth="1"/>
    <col min="774" max="774" width="18.44140625" style="4" customWidth="1"/>
    <col min="775" max="775" width="0" style="4" hidden="1" customWidth="1"/>
    <col min="776" max="776" width="12" style="4" customWidth="1"/>
    <col min="777" max="777" width="23.44140625" style="4" bestFit="1" customWidth="1"/>
    <col min="778" max="778" width="11" style="4" customWidth="1"/>
    <col min="779" max="779" width="11.6640625" style="4" bestFit="1" customWidth="1"/>
    <col min="780" max="780" width="14" style="4" bestFit="1" customWidth="1"/>
    <col min="781" max="781" width="12.6640625" style="4" bestFit="1" customWidth="1"/>
    <col min="782" max="782" width="11.44140625" style="4" bestFit="1" customWidth="1"/>
    <col min="783" max="1025" width="8.88671875" style="4"/>
    <col min="1026" max="1027" width="0" style="4" hidden="1" customWidth="1"/>
    <col min="1028" max="1028" width="13.88671875" style="4" customWidth="1"/>
    <col min="1029" max="1029" width="16.88671875" style="4" bestFit="1" customWidth="1"/>
    <col min="1030" max="1030" width="18.44140625" style="4" customWidth="1"/>
    <col min="1031" max="1031" width="0" style="4" hidden="1" customWidth="1"/>
    <col min="1032" max="1032" width="12" style="4" customWidth="1"/>
    <col min="1033" max="1033" width="23.44140625" style="4" bestFit="1" customWidth="1"/>
    <col min="1034" max="1034" width="11" style="4" customWidth="1"/>
    <col min="1035" max="1035" width="11.6640625" style="4" bestFit="1" customWidth="1"/>
    <col min="1036" max="1036" width="14" style="4" bestFit="1" customWidth="1"/>
    <col min="1037" max="1037" width="12.6640625" style="4" bestFit="1" customWidth="1"/>
    <col min="1038" max="1038" width="11.44140625" style="4" bestFit="1" customWidth="1"/>
    <col min="1039" max="1281" width="8.88671875" style="4"/>
    <col min="1282" max="1283" width="0" style="4" hidden="1" customWidth="1"/>
    <col min="1284" max="1284" width="13.88671875" style="4" customWidth="1"/>
    <col min="1285" max="1285" width="16.88671875" style="4" bestFit="1" customWidth="1"/>
    <col min="1286" max="1286" width="18.44140625" style="4" customWidth="1"/>
    <col min="1287" max="1287" width="0" style="4" hidden="1" customWidth="1"/>
    <col min="1288" max="1288" width="12" style="4" customWidth="1"/>
    <col min="1289" max="1289" width="23.44140625" style="4" bestFit="1" customWidth="1"/>
    <col min="1290" max="1290" width="11" style="4" customWidth="1"/>
    <col min="1291" max="1291" width="11.6640625" style="4" bestFit="1" customWidth="1"/>
    <col min="1292" max="1292" width="14" style="4" bestFit="1" customWidth="1"/>
    <col min="1293" max="1293" width="12.6640625" style="4" bestFit="1" customWidth="1"/>
    <col min="1294" max="1294" width="11.44140625" style="4" bestFit="1" customWidth="1"/>
    <col min="1295" max="1537" width="8.88671875" style="4"/>
    <col min="1538" max="1539" width="0" style="4" hidden="1" customWidth="1"/>
    <col min="1540" max="1540" width="13.88671875" style="4" customWidth="1"/>
    <col min="1541" max="1541" width="16.88671875" style="4" bestFit="1" customWidth="1"/>
    <col min="1542" max="1542" width="18.44140625" style="4" customWidth="1"/>
    <col min="1543" max="1543" width="0" style="4" hidden="1" customWidth="1"/>
    <col min="1544" max="1544" width="12" style="4" customWidth="1"/>
    <col min="1545" max="1545" width="23.44140625" style="4" bestFit="1" customWidth="1"/>
    <col min="1546" max="1546" width="11" style="4" customWidth="1"/>
    <col min="1547" max="1547" width="11.6640625" style="4" bestFit="1" customWidth="1"/>
    <col min="1548" max="1548" width="14" style="4" bestFit="1" customWidth="1"/>
    <col min="1549" max="1549" width="12.6640625" style="4" bestFit="1" customWidth="1"/>
    <col min="1550" max="1550" width="11.44140625" style="4" bestFit="1" customWidth="1"/>
    <col min="1551" max="1793" width="8.88671875" style="4"/>
    <col min="1794" max="1795" width="0" style="4" hidden="1" customWidth="1"/>
    <col min="1796" max="1796" width="13.88671875" style="4" customWidth="1"/>
    <col min="1797" max="1797" width="16.88671875" style="4" bestFit="1" customWidth="1"/>
    <col min="1798" max="1798" width="18.44140625" style="4" customWidth="1"/>
    <col min="1799" max="1799" width="0" style="4" hidden="1" customWidth="1"/>
    <col min="1800" max="1800" width="12" style="4" customWidth="1"/>
    <col min="1801" max="1801" width="23.44140625" style="4" bestFit="1" customWidth="1"/>
    <col min="1802" max="1802" width="11" style="4" customWidth="1"/>
    <col min="1803" max="1803" width="11.6640625" style="4" bestFit="1" customWidth="1"/>
    <col min="1804" max="1804" width="14" style="4" bestFit="1" customWidth="1"/>
    <col min="1805" max="1805" width="12.6640625" style="4" bestFit="1" customWidth="1"/>
    <col min="1806" max="1806" width="11.44140625" style="4" bestFit="1" customWidth="1"/>
    <col min="1807" max="2049" width="8.88671875" style="4"/>
    <col min="2050" max="2051" width="0" style="4" hidden="1" customWidth="1"/>
    <col min="2052" max="2052" width="13.88671875" style="4" customWidth="1"/>
    <col min="2053" max="2053" width="16.88671875" style="4" bestFit="1" customWidth="1"/>
    <col min="2054" max="2054" width="18.44140625" style="4" customWidth="1"/>
    <col min="2055" max="2055" width="0" style="4" hidden="1" customWidth="1"/>
    <col min="2056" max="2056" width="12" style="4" customWidth="1"/>
    <col min="2057" max="2057" width="23.44140625" style="4" bestFit="1" customWidth="1"/>
    <col min="2058" max="2058" width="11" style="4" customWidth="1"/>
    <col min="2059" max="2059" width="11.6640625" style="4" bestFit="1" customWidth="1"/>
    <col min="2060" max="2060" width="14" style="4" bestFit="1" customWidth="1"/>
    <col min="2061" max="2061" width="12.6640625" style="4" bestFit="1" customWidth="1"/>
    <col min="2062" max="2062" width="11.44140625" style="4" bestFit="1" customWidth="1"/>
    <col min="2063" max="2305" width="8.88671875" style="4"/>
    <col min="2306" max="2307" width="0" style="4" hidden="1" customWidth="1"/>
    <col min="2308" max="2308" width="13.88671875" style="4" customWidth="1"/>
    <col min="2309" max="2309" width="16.88671875" style="4" bestFit="1" customWidth="1"/>
    <col min="2310" max="2310" width="18.44140625" style="4" customWidth="1"/>
    <col min="2311" max="2311" width="0" style="4" hidden="1" customWidth="1"/>
    <col min="2312" max="2312" width="12" style="4" customWidth="1"/>
    <col min="2313" max="2313" width="23.44140625" style="4" bestFit="1" customWidth="1"/>
    <col min="2314" max="2314" width="11" style="4" customWidth="1"/>
    <col min="2315" max="2315" width="11.6640625" style="4" bestFit="1" customWidth="1"/>
    <col min="2316" max="2316" width="14" style="4" bestFit="1" customWidth="1"/>
    <col min="2317" max="2317" width="12.6640625" style="4" bestFit="1" customWidth="1"/>
    <col min="2318" max="2318" width="11.44140625" style="4" bestFit="1" customWidth="1"/>
    <col min="2319" max="2561" width="8.88671875" style="4"/>
    <col min="2562" max="2563" width="0" style="4" hidden="1" customWidth="1"/>
    <col min="2564" max="2564" width="13.88671875" style="4" customWidth="1"/>
    <col min="2565" max="2565" width="16.88671875" style="4" bestFit="1" customWidth="1"/>
    <col min="2566" max="2566" width="18.44140625" style="4" customWidth="1"/>
    <col min="2567" max="2567" width="0" style="4" hidden="1" customWidth="1"/>
    <col min="2568" max="2568" width="12" style="4" customWidth="1"/>
    <col min="2569" max="2569" width="23.44140625" style="4" bestFit="1" customWidth="1"/>
    <col min="2570" max="2570" width="11" style="4" customWidth="1"/>
    <col min="2571" max="2571" width="11.6640625" style="4" bestFit="1" customWidth="1"/>
    <col min="2572" max="2572" width="14" style="4" bestFit="1" customWidth="1"/>
    <col min="2573" max="2573" width="12.6640625" style="4" bestFit="1" customWidth="1"/>
    <col min="2574" max="2574" width="11.44140625" style="4" bestFit="1" customWidth="1"/>
    <col min="2575" max="2817" width="8.88671875" style="4"/>
    <col min="2818" max="2819" width="0" style="4" hidden="1" customWidth="1"/>
    <col min="2820" max="2820" width="13.88671875" style="4" customWidth="1"/>
    <col min="2821" max="2821" width="16.88671875" style="4" bestFit="1" customWidth="1"/>
    <col min="2822" max="2822" width="18.44140625" style="4" customWidth="1"/>
    <col min="2823" max="2823" width="0" style="4" hidden="1" customWidth="1"/>
    <col min="2824" max="2824" width="12" style="4" customWidth="1"/>
    <col min="2825" max="2825" width="23.44140625" style="4" bestFit="1" customWidth="1"/>
    <col min="2826" max="2826" width="11" style="4" customWidth="1"/>
    <col min="2827" max="2827" width="11.6640625" style="4" bestFit="1" customWidth="1"/>
    <col min="2828" max="2828" width="14" style="4" bestFit="1" customWidth="1"/>
    <col min="2829" max="2829" width="12.6640625" style="4" bestFit="1" customWidth="1"/>
    <col min="2830" max="2830" width="11.44140625" style="4" bestFit="1" customWidth="1"/>
    <col min="2831" max="3073" width="8.88671875" style="4"/>
    <col min="3074" max="3075" width="0" style="4" hidden="1" customWidth="1"/>
    <col min="3076" max="3076" width="13.88671875" style="4" customWidth="1"/>
    <col min="3077" max="3077" width="16.88671875" style="4" bestFit="1" customWidth="1"/>
    <col min="3078" max="3078" width="18.44140625" style="4" customWidth="1"/>
    <col min="3079" max="3079" width="0" style="4" hidden="1" customWidth="1"/>
    <col min="3080" max="3080" width="12" style="4" customWidth="1"/>
    <col min="3081" max="3081" width="23.44140625" style="4" bestFit="1" customWidth="1"/>
    <col min="3082" max="3082" width="11" style="4" customWidth="1"/>
    <col min="3083" max="3083" width="11.6640625" style="4" bestFit="1" customWidth="1"/>
    <col min="3084" max="3084" width="14" style="4" bestFit="1" customWidth="1"/>
    <col min="3085" max="3085" width="12.6640625" style="4" bestFit="1" customWidth="1"/>
    <col min="3086" max="3086" width="11.44140625" style="4" bestFit="1" customWidth="1"/>
    <col min="3087" max="3329" width="8.88671875" style="4"/>
    <col min="3330" max="3331" width="0" style="4" hidden="1" customWidth="1"/>
    <col min="3332" max="3332" width="13.88671875" style="4" customWidth="1"/>
    <col min="3333" max="3333" width="16.88671875" style="4" bestFit="1" customWidth="1"/>
    <col min="3334" max="3334" width="18.44140625" style="4" customWidth="1"/>
    <col min="3335" max="3335" width="0" style="4" hidden="1" customWidth="1"/>
    <col min="3336" max="3336" width="12" style="4" customWidth="1"/>
    <col min="3337" max="3337" width="23.44140625" style="4" bestFit="1" customWidth="1"/>
    <col min="3338" max="3338" width="11" style="4" customWidth="1"/>
    <col min="3339" max="3339" width="11.6640625" style="4" bestFit="1" customWidth="1"/>
    <col min="3340" max="3340" width="14" style="4" bestFit="1" customWidth="1"/>
    <col min="3341" max="3341" width="12.6640625" style="4" bestFit="1" customWidth="1"/>
    <col min="3342" max="3342" width="11.44140625" style="4" bestFit="1" customWidth="1"/>
    <col min="3343" max="3585" width="8.88671875" style="4"/>
    <col min="3586" max="3587" width="0" style="4" hidden="1" customWidth="1"/>
    <col min="3588" max="3588" width="13.88671875" style="4" customWidth="1"/>
    <col min="3589" max="3589" width="16.88671875" style="4" bestFit="1" customWidth="1"/>
    <col min="3590" max="3590" width="18.44140625" style="4" customWidth="1"/>
    <col min="3591" max="3591" width="0" style="4" hidden="1" customWidth="1"/>
    <col min="3592" max="3592" width="12" style="4" customWidth="1"/>
    <col min="3593" max="3593" width="23.44140625" style="4" bestFit="1" customWidth="1"/>
    <col min="3594" max="3594" width="11" style="4" customWidth="1"/>
    <col min="3595" max="3595" width="11.6640625" style="4" bestFit="1" customWidth="1"/>
    <col min="3596" max="3596" width="14" style="4" bestFit="1" customWidth="1"/>
    <col min="3597" max="3597" width="12.6640625" style="4" bestFit="1" customWidth="1"/>
    <col min="3598" max="3598" width="11.44140625" style="4" bestFit="1" customWidth="1"/>
    <col min="3599" max="3841" width="8.88671875" style="4"/>
    <col min="3842" max="3843" width="0" style="4" hidden="1" customWidth="1"/>
    <col min="3844" max="3844" width="13.88671875" style="4" customWidth="1"/>
    <col min="3845" max="3845" width="16.88671875" style="4" bestFit="1" customWidth="1"/>
    <col min="3846" max="3846" width="18.44140625" style="4" customWidth="1"/>
    <col min="3847" max="3847" width="0" style="4" hidden="1" customWidth="1"/>
    <col min="3848" max="3848" width="12" style="4" customWidth="1"/>
    <col min="3849" max="3849" width="23.44140625" style="4" bestFit="1" customWidth="1"/>
    <col min="3850" max="3850" width="11" style="4" customWidth="1"/>
    <col min="3851" max="3851" width="11.6640625" style="4" bestFit="1" customWidth="1"/>
    <col min="3852" max="3852" width="14" style="4" bestFit="1" customWidth="1"/>
    <col min="3853" max="3853" width="12.6640625" style="4" bestFit="1" customWidth="1"/>
    <col min="3854" max="3854" width="11.44140625" style="4" bestFit="1" customWidth="1"/>
    <col min="3855" max="4097" width="8.88671875" style="4"/>
    <col min="4098" max="4099" width="0" style="4" hidden="1" customWidth="1"/>
    <col min="4100" max="4100" width="13.88671875" style="4" customWidth="1"/>
    <col min="4101" max="4101" width="16.88671875" style="4" bestFit="1" customWidth="1"/>
    <col min="4102" max="4102" width="18.44140625" style="4" customWidth="1"/>
    <col min="4103" max="4103" width="0" style="4" hidden="1" customWidth="1"/>
    <col min="4104" max="4104" width="12" style="4" customWidth="1"/>
    <col min="4105" max="4105" width="23.44140625" style="4" bestFit="1" customWidth="1"/>
    <col min="4106" max="4106" width="11" style="4" customWidth="1"/>
    <col min="4107" max="4107" width="11.6640625" style="4" bestFit="1" customWidth="1"/>
    <col min="4108" max="4108" width="14" style="4" bestFit="1" customWidth="1"/>
    <col min="4109" max="4109" width="12.6640625" style="4" bestFit="1" customWidth="1"/>
    <col min="4110" max="4110" width="11.44140625" style="4" bestFit="1" customWidth="1"/>
    <col min="4111" max="4353" width="8.88671875" style="4"/>
    <col min="4354" max="4355" width="0" style="4" hidden="1" customWidth="1"/>
    <col min="4356" max="4356" width="13.88671875" style="4" customWidth="1"/>
    <col min="4357" max="4357" width="16.88671875" style="4" bestFit="1" customWidth="1"/>
    <col min="4358" max="4358" width="18.44140625" style="4" customWidth="1"/>
    <col min="4359" max="4359" width="0" style="4" hidden="1" customWidth="1"/>
    <col min="4360" max="4360" width="12" style="4" customWidth="1"/>
    <col min="4361" max="4361" width="23.44140625" style="4" bestFit="1" customWidth="1"/>
    <col min="4362" max="4362" width="11" style="4" customWidth="1"/>
    <col min="4363" max="4363" width="11.6640625" style="4" bestFit="1" customWidth="1"/>
    <col min="4364" max="4364" width="14" style="4" bestFit="1" customWidth="1"/>
    <col min="4365" max="4365" width="12.6640625" style="4" bestFit="1" customWidth="1"/>
    <col min="4366" max="4366" width="11.44140625" style="4" bestFit="1" customWidth="1"/>
    <col min="4367" max="4609" width="8.88671875" style="4"/>
    <col min="4610" max="4611" width="0" style="4" hidden="1" customWidth="1"/>
    <col min="4612" max="4612" width="13.88671875" style="4" customWidth="1"/>
    <col min="4613" max="4613" width="16.88671875" style="4" bestFit="1" customWidth="1"/>
    <col min="4614" max="4614" width="18.44140625" style="4" customWidth="1"/>
    <col min="4615" max="4615" width="0" style="4" hidden="1" customWidth="1"/>
    <col min="4616" max="4616" width="12" style="4" customWidth="1"/>
    <col min="4617" max="4617" width="23.44140625" style="4" bestFit="1" customWidth="1"/>
    <col min="4618" max="4618" width="11" style="4" customWidth="1"/>
    <col min="4619" max="4619" width="11.6640625" style="4" bestFit="1" customWidth="1"/>
    <col min="4620" max="4620" width="14" style="4" bestFit="1" customWidth="1"/>
    <col min="4621" max="4621" width="12.6640625" style="4" bestFit="1" customWidth="1"/>
    <col min="4622" max="4622" width="11.44140625" style="4" bestFit="1" customWidth="1"/>
    <col min="4623" max="4865" width="8.88671875" style="4"/>
    <col min="4866" max="4867" width="0" style="4" hidden="1" customWidth="1"/>
    <col min="4868" max="4868" width="13.88671875" style="4" customWidth="1"/>
    <col min="4869" max="4869" width="16.88671875" style="4" bestFit="1" customWidth="1"/>
    <col min="4870" max="4870" width="18.44140625" style="4" customWidth="1"/>
    <col min="4871" max="4871" width="0" style="4" hidden="1" customWidth="1"/>
    <col min="4872" max="4872" width="12" style="4" customWidth="1"/>
    <col min="4873" max="4873" width="23.44140625" style="4" bestFit="1" customWidth="1"/>
    <col min="4874" max="4874" width="11" style="4" customWidth="1"/>
    <col min="4875" max="4875" width="11.6640625" style="4" bestFit="1" customWidth="1"/>
    <col min="4876" max="4876" width="14" style="4" bestFit="1" customWidth="1"/>
    <col min="4877" max="4877" width="12.6640625" style="4" bestFit="1" customWidth="1"/>
    <col min="4878" max="4878" width="11.44140625" style="4" bestFit="1" customWidth="1"/>
    <col min="4879" max="5121" width="8.88671875" style="4"/>
    <col min="5122" max="5123" width="0" style="4" hidden="1" customWidth="1"/>
    <col min="5124" max="5124" width="13.88671875" style="4" customWidth="1"/>
    <col min="5125" max="5125" width="16.88671875" style="4" bestFit="1" customWidth="1"/>
    <col min="5126" max="5126" width="18.44140625" style="4" customWidth="1"/>
    <col min="5127" max="5127" width="0" style="4" hidden="1" customWidth="1"/>
    <col min="5128" max="5128" width="12" style="4" customWidth="1"/>
    <col min="5129" max="5129" width="23.44140625" style="4" bestFit="1" customWidth="1"/>
    <col min="5130" max="5130" width="11" style="4" customWidth="1"/>
    <col min="5131" max="5131" width="11.6640625" style="4" bestFit="1" customWidth="1"/>
    <col min="5132" max="5132" width="14" style="4" bestFit="1" customWidth="1"/>
    <col min="5133" max="5133" width="12.6640625" style="4" bestFit="1" customWidth="1"/>
    <col min="5134" max="5134" width="11.44140625" style="4" bestFit="1" customWidth="1"/>
    <col min="5135" max="5377" width="8.88671875" style="4"/>
    <col min="5378" max="5379" width="0" style="4" hidden="1" customWidth="1"/>
    <col min="5380" max="5380" width="13.88671875" style="4" customWidth="1"/>
    <col min="5381" max="5381" width="16.88671875" style="4" bestFit="1" customWidth="1"/>
    <col min="5382" max="5382" width="18.44140625" style="4" customWidth="1"/>
    <col min="5383" max="5383" width="0" style="4" hidden="1" customWidth="1"/>
    <col min="5384" max="5384" width="12" style="4" customWidth="1"/>
    <col min="5385" max="5385" width="23.44140625" style="4" bestFit="1" customWidth="1"/>
    <col min="5386" max="5386" width="11" style="4" customWidth="1"/>
    <col min="5387" max="5387" width="11.6640625" style="4" bestFit="1" customWidth="1"/>
    <col min="5388" max="5388" width="14" style="4" bestFit="1" customWidth="1"/>
    <col min="5389" max="5389" width="12.6640625" style="4" bestFit="1" customWidth="1"/>
    <col min="5390" max="5390" width="11.44140625" style="4" bestFit="1" customWidth="1"/>
    <col min="5391" max="5633" width="8.88671875" style="4"/>
    <col min="5634" max="5635" width="0" style="4" hidden="1" customWidth="1"/>
    <col min="5636" max="5636" width="13.88671875" style="4" customWidth="1"/>
    <col min="5637" max="5637" width="16.88671875" style="4" bestFit="1" customWidth="1"/>
    <col min="5638" max="5638" width="18.44140625" style="4" customWidth="1"/>
    <col min="5639" max="5639" width="0" style="4" hidden="1" customWidth="1"/>
    <col min="5640" max="5640" width="12" style="4" customWidth="1"/>
    <col min="5641" max="5641" width="23.44140625" style="4" bestFit="1" customWidth="1"/>
    <col min="5642" max="5642" width="11" style="4" customWidth="1"/>
    <col min="5643" max="5643" width="11.6640625" style="4" bestFit="1" customWidth="1"/>
    <col min="5644" max="5644" width="14" style="4" bestFit="1" customWidth="1"/>
    <col min="5645" max="5645" width="12.6640625" style="4" bestFit="1" customWidth="1"/>
    <col min="5646" max="5646" width="11.44140625" style="4" bestFit="1" customWidth="1"/>
    <col min="5647" max="5889" width="8.88671875" style="4"/>
    <col min="5890" max="5891" width="0" style="4" hidden="1" customWidth="1"/>
    <col min="5892" max="5892" width="13.88671875" style="4" customWidth="1"/>
    <col min="5893" max="5893" width="16.88671875" style="4" bestFit="1" customWidth="1"/>
    <col min="5894" max="5894" width="18.44140625" style="4" customWidth="1"/>
    <col min="5895" max="5895" width="0" style="4" hidden="1" customWidth="1"/>
    <col min="5896" max="5896" width="12" style="4" customWidth="1"/>
    <col min="5897" max="5897" width="23.44140625" style="4" bestFit="1" customWidth="1"/>
    <col min="5898" max="5898" width="11" style="4" customWidth="1"/>
    <col min="5899" max="5899" width="11.6640625" style="4" bestFit="1" customWidth="1"/>
    <col min="5900" max="5900" width="14" style="4" bestFit="1" customWidth="1"/>
    <col min="5901" max="5901" width="12.6640625" style="4" bestFit="1" customWidth="1"/>
    <col min="5902" max="5902" width="11.44140625" style="4" bestFit="1" customWidth="1"/>
    <col min="5903" max="6145" width="8.88671875" style="4"/>
    <col min="6146" max="6147" width="0" style="4" hidden="1" customWidth="1"/>
    <col min="6148" max="6148" width="13.88671875" style="4" customWidth="1"/>
    <col min="6149" max="6149" width="16.88671875" style="4" bestFit="1" customWidth="1"/>
    <col min="6150" max="6150" width="18.44140625" style="4" customWidth="1"/>
    <col min="6151" max="6151" width="0" style="4" hidden="1" customWidth="1"/>
    <col min="6152" max="6152" width="12" style="4" customWidth="1"/>
    <col min="6153" max="6153" width="23.44140625" style="4" bestFit="1" customWidth="1"/>
    <col min="6154" max="6154" width="11" style="4" customWidth="1"/>
    <col min="6155" max="6155" width="11.6640625" style="4" bestFit="1" customWidth="1"/>
    <col min="6156" max="6156" width="14" style="4" bestFit="1" customWidth="1"/>
    <col min="6157" max="6157" width="12.6640625" style="4" bestFit="1" customWidth="1"/>
    <col min="6158" max="6158" width="11.44140625" style="4" bestFit="1" customWidth="1"/>
    <col min="6159" max="6401" width="8.88671875" style="4"/>
    <col min="6402" max="6403" width="0" style="4" hidden="1" customWidth="1"/>
    <col min="6404" max="6404" width="13.88671875" style="4" customWidth="1"/>
    <col min="6405" max="6405" width="16.88671875" style="4" bestFit="1" customWidth="1"/>
    <col min="6406" max="6406" width="18.44140625" style="4" customWidth="1"/>
    <col min="6407" max="6407" width="0" style="4" hidden="1" customWidth="1"/>
    <col min="6408" max="6408" width="12" style="4" customWidth="1"/>
    <col min="6409" max="6409" width="23.44140625" style="4" bestFit="1" customWidth="1"/>
    <col min="6410" max="6410" width="11" style="4" customWidth="1"/>
    <col min="6411" max="6411" width="11.6640625" style="4" bestFit="1" customWidth="1"/>
    <col min="6412" max="6412" width="14" style="4" bestFit="1" customWidth="1"/>
    <col min="6413" max="6413" width="12.6640625" style="4" bestFit="1" customWidth="1"/>
    <col min="6414" max="6414" width="11.44140625" style="4" bestFit="1" customWidth="1"/>
    <col min="6415" max="6657" width="8.88671875" style="4"/>
    <col min="6658" max="6659" width="0" style="4" hidden="1" customWidth="1"/>
    <col min="6660" max="6660" width="13.88671875" style="4" customWidth="1"/>
    <col min="6661" max="6661" width="16.88671875" style="4" bestFit="1" customWidth="1"/>
    <col min="6662" max="6662" width="18.44140625" style="4" customWidth="1"/>
    <col min="6663" max="6663" width="0" style="4" hidden="1" customWidth="1"/>
    <col min="6664" max="6664" width="12" style="4" customWidth="1"/>
    <col min="6665" max="6665" width="23.44140625" style="4" bestFit="1" customWidth="1"/>
    <col min="6666" max="6666" width="11" style="4" customWidth="1"/>
    <col min="6667" max="6667" width="11.6640625" style="4" bestFit="1" customWidth="1"/>
    <col min="6668" max="6668" width="14" style="4" bestFit="1" customWidth="1"/>
    <col min="6669" max="6669" width="12.6640625" style="4" bestFit="1" customWidth="1"/>
    <col min="6670" max="6670" width="11.44140625" style="4" bestFit="1" customWidth="1"/>
    <col min="6671" max="6913" width="8.88671875" style="4"/>
    <col min="6914" max="6915" width="0" style="4" hidden="1" customWidth="1"/>
    <col min="6916" max="6916" width="13.88671875" style="4" customWidth="1"/>
    <col min="6917" max="6917" width="16.88671875" style="4" bestFit="1" customWidth="1"/>
    <col min="6918" max="6918" width="18.44140625" style="4" customWidth="1"/>
    <col min="6919" max="6919" width="0" style="4" hidden="1" customWidth="1"/>
    <col min="6920" max="6920" width="12" style="4" customWidth="1"/>
    <col min="6921" max="6921" width="23.44140625" style="4" bestFit="1" customWidth="1"/>
    <col min="6922" max="6922" width="11" style="4" customWidth="1"/>
    <col min="6923" max="6923" width="11.6640625" style="4" bestFit="1" customWidth="1"/>
    <col min="6924" max="6924" width="14" style="4" bestFit="1" customWidth="1"/>
    <col min="6925" max="6925" width="12.6640625" style="4" bestFit="1" customWidth="1"/>
    <col min="6926" max="6926" width="11.44140625" style="4" bestFit="1" customWidth="1"/>
    <col min="6927" max="7169" width="8.88671875" style="4"/>
    <col min="7170" max="7171" width="0" style="4" hidden="1" customWidth="1"/>
    <col min="7172" max="7172" width="13.88671875" style="4" customWidth="1"/>
    <col min="7173" max="7173" width="16.88671875" style="4" bestFit="1" customWidth="1"/>
    <col min="7174" max="7174" width="18.44140625" style="4" customWidth="1"/>
    <col min="7175" max="7175" width="0" style="4" hidden="1" customWidth="1"/>
    <col min="7176" max="7176" width="12" style="4" customWidth="1"/>
    <col min="7177" max="7177" width="23.44140625" style="4" bestFit="1" customWidth="1"/>
    <col min="7178" max="7178" width="11" style="4" customWidth="1"/>
    <col min="7179" max="7179" width="11.6640625" style="4" bestFit="1" customWidth="1"/>
    <col min="7180" max="7180" width="14" style="4" bestFit="1" customWidth="1"/>
    <col min="7181" max="7181" width="12.6640625" style="4" bestFit="1" customWidth="1"/>
    <col min="7182" max="7182" width="11.44140625" style="4" bestFit="1" customWidth="1"/>
    <col min="7183" max="7425" width="8.88671875" style="4"/>
    <col min="7426" max="7427" width="0" style="4" hidden="1" customWidth="1"/>
    <col min="7428" max="7428" width="13.88671875" style="4" customWidth="1"/>
    <col min="7429" max="7429" width="16.88671875" style="4" bestFit="1" customWidth="1"/>
    <col min="7430" max="7430" width="18.44140625" style="4" customWidth="1"/>
    <col min="7431" max="7431" width="0" style="4" hidden="1" customWidth="1"/>
    <col min="7432" max="7432" width="12" style="4" customWidth="1"/>
    <col min="7433" max="7433" width="23.44140625" style="4" bestFit="1" customWidth="1"/>
    <col min="7434" max="7434" width="11" style="4" customWidth="1"/>
    <col min="7435" max="7435" width="11.6640625" style="4" bestFit="1" customWidth="1"/>
    <col min="7436" max="7436" width="14" style="4" bestFit="1" customWidth="1"/>
    <col min="7437" max="7437" width="12.6640625" style="4" bestFit="1" customWidth="1"/>
    <col min="7438" max="7438" width="11.44140625" style="4" bestFit="1" customWidth="1"/>
    <col min="7439" max="7681" width="8.88671875" style="4"/>
    <col min="7682" max="7683" width="0" style="4" hidden="1" customWidth="1"/>
    <col min="7684" max="7684" width="13.88671875" style="4" customWidth="1"/>
    <col min="7685" max="7685" width="16.88671875" style="4" bestFit="1" customWidth="1"/>
    <col min="7686" max="7686" width="18.44140625" style="4" customWidth="1"/>
    <col min="7687" max="7687" width="0" style="4" hidden="1" customWidth="1"/>
    <col min="7688" max="7688" width="12" style="4" customWidth="1"/>
    <col min="7689" max="7689" width="23.44140625" style="4" bestFit="1" customWidth="1"/>
    <col min="7690" max="7690" width="11" style="4" customWidth="1"/>
    <col min="7691" max="7691" width="11.6640625" style="4" bestFit="1" customWidth="1"/>
    <col min="7692" max="7692" width="14" style="4" bestFit="1" customWidth="1"/>
    <col min="7693" max="7693" width="12.6640625" style="4" bestFit="1" customWidth="1"/>
    <col min="7694" max="7694" width="11.44140625" style="4" bestFit="1" customWidth="1"/>
    <col min="7695" max="7937" width="8.88671875" style="4"/>
    <col min="7938" max="7939" width="0" style="4" hidden="1" customWidth="1"/>
    <col min="7940" max="7940" width="13.88671875" style="4" customWidth="1"/>
    <col min="7941" max="7941" width="16.88671875" style="4" bestFit="1" customWidth="1"/>
    <col min="7942" max="7942" width="18.44140625" style="4" customWidth="1"/>
    <col min="7943" max="7943" width="0" style="4" hidden="1" customWidth="1"/>
    <col min="7944" max="7944" width="12" style="4" customWidth="1"/>
    <col min="7945" max="7945" width="23.44140625" style="4" bestFit="1" customWidth="1"/>
    <col min="7946" max="7946" width="11" style="4" customWidth="1"/>
    <col min="7947" max="7947" width="11.6640625" style="4" bestFit="1" customWidth="1"/>
    <col min="7948" max="7948" width="14" style="4" bestFit="1" customWidth="1"/>
    <col min="7949" max="7949" width="12.6640625" style="4" bestFit="1" customWidth="1"/>
    <col min="7950" max="7950" width="11.44140625" style="4" bestFit="1" customWidth="1"/>
    <col min="7951" max="8193" width="8.88671875" style="4"/>
    <col min="8194" max="8195" width="0" style="4" hidden="1" customWidth="1"/>
    <col min="8196" max="8196" width="13.88671875" style="4" customWidth="1"/>
    <col min="8197" max="8197" width="16.88671875" style="4" bestFit="1" customWidth="1"/>
    <col min="8198" max="8198" width="18.44140625" style="4" customWidth="1"/>
    <col min="8199" max="8199" width="0" style="4" hidden="1" customWidth="1"/>
    <col min="8200" max="8200" width="12" style="4" customWidth="1"/>
    <col min="8201" max="8201" width="23.44140625" style="4" bestFit="1" customWidth="1"/>
    <col min="8202" max="8202" width="11" style="4" customWidth="1"/>
    <col min="8203" max="8203" width="11.6640625" style="4" bestFit="1" customWidth="1"/>
    <col min="8204" max="8204" width="14" style="4" bestFit="1" customWidth="1"/>
    <col min="8205" max="8205" width="12.6640625" style="4" bestFit="1" customWidth="1"/>
    <col min="8206" max="8206" width="11.44140625" style="4" bestFit="1" customWidth="1"/>
    <col min="8207" max="8449" width="8.88671875" style="4"/>
    <col min="8450" max="8451" width="0" style="4" hidden="1" customWidth="1"/>
    <col min="8452" max="8452" width="13.88671875" style="4" customWidth="1"/>
    <col min="8453" max="8453" width="16.88671875" style="4" bestFit="1" customWidth="1"/>
    <col min="8454" max="8454" width="18.44140625" style="4" customWidth="1"/>
    <col min="8455" max="8455" width="0" style="4" hidden="1" customWidth="1"/>
    <col min="8456" max="8456" width="12" style="4" customWidth="1"/>
    <col min="8457" max="8457" width="23.44140625" style="4" bestFit="1" customWidth="1"/>
    <col min="8458" max="8458" width="11" style="4" customWidth="1"/>
    <col min="8459" max="8459" width="11.6640625" style="4" bestFit="1" customWidth="1"/>
    <col min="8460" max="8460" width="14" style="4" bestFit="1" customWidth="1"/>
    <col min="8461" max="8461" width="12.6640625" style="4" bestFit="1" customWidth="1"/>
    <col min="8462" max="8462" width="11.44140625" style="4" bestFit="1" customWidth="1"/>
    <col min="8463" max="8705" width="8.88671875" style="4"/>
    <col min="8706" max="8707" width="0" style="4" hidden="1" customWidth="1"/>
    <col min="8708" max="8708" width="13.88671875" style="4" customWidth="1"/>
    <col min="8709" max="8709" width="16.88671875" style="4" bestFit="1" customWidth="1"/>
    <col min="8710" max="8710" width="18.44140625" style="4" customWidth="1"/>
    <col min="8711" max="8711" width="0" style="4" hidden="1" customWidth="1"/>
    <col min="8712" max="8712" width="12" style="4" customWidth="1"/>
    <col min="8713" max="8713" width="23.44140625" style="4" bestFit="1" customWidth="1"/>
    <col min="8714" max="8714" width="11" style="4" customWidth="1"/>
    <col min="8715" max="8715" width="11.6640625" style="4" bestFit="1" customWidth="1"/>
    <col min="8716" max="8716" width="14" style="4" bestFit="1" customWidth="1"/>
    <col min="8717" max="8717" width="12.6640625" style="4" bestFit="1" customWidth="1"/>
    <col min="8718" max="8718" width="11.44140625" style="4" bestFit="1" customWidth="1"/>
    <col min="8719" max="8961" width="8.88671875" style="4"/>
    <col min="8962" max="8963" width="0" style="4" hidden="1" customWidth="1"/>
    <col min="8964" max="8964" width="13.88671875" style="4" customWidth="1"/>
    <col min="8965" max="8965" width="16.88671875" style="4" bestFit="1" customWidth="1"/>
    <col min="8966" max="8966" width="18.44140625" style="4" customWidth="1"/>
    <col min="8967" max="8967" width="0" style="4" hidden="1" customWidth="1"/>
    <col min="8968" max="8968" width="12" style="4" customWidth="1"/>
    <col min="8969" max="8969" width="23.44140625" style="4" bestFit="1" customWidth="1"/>
    <col min="8970" max="8970" width="11" style="4" customWidth="1"/>
    <col min="8971" max="8971" width="11.6640625" style="4" bestFit="1" customWidth="1"/>
    <col min="8972" max="8972" width="14" style="4" bestFit="1" customWidth="1"/>
    <col min="8973" max="8973" width="12.6640625" style="4" bestFit="1" customWidth="1"/>
    <col min="8974" max="8974" width="11.44140625" style="4" bestFit="1" customWidth="1"/>
    <col min="8975" max="9217" width="8.88671875" style="4"/>
    <col min="9218" max="9219" width="0" style="4" hidden="1" customWidth="1"/>
    <col min="9220" max="9220" width="13.88671875" style="4" customWidth="1"/>
    <col min="9221" max="9221" width="16.88671875" style="4" bestFit="1" customWidth="1"/>
    <col min="9222" max="9222" width="18.44140625" style="4" customWidth="1"/>
    <col min="9223" max="9223" width="0" style="4" hidden="1" customWidth="1"/>
    <col min="9224" max="9224" width="12" style="4" customWidth="1"/>
    <col min="9225" max="9225" width="23.44140625" style="4" bestFit="1" customWidth="1"/>
    <col min="9226" max="9226" width="11" style="4" customWidth="1"/>
    <col min="9227" max="9227" width="11.6640625" style="4" bestFit="1" customWidth="1"/>
    <col min="9228" max="9228" width="14" style="4" bestFit="1" customWidth="1"/>
    <col min="9229" max="9229" width="12.6640625" style="4" bestFit="1" customWidth="1"/>
    <col min="9230" max="9230" width="11.44140625" style="4" bestFit="1" customWidth="1"/>
    <col min="9231" max="9473" width="8.88671875" style="4"/>
    <col min="9474" max="9475" width="0" style="4" hidden="1" customWidth="1"/>
    <col min="9476" max="9476" width="13.88671875" style="4" customWidth="1"/>
    <col min="9477" max="9477" width="16.88671875" style="4" bestFit="1" customWidth="1"/>
    <col min="9478" max="9478" width="18.44140625" style="4" customWidth="1"/>
    <col min="9479" max="9479" width="0" style="4" hidden="1" customWidth="1"/>
    <col min="9480" max="9480" width="12" style="4" customWidth="1"/>
    <col min="9481" max="9481" width="23.44140625" style="4" bestFit="1" customWidth="1"/>
    <col min="9482" max="9482" width="11" style="4" customWidth="1"/>
    <col min="9483" max="9483" width="11.6640625" style="4" bestFit="1" customWidth="1"/>
    <col min="9484" max="9484" width="14" style="4" bestFit="1" customWidth="1"/>
    <col min="9485" max="9485" width="12.6640625" style="4" bestFit="1" customWidth="1"/>
    <col min="9486" max="9486" width="11.44140625" style="4" bestFit="1" customWidth="1"/>
    <col min="9487" max="9729" width="8.88671875" style="4"/>
    <col min="9730" max="9731" width="0" style="4" hidden="1" customWidth="1"/>
    <col min="9732" max="9732" width="13.88671875" style="4" customWidth="1"/>
    <col min="9733" max="9733" width="16.88671875" style="4" bestFit="1" customWidth="1"/>
    <col min="9734" max="9734" width="18.44140625" style="4" customWidth="1"/>
    <col min="9735" max="9735" width="0" style="4" hidden="1" customWidth="1"/>
    <col min="9736" max="9736" width="12" style="4" customWidth="1"/>
    <col min="9737" max="9737" width="23.44140625" style="4" bestFit="1" customWidth="1"/>
    <col min="9738" max="9738" width="11" style="4" customWidth="1"/>
    <col min="9739" max="9739" width="11.6640625" style="4" bestFit="1" customWidth="1"/>
    <col min="9740" max="9740" width="14" style="4" bestFit="1" customWidth="1"/>
    <col min="9741" max="9741" width="12.6640625" style="4" bestFit="1" customWidth="1"/>
    <col min="9742" max="9742" width="11.44140625" style="4" bestFit="1" customWidth="1"/>
    <col min="9743" max="9985" width="8.88671875" style="4"/>
    <col min="9986" max="9987" width="0" style="4" hidden="1" customWidth="1"/>
    <col min="9988" max="9988" width="13.88671875" style="4" customWidth="1"/>
    <col min="9989" max="9989" width="16.88671875" style="4" bestFit="1" customWidth="1"/>
    <col min="9990" max="9990" width="18.44140625" style="4" customWidth="1"/>
    <col min="9991" max="9991" width="0" style="4" hidden="1" customWidth="1"/>
    <col min="9992" max="9992" width="12" style="4" customWidth="1"/>
    <col min="9993" max="9993" width="23.44140625" style="4" bestFit="1" customWidth="1"/>
    <col min="9994" max="9994" width="11" style="4" customWidth="1"/>
    <col min="9995" max="9995" width="11.6640625" style="4" bestFit="1" customWidth="1"/>
    <col min="9996" max="9996" width="14" style="4" bestFit="1" customWidth="1"/>
    <col min="9997" max="9997" width="12.6640625" style="4" bestFit="1" customWidth="1"/>
    <col min="9998" max="9998" width="11.44140625" style="4" bestFit="1" customWidth="1"/>
    <col min="9999" max="10241" width="8.88671875" style="4"/>
    <col min="10242" max="10243" width="0" style="4" hidden="1" customWidth="1"/>
    <col min="10244" max="10244" width="13.88671875" style="4" customWidth="1"/>
    <col min="10245" max="10245" width="16.88671875" style="4" bestFit="1" customWidth="1"/>
    <col min="10246" max="10246" width="18.44140625" style="4" customWidth="1"/>
    <col min="10247" max="10247" width="0" style="4" hidden="1" customWidth="1"/>
    <col min="10248" max="10248" width="12" style="4" customWidth="1"/>
    <col min="10249" max="10249" width="23.44140625" style="4" bestFit="1" customWidth="1"/>
    <col min="10250" max="10250" width="11" style="4" customWidth="1"/>
    <col min="10251" max="10251" width="11.6640625" style="4" bestFit="1" customWidth="1"/>
    <col min="10252" max="10252" width="14" style="4" bestFit="1" customWidth="1"/>
    <col min="10253" max="10253" width="12.6640625" style="4" bestFit="1" customWidth="1"/>
    <col min="10254" max="10254" width="11.44140625" style="4" bestFit="1" customWidth="1"/>
    <col min="10255" max="10497" width="8.88671875" style="4"/>
    <col min="10498" max="10499" width="0" style="4" hidden="1" customWidth="1"/>
    <col min="10500" max="10500" width="13.88671875" style="4" customWidth="1"/>
    <col min="10501" max="10501" width="16.88671875" style="4" bestFit="1" customWidth="1"/>
    <col min="10502" max="10502" width="18.44140625" style="4" customWidth="1"/>
    <col min="10503" max="10503" width="0" style="4" hidden="1" customWidth="1"/>
    <col min="10504" max="10504" width="12" style="4" customWidth="1"/>
    <col min="10505" max="10505" width="23.44140625" style="4" bestFit="1" customWidth="1"/>
    <col min="10506" max="10506" width="11" style="4" customWidth="1"/>
    <col min="10507" max="10507" width="11.6640625" style="4" bestFit="1" customWidth="1"/>
    <col min="10508" max="10508" width="14" style="4" bestFit="1" customWidth="1"/>
    <col min="10509" max="10509" width="12.6640625" style="4" bestFit="1" customWidth="1"/>
    <col min="10510" max="10510" width="11.44140625" style="4" bestFit="1" customWidth="1"/>
    <col min="10511" max="10753" width="8.88671875" style="4"/>
    <col min="10754" max="10755" width="0" style="4" hidden="1" customWidth="1"/>
    <col min="10756" max="10756" width="13.88671875" style="4" customWidth="1"/>
    <col min="10757" max="10757" width="16.88671875" style="4" bestFit="1" customWidth="1"/>
    <col min="10758" max="10758" width="18.44140625" style="4" customWidth="1"/>
    <col min="10759" max="10759" width="0" style="4" hidden="1" customWidth="1"/>
    <col min="10760" max="10760" width="12" style="4" customWidth="1"/>
    <col min="10761" max="10761" width="23.44140625" style="4" bestFit="1" customWidth="1"/>
    <col min="10762" max="10762" width="11" style="4" customWidth="1"/>
    <col min="10763" max="10763" width="11.6640625" style="4" bestFit="1" customWidth="1"/>
    <col min="10764" max="10764" width="14" style="4" bestFit="1" customWidth="1"/>
    <col min="10765" max="10765" width="12.6640625" style="4" bestFit="1" customWidth="1"/>
    <col min="10766" max="10766" width="11.44140625" style="4" bestFit="1" customWidth="1"/>
    <col min="10767" max="11009" width="8.88671875" style="4"/>
    <col min="11010" max="11011" width="0" style="4" hidden="1" customWidth="1"/>
    <col min="11012" max="11012" width="13.88671875" style="4" customWidth="1"/>
    <col min="11013" max="11013" width="16.88671875" style="4" bestFit="1" customWidth="1"/>
    <col min="11014" max="11014" width="18.44140625" style="4" customWidth="1"/>
    <col min="11015" max="11015" width="0" style="4" hidden="1" customWidth="1"/>
    <col min="11016" max="11016" width="12" style="4" customWidth="1"/>
    <col min="11017" max="11017" width="23.44140625" style="4" bestFit="1" customWidth="1"/>
    <col min="11018" max="11018" width="11" style="4" customWidth="1"/>
    <col min="11019" max="11019" width="11.6640625" style="4" bestFit="1" customWidth="1"/>
    <col min="11020" max="11020" width="14" style="4" bestFit="1" customWidth="1"/>
    <col min="11021" max="11021" width="12.6640625" style="4" bestFit="1" customWidth="1"/>
    <col min="11022" max="11022" width="11.44140625" style="4" bestFit="1" customWidth="1"/>
    <col min="11023" max="11265" width="8.88671875" style="4"/>
    <col min="11266" max="11267" width="0" style="4" hidden="1" customWidth="1"/>
    <col min="11268" max="11268" width="13.88671875" style="4" customWidth="1"/>
    <col min="11269" max="11269" width="16.88671875" style="4" bestFit="1" customWidth="1"/>
    <col min="11270" max="11270" width="18.44140625" style="4" customWidth="1"/>
    <col min="11271" max="11271" width="0" style="4" hidden="1" customWidth="1"/>
    <col min="11272" max="11272" width="12" style="4" customWidth="1"/>
    <col min="11273" max="11273" width="23.44140625" style="4" bestFit="1" customWidth="1"/>
    <col min="11274" max="11274" width="11" style="4" customWidth="1"/>
    <col min="11275" max="11275" width="11.6640625" style="4" bestFit="1" customWidth="1"/>
    <col min="11276" max="11276" width="14" style="4" bestFit="1" customWidth="1"/>
    <col min="11277" max="11277" width="12.6640625" style="4" bestFit="1" customWidth="1"/>
    <col min="11278" max="11278" width="11.44140625" style="4" bestFit="1" customWidth="1"/>
    <col min="11279" max="11521" width="8.88671875" style="4"/>
    <col min="11522" max="11523" width="0" style="4" hidden="1" customWidth="1"/>
    <col min="11524" max="11524" width="13.88671875" style="4" customWidth="1"/>
    <col min="11525" max="11525" width="16.88671875" style="4" bestFit="1" customWidth="1"/>
    <col min="11526" max="11526" width="18.44140625" style="4" customWidth="1"/>
    <col min="11527" max="11527" width="0" style="4" hidden="1" customWidth="1"/>
    <col min="11528" max="11528" width="12" style="4" customWidth="1"/>
    <col min="11529" max="11529" width="23.44140625" style="4" bestFit="1" customWidth="1"/>
    <col min="11530" max="11530" width="11" style="4" customWidth="1"/>
    <col min="11531" max="11531" width="11.6640625" style="4" bestFit="1" customWidth="1"/>
    <col min="11532" max="11532" width="14" style="4" bestFit="1" customWidth="1"/>
    <col min="11533" max="11533" width="12.6640625" style="4" bestFit="1" customWidth="1"/>
    <col min="11534" max="11534" width="11.44140625" style="4" bestFit="1" customWidth="1"/>
    <col min="11535" max="11777" width="8.88671875" style="4"/>
    <col min="11778" max="11779" width="0" style="4" hidden="1" customWidth="1"/>
    <col min="11780" max="11780" width="13.88671875" style="4" customWidth="1"/>
    <col min="11781" max="11781" width="16.88671875" style="4" bestFit="1" customWidth="1"/>
    <col min="11782" max="11782" width="18.44140625" style="4" customWidth="1"/>
    <col min="11783" max="11783" width="0" style="4" hidden="1" customWidth="1"/>
    <col min="11784" max="11784" width="12" style="4" customWidth="1"/>
    <col min="11785" max="11785" width="23.44140625" style="4" bestFit="1" customWidth="1"/>
    <col min="11786" max="11786" width="11" style="4" customWidth="1"/>
    <col min="11787" max="11787" width="11.6640625" style="4" bestFit="1" customWidth="1"/>
    <col min="11788" max="11788" width="14" style="4" bestFit="1" customWidth="1"/>
    <col min="11789" max="11789" width="12.6640625" style="4" bestFit="1" customWidth="1"/>
    <col min="11790" max="11790" width="11.44140625" style="4" bestFit="1" customWidth="1"/>
    <col min="11791" max="12033" width="8.88671875" style="4"/>
    <col min="12034" max="12035" width="0" style="4" hidden="1" customWidth="1"/>
    <col min="12036" max="12036" width="13.88671875" style="4" customWidth="1"/>
    <col min="12037" max="12037" width="16.88671875" style="4" bestFit="1" customWidth="1"/>
    <col min="12038" max="12038" width="18.44140625" style="4" customWidth="1"/>
    <col min="12039" max="12039" width="0" style="4" hidden="1" customWidth="1"/>
    <col min="12040" max="12040" width="12" style="4" customWidth="1"/>
    <col min="12041" max="12041" width="23.44140625" style="4" bestFit="1" customWidth="1"/>
    <col min="12042" max="12042" width="11" style="4" customWidth="1"/>
    <col min="12043" max="12043" width="11.6640625" style="4" bestFit="1" customWidth="1"/>
    <col min="12044" max="12044" width="14" style="4" bestFit="1" customWidth="1"/>
    <col min="12045" max="12045" width="12.6640625" style="4" bestFit="1" customWidth="1"/>
    <col min="12046" max="12046" width="11.44140625" style="4" bestFit="1" customWidth="1"/>
    <col min="12047" max="12289" width="8.88671875" style="4"/>
    <col min="12290" max="12291" width="0" style="4" hidden="1" customWidth="1"/>
    <col min="12292" max="12292" width="13.88671875" style="4" customWidth="1"/>
    <col min="12293" max="12293" width="16.88671875" style="4" bestFit="1" customWidth="1"/>
    <col min="12294" max="12294" width="18.44140625" style="4" customWidth="1"/>
    <col min="12295" max="12295" width="0" style="4" hidden="1" customWidth="1"/>
    <col min="12296" max="12296" width="12" style="4" customWidth="1"/>
    <col min="12297" max="12297" width="23.44140625" style="4" bestFit="1" customWidth="1"/>
    <col min="12298" max="12298" width="11" style="4" customWidth="1"/>
    <col min="12299" max="12299" width="11.6640625" style="4" bestFit="1" customWidth="1"/>
    <col min="12300" max="12300" width="14" style="4" bestFit="1" customWidth="1"/>
    <col min="12301" max="12301" width="12.6640625" style="4" bestFit="1" customWidth="1"/>
    <col min="12302" max="12302" width="11.44140625" style="4" bestFit="1" customWidth="1"/>
    <col min="12303" max="12545" width="8.88671875" style="4"/>
    <col min="12546" max="12547" width="0" style="4" hidden="1" customWidth="1"/>
    <col min="12548" max="12548" width="13.88671875" style="4" customWidth="1"/>
    <col min="12549" max="12549" width="16.88671875" style="4" bestFit="1" customWidth="1"/>
    <col min="12550" max="12550" width="18.44140625" style="4" customWidth="1"/>
    <col min="12551" max="12551" width="0" style="4" hidden="1" customWidth="1"/>
    <col min="12552" max="12552" width="12" style="4" customWidth="1"/>
    <col min="12553" max="12553" width="23.44140625" style="4" bestFit="1" customWidth="1"/>
    <col min="12554" max="12554" width="11" style="4" customWidth="1"/>
    <col min="12555" max="12555" width="11.6640625" style="4" bestFit="1" customWidth="1"/>
    <col min="12556" max="12556" width="14" style="4" bestFit="1" customWidth="1"/>
    <col min="12557" max="12557" width="12.6640625" style="4" bestFit="1" customWidth="1"/>
    <col min="12558" max="12558" width="11.44140625" style="4" bestFit="1" customWidth="1"/>
    <col min="12559" max="12801" width="8.88671875" style="4"/>
    <col min="12802" max="12803" width="0" style="4" hidden="1" customWidth="1"/>
    <col min="12804" max="12804" width="13.88671875" style="4" customWidth="1"/>
    <col min="12805" max="12805" width="16.88671875" style="4" bestFit="1" customWidth="1"/>
    <col min="12806" max="12806" width="18.44140625" style="4" customWidth="1"/>
    <col min="12807" max="12807" width="0" style="4" hidden="1" customWidth="1"/>
    <col min="12808" max="12808" width="12" style="4" customWidth="1"/>
    <col min="12809" max="12809" width="23.44140625" style="4" bestFit="1" customWidth="1"/>
    <col min="12810" max="12810" width="11" style="4" customWidth="1"/>
    <col min="12811" max="12811" width="11.6640625" style="4" bestFit="1" customWidth="1"/>
    <col min="12812" max="12812" width="14" style="4" bestFit="1" customWidth="1"/>
    <col min="12813" max="12813" width="12.6640625" style="4" bestFit="1" customWidth="1"/>
    <col min="12814" max="12814" width="11.44140625" style="4" bestFit="1" customWidth="1"/>
    <col min="12815" max="13057" width="8.88671875" style="4"/>
    <col min="13058" max="13059" width="0" style="4" hidden="1" customWidth="1"/>
    <col min="13060" max="13060" width="13.88671875" style="4" customWidth="1"/>
    <col min="13061" max="13061" width="16.88671875" style="4" bestFit="1" customWidth="1"/>
    <col min="13062" max="13062" width="18.44140625" style="4" customWidth="1"/>
    <col min="13063" max="13063" width="0" style="4" hidden="1" customWidth="1"/>
    <col min="13064" max="13064" width="12" style="4" customWidth="1"/>
    <col min="13065" max="13065" width="23.44140625" style="4" bestFit="1" customWidth="1"/>
    <col min="13066" max="13066" width="11" style="4" customWidth="1"/>
    <col min="13067" max="13067" width="11.6640625" style="4" bestFit="1" customWidth="1"/>
    <col min="13068" max="13068" width="14" style="4" bestFit="1" customWidth="1"/>
    <col min="13069" max="13069" width="12.6640625" style="4" bestFit="1" customWidth="1"/>
    <col min="13070" max="13070" width="11.44140625" style="4" bestFit="1" customWidth="1"/>
    <col min="13071" max="13313" width="8.88671875" style="4"/>
    <col min="13314" max="13315" width="0" style="4" hidden="1" customWidth="1"/>
    <col min="13316" max="13316" width="13.88671875" style="4" customWidth="1"/>
    <col min="13317" max="13317" width="16.88671875" style="4" bestFit="1" customWidth="1"/>
    <col min="13318" max="13318" width="18.44140625" style="4" customWidth="1"/>
    <col min="13319" max="13319" width="0" style="4" hidden="1" customWidth="1"/>
    <col min="13320" max="13320" width="12" style="4" customWidth="1"/>
    <col min="13321" max="13321" width="23.44140625" style="4" bestFit="1" customWidth="1"/>
    <col min="13322" max="13322" width="11" style="4" customWidth="1"/>
    <col min="13323" max="13323" width="11.6640625" style="4" bestFit="1" customWidth="1"/>
    <col min="13324" max="13324" width="14" style="4" bestFit="1" customWidth="1"/>
    <col min="13325" max="13325" width="12.6640625" style="4" bestFit="1" customWidth="1"/>
    <col min="13326" max="13326" width="11.44140625" style="4" bestFit="1" customWidth="1"/>
    <col min="13327" max="13569" width="8.88671875" style="4"/>
    <col min="13570" max="13571" width="0" style="4" hidden="1" customWidth="1"/>
    <col min="13572" max="13572" width="13.88671875" style="4" customWidth="1"/>
    <col min="13573" max="13573" width="16.88671875" style="4" bestFit="1" customWidth="1"/>
    <col min="13574" max="13574" width="18.44140625" style="4" customWidth="1"/>
    <col min="13575" max="13575" width="0" style="4" hidden="1" customWidth="1"/>
    <col min="13576" max="13576" width="12" style="4" customWidth="1"/>
    <col min="13577" max="13577" width="23.44140625" style="4" bestFit="1" customWidth="1"/>
    <col min="13578" max="13578" width="11" style="4" customWidth="1"/>
    <col min="13579" max="13579" width="11.6640625" style="4" bestFit="1" customWidth="1"/>
    <col min="13580" max="13580" width="14" style="4" bestFit="1" customWidth="1"/>
    <col min="13581" max="13581" width="12.6640625" style="4" bestFit="1" customWidth="1"/>
    <col min="13582" max="13582" width="11.44140625" style="4" bestFit="1" customWidth="1"/>
    <col min="13583" max="13825" width="8.88671875" style="4"/>
    <col min="13826" max="13827" width="0" style="4" hidden="1" customWidth="1"/>
    <col min="13828" max="13828" width="13.88671875" style="4" customWidth="1"/>
    <col min="13829" max="13829" width="16.88671875" style="4" bestFit="1" customWidth="1"/>
    <col min="13830" max="13830" width="18.44140625" style="4" customWidth="1"/>
    <col min="13831" max="13831" width="0" style="4" hidden="1" customWidth="1"/>
    <col min="13832" max="13832" width="12" style="4" customWidth="1"/>
    <col min="13833" max="13833" width="23.44140625" style="4" bestFit="1" customWidth="1"/>
    <col min="13834" max="13834" width="11" style="4" customWidth="1"/>
    <col min="13835" max="13835" width="11.6640625" style="4" bestFit="1" customWidth="1"/>
    <col min="13836" max="13836" width="14" style="4" bestFit="1" customWidth="1"/>
    <col min="13837" max="13837" width="12.6640625" style="4" bestFit="1" customWidth="1"/>
    <col min="13838" max="13838" width="11.44140625" style="4" bestFit="1" customWidth="1"/>
    <col min="13839" max="14081" width="8.88671875" style="4"/>
    <col min="14082" max="14083" width="0" style="4" hidden="1" customWidth="1"/>
    <col min="14084" max="14084" width="13.88671875" style="4" customWidth="1"/>
    <col min="14085" max="14085" width="16.88671875" style="4" bestFit="1" customWidth="1"/>
    <col min="14086" max="14086" width="18.44140625" style="4" customWidth="1"/>
    <col min="14087" max="14087" width="0" style="4" hidden="1" customWidth="1"/>
    <col min="14088" max="14088" width="12" style="4" customWidth="1"/>
    <col min="14089" max="14089" width="23.44140625" style="4" bestFit="1" customWidth="1"/>
    <col min="14090" max="14090" width="11" style="4" customWidth="1"/>
    <col min="14091" max="14091" width="11.6640625" style="4" bestFit="1" customWidth="1"/>
    <col min="14092" max="14092" width="14" style="4" bestFit="1" customWidth="1"/>
    <col min="14093" max="14093" width="12.6640625" style="4" bestFit="1" customWidth="1"/>
    <col min="14094" max="14094" width="11.44140625" style="4" bestFit="1" customWidth="1"/>
    <col min="14095" max="14337" width="8.88671875" style="4"/>
    <col min="14338" max="14339" width="0" style="4" hidden="1" customWidth="1"/>
    <col min="14340" max="14340" width="13.88671875" style="4" customWidth="1"/>
    <col min="14341" max="14341" width="16.88671875" style="4" bestFit="1" customWidth="1"/>
    <col min="14342" max="14342" width="18.44140625" style="4" customWidth="1"/>
    <col min="14343" max="14343" width="0" style="4" hidden="1" customWidth="1"/>
    <col min="14344" max="14344" width="12" style="4" customWidth="1"/>
    <col min="14345" max="14345" width="23.44140625" style="4" bestFit="1" customWidth="1"/>
    <col min="14346" max="14346" width="11" style="4" customWidth="1"/>
    <col min="14347" max="14347" width="11.6640625" style="4" bestFit="1" customWidth="1"/>
    <col min="14348" max="14348" width="14" style="4" bestFit="1" customWidth="1"/>
    <col min="14349" max="14349" width="12.6640625" style="4" bestFit="1" customWidth="1"/>
    <col min="14350" max="14350" width="11.44140625" style="4" bestFit="1" customWidth="1"/>
    <col min="14351" max="14593" width="8.88671875" style="4"/>
    <col min="14594" max="14595" width="0" style="4" hidden="1" customWidth="1"/>
    <col min="14596" max="14596" width="13.88671875" style="4" customWidth="1"/>
    <col min="14597" max="14597" width="16.88671875" style="4" bestFit="1" customWidth="1"/>
    <col min="14598" max="14598" width="18.44140625" style="4" customWidth="1"/>
    <col min="14599" max="14599" width="0" style="4" hidden="1" customWidth="1"/>
    <col min="14600" max="14600" width="12" style="4" customWidth="1"/>
    <col min="14601" max="14601" width="23.44140625" style="4" bestFit="1" customWidth="1"/>
    <col min="14602" max="14602" width="11" style="4" customWidth="1"/>
    <col min="14603" max="14603" width="11.6640625" style="4" bestFit="1" customWidth="1"/>
    <col min="14604" max="14604" width="14" style="4" bestFit="1" customWidth="1"/>
    <col min="14605" max="14605" width="12.6640625" style="4" bestFit="1" customWidth="1"/>
    <col min="14606" max="14606" width="11.44140625" style="4" bestFit="1" customWidth="1"/>
    <col min="14607" max="14849" width="8.88671875" style="4"/>
    <col min="14850" max="14851" width="0" style="4" hidden="1" customWidth="1"/>
    <col min="14852" max="14852" width="13.88671875" style="4" customWidth="1"/>
    <col min="14853" max="14853" width="16.88671875" style="4" bestFit="1" customWidth="1"/>
    <col min="14854" max="14854" width="18.44140625" style="4" customWidth="1"/>
    <col min="14855" max="14855" width="0" style="4" hidden="1" customWidth="1"/>
    <col min="14856" max="14856" width="12" style="4" customWidth="1"/>
    <col min="14857" max="14857" width="23.44140625" style="4" bestFit="1" customWidth="1"/>
    <col min="14858" max="14858" width="11" style="4" customWidth="1"/>
    <col min="14859" max="14859" width="11.6640625" style="4" bestFit="1" customWidth="1"/>
    <col min="14860" max="14860" width="14" style="4" bestFit="1" customWidth="1"/>
    <col min="14861" max="14861" width="12.6640625" style="4" bestFit="1" customWidth="1"/>
    <col min="14862" max="14862" width="11.44140625" style="4" bestFit="1" customWidth="1"/>
    <col min="14863" max="15105" width="8.88671875" style="4"/>
    <col min="15106" max="15107" width="0" style="4" hidden="1" customWidth="1"/>
    <col min="15108" max="15108" width="13.88671875" style="4" customWidth="1"/>
    <col min="15109" max="15109" width="16.88671875" style="4" bestFit="1" customWidth="1"/>
    <col min="15110" max="15110" width="18.44140625" style="4" customWidth="1"/>
    <col min="15111" max="15111" width="0" style="4" hidden="1" customWidth="1"/>
    <col min="15112" max="15112" width="12" style="4" customWidth="1"/>
    <col min="15113" max="15113" width="23.44140625" style="4" bestFit="1" customWidth="1"/>
    <col min="15114" max="15114" width="11" style="4" customWidth="1"/>
    <col min="15115" max="15115" width="11.6640625" style="4" bestFit="1" customWidth="1"/>
    <col min="15116" max="15116" width="14" style="4" bestFit="1" customWidth="1"/>
    <col min="15117" max="15117" width="12.6640625" style="4" bestFit="1" customWidth="1"/>
    <col min="15118" max="15118" width="11.44140625" style="4" bestFit="1" customWidth="1"/>
    <col min="15119" max="15361" width="8.88671875" style="4"/>
    <col min="15362" max="15363" width="0" style="4" hidden="1" customWidth="1"/>
    <col min="15364" max="15364" width="13.88671875" style="4" customWidth="1"/>
    <col min="15365" max="15365" width="16.88671875" style="4" bestFit="1" customWidth="1"/>
    <col min="15366" max="15366" width="18.44140625" style="4" customWidth="1"/>
    <col min="15367" max="15367" width="0" style="4" hidden="1" customWidth="1"/>
    <col min="15368" max="15368" width="12" style="4" customWidth="1"/>
    <col min="15369" max="15369" width="23.44140625" style="4" bestFit="1" customWidth="1"/>
    <col min="15370" max="15370" width="11" style="4" customWidth="1"/>
    <col min="15371" max="15371" width="11.6640625" style="4" bestFit="1" customWidth="1"/>
    <col min="15372" max="15372" width="14" style="4" bestFit="1" customWidth="1"/>
    <col min="15373" max="15373" width="12.6640625" style="4" bestFit="1" customWidth="1"/>
    <col min="15374" max="15374" width="11.44140625" style="4" bestFit="1" customWidth="1"/>
    <col min="15375" max="15617" width="8.88671875" style="4"/>
    <col min="15618" max="15619" width="0" style="4" hidden="1" customWidth="1"/>
    <col min="15620" max="15620" width="13.88671875" style="4" customWidth="1"/>
    <col min="15621" max="15621" width="16.88671875" style="4" bestFit="1" customWidth="1"/>
    <col min="15622" max="15622" width="18.44140625" style="4" customWidth="1"/>
    <col min="15623" max="15623" width="0" style="4" hidden="1" customWidth="1"/>
    <col min="15624" max="15624" width="12" style="4" customWidth="1"/>
    <col min="15625" max="15625" width="23.44140625" style="4" bestFit="1" customWidth="1"/>
    <col min="15626" max="15626" width="11" style="4" customWidth="1"/>
    <col min="15627" max="15627" width="11.6640625" style="4" bestFit="1" customWidth="1"/>
    <col min="15628" max="15628" width="14" style="4" bestFit="1" customWidth="1"/>
    <col min="15629" max="15629" width="12.6640625" style="4" bestFit="1" customWidth="1"/>
    <col min="15630" max="15630" width="11.44140625" style="4" bestFit="1" customWidth="1"/>
    <col min="15631" max="15873" width="8.88671875" style="4"/>
    <col min="15874" max="15875" width="0" style="4" hidden="1" customWidth="1"/>
    <col min="15876" max="15876" width="13.88671875" style="4" customWidth="1"/>
    <col min="15877" max="15877" width="16.88671875" style="4" bestFit="1" customWidth="1"/>
    <col min="15878" max="15878" width="18.44140625" style="4" customWidth="1"/>
    <col min="15879" max="15879" width="0" style="4" hidden="1" customWidth="1"/>
    <col min="15880" max="15880" width="12" style="4" customWidth="1"/>
    <col min="15881" max="15881" width="23.44140625" style="4" bestFit="1" customWidth="1"/>
    <col min="15882" max="15882" width="11" style="4" customWidth="1"/>
    <col min="15883" max="15883" width="11.6640625" style="4" bestFit="1" customWidth="1"/>
    <col min="15884" max="15884" width="14" style="4" bestFit="1" customWidth="1"/>
    <col min="15885" max="15885" width="12.6640625" style="4" bestFit="1" customWidth="1"/>
    <col min="15886" max="15886" width="11.44140625" style="4" bestFit="1" customWidth="1"/>
    <col min="15887" max="16129" width="8.88671875" style="4"/>
    <col min="16130" max="16131" width="0" style="4" hidden="1" customWidth="1"/>
    <col min="16132" max="16132" width="13.88671875" style="4" customWidth="1"/>
    <col min="16133" max="16133" width="16.88671875" style="4" bestFit="1" customWidth="1"/>
    <col min="16134" max="16134" width="18.44140625" style="4" customWidth="1"/>
    <col min="16135" max="16135" width="0" style="4" hidden="1" customWidth="1"/>
    <col min="16136" max="16136" width="12" style="4" customWidth="1"/>
    <col min="16137" max="16137" width="23.44140625" style="4" bestFit="1" customWidth="1"/>
    <col min="16138" max="16138" width="11" style="4" customWidth="1"/>
    <col min="16139" max="16139" width="11.6640625" style="4" bestFit="1" customWidth="1"/>
    <col min="16140" max="16140" width="14" style="4" bestFit="1" customWidth="1"/>
    <col min="16141" max="16141" width="12.6640625" style="4" bestFit="1" customWidth="1"/>
    <col min="16142" max="16142" width="11.44140625" style="4" bestFit="1" customWidth="1"/>
    <col min="16143" max="16382" width="8.88671875" style="4"/>
    <col min="16383" max="16384" width="8.88671875" style="4" customWidth="1"/>
  </cols>
  <sheetData>
    <row r="1" spans="1:26" ht="14.1" customHeight="1" x14ac:dyDescent="0.3">
      <c r="A1" s="17" t="s">
        <v>6</v>
      </c>
      <c r="B1" s="17" t="s">
        <v>41</v>
      </c>
      <c r="U1" s="159" t="s">
        <v>311</v>
      </c>
    </row>
    <row r="2" spans="1:26" ht="18" x14ac:dyDescent="0.35">
      <c r="A2" s="15">
        <v>1</v>
      </c>
      <c r="B2" s="18" t="s">
        <v>42</v>
      </c>
      <c r="C2" s="5" t="s">
        <v>217</v>
      </c>
      <c r="U2" s="159" t="s">
        <v>312</v>
      </c>
    </row>
    <row r="3" spans="1:26" ht="18" x14ac:dyDescent="0.35">
      <c r="A3" s="15">
        <v>1</v>
      </c>
      <c r="B3" s="19" t="s">
        <v>43</v>
      </c>
      <c r="C3" s="5" t="s">
        <v>395</v>
      </c>
      <c r="U3" s="159" t="s">
        <v>313</v>
      </c>
    </row>
    <row r="4" spans="1:26" ht="14.1" customHeight="1" x14ac:dyDescent="0.3">
      <c r="A4" s="15"/>
      <c r="B4" s="18" t="s">
        <v>42</v>
      </c>
      <c r="U4" s="159" t="s">
        <v>314</v>
      </c>
      <c r="V4" s="136"/>
    </row>
    <row r="5" spans="1:26" ht="14.1" customHeight="1" x14ac:dyDescent="0.3">
      <c r="A5" s="15">
        <v>1</v>
      </c>
      <c r="B5" s="20" t="s">
        <v>44</v>
      </c>
      <c r="F5" t="s">
        <v>218</v>
      </c>
      <c r="H5" s="291" t="s">
        <v>397</v>
      </c>
      <c r="I5" s="291"/>
      <c r="V5" s="258"/>
    </row>
    <row r="6" spans="1:26" ht="14.1" customHeight="1" x14ac:dyDescent="0.3">
      <c r="A6" s="15">
        <v>2</v>
      </c>
      <c r="B6" s="15" t="s">
        <v>42</v>
      </c>
      <c r="C6" t="s">
        <v>219</v>
      </c>
      <c r="D6" t="s">
        <v>220</v>
      </c>
      <c r="E6" t="s">
        <v>221</v>
      </c>
      <c r="F6" t="s">
        <v>222</v>
      </c>
      <c r="G6" t="s">
        <v>390</v>
      </c>
      <c r="H6" s="161" t="s">
        <v>223</v>
      </c>
      <c r="I6" s="161" t="s">
        <v>224</v>
      </c>
      <c r="J6" t="s">
        <v>225</v>
      </c>
      <c r="K6" t="s">
        <v>226</v>
      </c>
      <c r="L6" t="s">
        <v>227</v>
      </c>
      <c r="M6" t="s">
        <v>228</v>
      </c>
      <c r="N6" s="107" t="s">
        <v>345</v>
      </c>
      <c r="O6" t="s">
        <v>396</v>
      </c>
      <c r="P6" t="s">
        <v>229</v>
      </c>
      <c r="Q6" t="s">
        <v>230</v>
      </c>
      <c r="R6" t="s">
        <v>231</v>
      </c>
      <c r="S6" t="s">
        <v>322</v>
      </c>
      <c r="T6" s="113" t="s">
        <v>297</v>
      </c>
      <c r="U6" s="113" t="s">
        <v>300</v>
      </c>
      <c r="V6" s="162" t="s">
        <v>298</v>
      </c>
      <c r="W6" s="162" t="s">
        <v>299</v>
      </c>
      <c r="X6" s="126" t="s">
        <v>301</v>
      </c>
      <c r="Y6" s="4" t="s">
        <v>306</v>
      </c>
      <c r="Z6" s="4" t="s">
        <v>315</v>
      </c>
    </row>
    <row r="7" spans="1:26" s="125" customFormat="1" ht="14.1" customHeight="1" x14ac:dyDescent="0.3">
      <c r="A7" s="15">
        <v>2</v>
      </c>
      <c r="B7" s="23" t="s">
        <v>44</v>
      </c>
      <c r="C7" s="124" t="s">
        <v>232</v>
      </c>
      <c r="D7" s="160" t="s">
        <v>236</v>
      </c>
      <c r="E7" s="144">
        <v>20899</v>
      </c>
      <c r="F7" s="144"/>
      <c r="G7" s="144"/>
      <c r="H7" s="124">
        <f>P7/0.2</f>
        <v>2189300</v>
      </c>
      <c r="I7" s="124">
        <f>Q7/0.2</f>
        <v>173370</v>
      </c>
      <c r="J7" s="124" t="s">
        <v>233</v>
      </c>
      <c r="K7" s="124"/>
      <c r="L7" s="124">
        <v>2020</v>
      </c>
      <c r="M7" s="127">
        <v>0.2</v>
      </c>
      <c r="N7" s="124"/>
      <c r="O7" s="124" t="s">
        <v>234</v>
      </c>
      <c r="P7" s="124">
        <v>437860</v>
      </c>
      <c r="Q7" s="124">
        <v>34674</v>
      </c>
      <c r="R7" s="124">
        <f>593528</f>
        <v>593528</v>
      </c>
      <c r="S7" s="124" t="s">
        <v>389</v>
      </c>
      <c r="T7" s="127">
        <v>0.25</v>
      </c>
      <c r="U7" s="127">
        <v>0</v>
      </c>
      <c r="V7" s="154"/>
      <c r="W7" s="128">
        <v>1</v>
      </c>
      <c r="X7" s="128">
        <f>MAX((1-SUM(T7:V7))*W7,0)</f>
        <v>0.75</v>
      </c>
      <c r="Y7" s="145" t="s">
        <v>344</v>
      </c>
    </row>
    <row r="8" spans="1:26" s="125" customFormat="1" ht="14.1" customHeight="1" x14ac:dyDescent="0.3">
      <c r="A8" s="15">
        <v>2</v>
      </c>
      <c r="B8" s="23" t="s">
        <v>44</v>
      </c>
      <c r="C8" s="124" t="s">
        <v>235</v>
      </c>
      <c r="D8" s="124">
        <v>91196</v>
      </c>
      <c r="E8" s="124"/>
      <c r="F8" s="124"/>
      <c r="G8" s="124"/>
      <c r="H8" s="148">
        <v>26383974</v>
      </c>
      <c r="I8" s="149">
        <v>51066</v>
      </c>
      <c r="J8" s="124"/>
      <c r="K8" s="124">
        <v>2013</v>
      </c>
      <c r="L8" s="124">
        <v>2020</v>
      </c>
      <c r="M8" s="127">
        <v>0.33</v>
      </c>
      <c r="N8" s="127">
        <v>0.25</v>
      </c>
      <c r="O8" s="124" t="s">
        <v>383</v>
      </c>
      <c r="P8" s="130">
        <f>H8*X8*M8</f>
        <v>1632508.3912500001</v>
      </c>
      <c r="Q8" s="146">
        <f>I8*X8*M8</f>
        <v>3159.7087500000002</v>
      </c>
      <c r="R8" s="124">
        <f>D8*D$74</f>
        <v>48649.542556880318</v>
      </c>
      <c r="S8" s="124" t="s">
        <v>323</v>
      </c>
      <c r="T8" s="127">
        <v>0.25</v>
      </c>
      <c r="U8" s="127">
        <v>0</v>
      </c>
      <c r="V8" s="154"/>
      <c r="W8" s="128">
        <v>0.25</v>
      </c>
      <c r="X8" s="128">
        <f>MAX((1-SUM(T8:V8))*W8,0)</f>
        <v>0.1875</v>
      </c>
      <c r="Y8" s="147" t="s">
        <v>307</v>
      </c>
    </row>
    <row r="9" spans="1:26" s="125" customFormat="1" ht="14.1" customHeight="1" x14ac:dyDescent="0.3">
      <c r="A9" s="15">
        <v>1</v>
      </c>
      <c r="B9" s="22" t="s">
        <v>45</v>
      </c>
      <c r="C9" s="124" t="s">
        <v>237</v>
      </c>
      <c r="D9" s="124">
        <v>25303</v>
      </c>
      <c r="E9" s="124" t="s">
        <v>236</v>
      </c>
      <c r="F9" s="124"/>
      <c r="G9" s="124">
        <f>R9/$D$81</f>
        <v>13856291.520431958</v>
      </c>
      <c r="H9" s="129">
        <f>G9*D$83/3.412</f>
        <v>3248837.4022114794</v>
      </c>
      <c r="I9" s="130">
        <f>G9*D$84/100</f>
        <v>27712.583040863919</v>
      </c>
      <c r="J9" s="124"/>
      <c r="K9" s="124"/>
      <c r="L9" s="124"/>
      <c r="M9" s="127">
        <v>0.33</v>
      </c>
      <c r="N9" s="127">
        <v>0.25</v>
      </c>
      <c r="O9" s="124" t="s">
        <v>285</v>
      </c>
      <c r="P9" s="130">
        <f>H9*X9*M9</f>
        <v>93810.179988856456</v>
      </c>
      <c r="Q9" s="146">
        <f>I9*X9*M9</f>
        <v>800.2008353049456</v>
      </c>
      <c r="R9" s="124">
        <f>D9*D74</f>
        <v>13498.172894828091</v>
      </c>
      <c r="S9" s="124" t="s">
        <v>323</v>
      </c>
      <c r="T9" s="127">
        <v>0.25</v>
      </c>
      <c r="U9" s="127">
        <v>0.4</v>
      </c>
      <c r="V9" s="154"/>
      <c r="W9" s="128">
        <v>0.25</v>
      </c>
      <c r="X9" s="128">
        <f t="shared" ref="X9:X17" si="0">MAX((1-SUM(T9:V9))*W9,0)</f>
        <v>8.7499999999999994E-2</v>
      </c>
      <c r="Y9" s="147" t="s">
        <v>309</v>
      </c>
    </row>
    <row r="10" spans="1:26" s="125" customFormat="1" ht="14.1" customHeight="1" x14ac:dyDescent="0.3">
      <c r="A10" s="15">
        <v>1</v>
      </c>
      <c r="B10" s="23" t="s">
        <v>46</v>
      </c>
      <c r="C10" s="124" t="s">
        <v>238</v>
      </c>
      <c r="D10" s="144">
        <v>2000000</v>
      </c>
      <c r="E10" s="124" t="s">
        <v>236</v>
      </c>
      <c r="F10" s="124"/>
      <c r="G10" s="124"/>
      <c r="H10" s="150">
        <f>317400000</f>
        <v>317400000</v>
      </c>
      <c r="I10" s="149">
        <f>11860000</f>
        <v>11860000</v>
      </c>
      <c r="J10" s="124"/>
      <c r="K10" s="124"/>
      <c r="L10" s="124"/>
      <c r="M10" s="127">
        <v>0.33</v>
      </c>
      <c r="N10" s="127">
        <v>0.25</v>
      </c>
      <c r="O10" s="124" t="s">
        <v>383</v>
      </c>
      <c r="P10" s="130">
        <f>H10*X10*M10</f>
        <v>17020575</v>
      </c>
      <c r="Q10" s="146">
        <f>I10*X10*M10</f>
        <v>635992.5</v>
      </c>
      <c r="R10" s="124">
        <f>D10*D$74</f>
        <v>1066922.7281214157</v>
      </c>
      <c r="S10" s="124" t="s">
        <v>323</v>
      </c>
      <c r="T10" s="127">
        <v>0.25</v>
      </c>
      <c r="U10" s="127">
        <v>0.1</v>
      </c>
      <c r="V10" s="154"/>
      <c r="W10" s="128">
        <v>0.25</v>
      </c>
      <c r="X10" s="128">
        <f t="shared" si="0"/>
        <v>0.16250000000000001</v>
      </c>
      <c r="Y10" s="147" t="s">
        <v>307</v>
      </c>
    </row>
    <row r="11" spans="1:26" s="125" customFormat="1" ht="14.1" customHeight="1" x14ac:dyDescent="0.3">
      <c r="A11" s="10"/>
      <c r="B11" s="24"/>
      <c r="C11" s="124" t="s">
        <v>287</v>
      </c>
      <c r="D11" s="144">
        <f>'GHG Assumptions'!D57</f>
        <v>303911</v>
      </c>
      <c r="E11" s="124"/>
      <c r="F11" s="124"/>
      <c r="G11" s="124"/>
      <c r="H11" s="129">
        <f>H10*D11/D10*3</f>
        <v>144692027.10000002</v>
      </c>
      <c r="I11" s="130">
        <f>I10*D11/D10*3</f>
        <v>5406576.6899999995</v>
      </c>
      <c r="J11" s="124"/>
      <c r="K11" s="124"/>
      <c r="L11" s="124"/>
      <c r="M11" s="127">
        <v>0.33</v>
      </c>
      <c r="N11" s="127">
        <v>0.25</v>
      </c>
      <c r="O11" s="124" t="s">
        <v>391</v>
      </c>
      <c r="P11" s="130">
        <f>H11*X11*M11</f>
        <v>5968546.1178750014</v>
      </c>
      <c r="Q11" s="146">
        <f>I11*X11*M11</f>
        <v>223021.2884625</v>
      </c>
      <c r="R11" s="124">
        <f>D11*D$74</f>
        <v>162124.77661305378</v>
      </c>
      <c r="S11" s="124" t="s">
        <v>324</v>
      </c>
      <c r="T11" s="127">
        <v>0.25</v>
      </c>
      <c r="U11" s="127">
        <v>0.25</v>
      </c>
      <c r="V11" s="154"/>
      <c r="W11" s="128">
        <v>0.25</v>
      </c>
      <c r="X11" s="128">
        <f t="shared" si="0"/>
        <v>0.125</v>
      </c>
      <c r="Y11" s="147" t="s">
        <v>308</v>
      </c>
    </row>
    <row r="12" spans="1:26" s="156" customFormat="1" ht="14.1" customHeight="1" x14ac:dyDescent="0.3">
      <c r="A12" s="151">
        <v>2</v>
      </c>
      <c r="B12" s="152" t="s">
        <v>42</v>
      </c>
      <c r="C12" s="153" t="s">
        <v>239</v>
      </c>
      <c r="D12" s="153"/>
      <c r="E12" s="153">
        <v>1</v>
      </c>
      <c r="F12" s="153"/>
      <c r="G12" s="153"/>
      <c r="H12" s="153">
        <v>100833</v>
      </c>
      <c r="I12" s="153">
        <v>0</v>
      </c>
      <c r="J12" s="153" t="s">
        <v>240</v>
      </c>
      <c r="K12" s="153"/>
      <c r="L12" s="153"/>
      <c r="M12" s="154">
        <v>0</v>
      </c>
      <c r="N12" s="153"/>
      <c r="O12" s="153" t="s">
        <v>236</v>
      </c>
      <c r="P12" s="153">
        <v>0</v>
      </c>
      <c r="Q12" s="153">
        <v>0</v>
      </c>
      <c r="R12" s="153"/>
      <c r="S12" s="153" t="s">
        <v>323</v>
      </c>
      <c r="T12" s="154">
        <v>1</v>
      </c>
      <c r="U12" s="154">
        <v>0</v>
      </c>
      <c r="V12" s="154"/>
      <c r="W12" s="155">
        <v>0.25</v>
      </c>
      <c r="X12" s="155">
        <f t="shared" si="0"/>
        <v>0</v>
      </c>
      <c r="Y12" s="157" t="s">
        <v>236</v>
      </c>
      <c r="Z12" s="156" t="s">
        <v>316</v>
      </c>
    </row>
    <row r="13" spans="1:26" s="156" customFormat="1" ht="14.1" customHeight="1" x14ac:dyDescent="0.3">
      <c r="B13" s="158"/>
      <c r="C13" s="153" t="s">
        <v>241</v>
      </c>
      <c r="D13" s="153">
        <v>175000</v>
      </c>
      <c r="E13" s="153"/>
      <c r="F13" s="153"/>
      <c r="G13" s="153"/>
      <c r="H13" s="153"/>
      <c r="I13" s="153"/>
      <c r="J13" s="153" t="s">
        <v>242</v>
      </c>
      <c r="K13" s="153"/>
      <c r="L13" s="153"/>
      <c r="M13" s="154">
        <v>0</v>
      </c>
      <c r="N13" s="153"/>
      <c r="O13" s="153" t="s">
        <v>236</v>
      </c>
      <c r="P13" s="153">
        <v>0</v>
      </c>
      <c r="Q13" s="153">
        <v>0</v>
      </c>
      <c r="R13" s="153"/>
      <c r="S13" s="153" t="s">
        <v>325</v>
      </c>
      <c r="T13" s="154">
        <v>1</v>
      </c>
      <c r="U13" s="154">
        <v>0</v>
      </c>
      <c r="V13" s="154"/>
      <c r="W13" s="155">
        <v>0.25</v>
      </c>
      <c r="X13" s="155">
        <f t="shared" si="0"/>
        <v>0</v>
      </c>
      <c r="Y13" s="157"/>
      <c r="Z13" s="156" t="s">
        <v>317</v>
      </c>
    </row>
    <row r="14" spans="1:26" s="125" customFormat="1" ht="14.1" customHeight="1" x14ac:dyDescent="0.3">
      <c r="C14" s="124" t="s">
        <v>243</v>
      </c>
      <c r="D14" s="124"/>
      <c r="E14" s="124">
        <v>1</v>
      </c>
      <c r="F14" s="124"/>
      <c r="G14" s="124"/>
      <c r="H14" s="113">
        <v>1683736</v>
      </c>
      <c r="I14" s="124">
        <v>0</v>
      </c>
      <c r="J14" s="124"/>
      <c r="K14" s="124"/>
      <c r="L14" s="124"/>
      <c r="M14" s="127">
        <v>0.53</v>
      </c>
      <c r="N14" s="124"/>
      <c r="O14" s="124" t="s">
        <v>310</v>
      </c>
      <c r="P14" s="130">
        <f>H14*(1-T14)</f>
        <v>420934</v>
      </c>
      <c r="Q14" s="124">
        <v>0</v>
      </c>
      <c r="R14" s="130">
        <f>2789951/2000</f>
        <v>1394.9755</v>
      </c>
      <c r="S14" s="130" t="s">
        <v>323</v>
      </c>
      <c r="T14" s="127">
        <v>0.75</v>
      </c>
      <c r="U14" s="127">
        <v>0</v>
      </c>
      <c r="V14" s="154"/>
      <c r="W14" s="128">
        <v>1</v>
      </c>
      <c r="X14" s="128">
        <f t="shared" si="0"/>
        <v>0.25</v>
      </c>
      <c r="Y14" s="147" t="s">
        <v>310</v>
      </c>
    </row>
    <row r="15" spans="1:26" s="125" customFormat="1" ht="14.1" customHeight="1" x14ac:dyDescent="0.3">
      <c r="C15" s="124" t="s">
        <v>244</v>
      </c>
      <c r="D15" s="124">
        <v>119552</v>
      </c>
      <c r="E15" s="124">
        <f>D55</f>
        <v>17625</v>
      </c>
      <c r="F15" s="124"/>
      <c r="G15" s="124"/>
      <c r="H15" s="129">
        <f>D63</f>
        <v>247948417.35052755</v>
      </c>
      <c r="I15" s="130">
        <f>D64</f>
        <v>2115000</v>
      </c>
      <c r="J15" s="124"/>
      <c r="K15" s="124"/>
      <c r="L15" s="124">
        <v>2021</v>
      </c>
      <c r="M15" s="127">
        <v>0.33</v>
      </c>
      <c r="N15" s="127">
        <v>0.33</v>
      </c>
      <c r="O15" s="124" t="s">
        <v>393</v>
      </c>
      <c r="P15" s="130">
        <f>H15*X15*M15</f>
        <v>15341808.323563894</v>
      </c>
      <c r="Q15" s="146">
        <f>I15*N15</f>
        <v>697950</v>
      </c>
      <c r="R15" s="130">
        <f>D15*D$74</f>
        <v>63776.372996185746</v>
      </c>
      <c r="S15" s="130" t="s">
        <v>84</v>
      </c>
      <c r="T15" s="127">
        <v>0.25</v>
      </c>
      <c r="U15" s="127">
        <v>0</v>
      </c>
      <c r="V15" s="154"/>
      <c r="W15" s="128">
        <v>0.25</v>
      </c>
      <c r="X15" s="128">
        <f t="shared" si="0"/>
        <v>0.1875</v>
      </c>
      <c r="Y15" s="147" t="s">
        <v>321</v>
      </c>
    </row>
    <row r="16" spans="1:26" s="125" customFormat="1" ht="14.1" customHeight="1" x14ac:dyDescent="0.3">
      <c r="A16" s="15">
        <v>1</v>
      </c>
      <c r="B16" s="15" t="s">
        <v>47</v>
      </c>
      <c r="C16" s="124" t="s">
        <v>245</v>
      </c>
      <c r="D16" s="124"/>
      <c r="E16" s="124">
        <v>2</v>
      </c>
      <c r="F16" s="124"/>
      <c r="G16" s="160"/>
      <c r="H16" s="160" t="s">
        <v>236</v>
      </c>
      <c r="I16" s="160" t="s">
        <v>236</v>
      </c>
      <c r="J16" s="160"/>
      <c r="K16" s="160"/>
      <c r="L16" s="160"/>
      <c r="M16" s="160" t="s">
        <v>236</v>
      </c>
      <c r="N16" s="124"/>
      <c r="O16" s="124" t="s">
        <v>310</v>
      </c>
      <c r="P16" s="124">
        <v>257844</v>
      </c>
      <c r="Q16" s="124">
        <v>2275</v>
      </c>
      <c r="R16" s="124"/>
      <c r="S16" s="124" t="s">
        <v>323</v>
      </c>
      <c r="T16" s="127">
        <v>0</v>
      </c>
      <c r="U16" s="127">
        <v>0</v>
      </c>
      <c r="V16" s="154"/>
      <c r="W16" s="128">
        <v>0.25</v>
      </c>
      <c r="X16" s="128">
        <f t="shared" si="0"/>
        <v>0.25</v>
      </c>
      <c r="Y16" s="145" t="s">
        <v>344</v>
      </c>
    </row>
    <row r="17" spans="1:25" s="125" customFormat="1" ht="14.1" customHeight="1" x14ac:dyDescent="0.3">
      <c r="A17" s="15"/>
      <c r="B17" s="10"/>
      <c r="C17" s="124" t="s">
        <v>350</v>
      </c>
      <c r="D17" s="124">
        <f>F53</f>
        <v>282000</v>
      </c>
      <c r="E17" s="124" t="s">
        <v>236</v>
      </c>
      <c r="F17" s="124"/>
      <c r="G17" s="124"/>
      <c r="H17" s="130">
        <f>H8*D17/D8</f>
        <v>81585603.184350193</v>
      </c>
      <c r="I17" s="130">
        <f>I8*D17/D8</f>
        <v>157908.37317426203</v>
      </c>
      <c r="J17" s="124"/>
      <c r="K17" s="124"/>
      <c r="L17" s="124"/>
      <c r="M17" s="127">
        <v>0.33</v>
      </c>
      <c r="N17" s="127">
        <v>0.25</v>
      </c>
      <c r="O17" s="124" t="s">
        <v>388</v>
      </c>
      <c r="P17" s="130">
        <f>H17*X17*M17</f>
        <v>5048109.1970316684</v>
      </c>
      <c r="Q17" s="146">
        <f>I17*X17*M17</f>
        <v>9770.580590157464</v>
      </c>
      <c r="R17" s="124"/>
      <c r="S17" s="124" t="s">
        <v>324</v>
      </c>
      <c r="T17" s="127">
        <v>0.25</v>
      </c>
      <c r="U17" s="127">
        <v>0</v>
      </c>
      <c r="V17" s="154"/>
      <c r="W17" s="128">
        <v>0.25</v>
      </c>
      <c r="X17" s="128">
        <f t="shared" si="0"/>
        <v>0.1875</v>
      </c>
      <c r="Y17" s="145" t="s">
        <v>309</v>
      </c>
    </row>
    <row r="18" spans="1:25" ht="14.1" customHeight="1" x14ac:dyDescent="0.3">
      <c r="A18" s="15">
        <v>1</v>
      </c>
      <c r="B18" s="18" t="s">
        <v>47</v>
      </c>
    </row>
    <row r="19" spans="1:25" s="103" customFormat="1" ht="14.1" customHeight="1" x14ac:dyDescent="0.3">
      <c r="A19" s="100"/>
      <c r="B19" s="101"/>
      <c r="C19" s="104" t="s">
        <v>394</v>
      </c>
      <c r="D19" s="102"/>
      <c r="E19" s="102"/>
      <c r="F19" s="102"/>
      <c r="G19" s="102"/>
      <c r="H19" s="102"/>
      <c r="I19" s="102"/>
      <c r="J19" s="102"/>
      <c r="K19" s="102"/>
      <c r="L19" s="102"/>
      <c r="M19" s="102"/>
      <c r="N19" s="102"/>
      <c r="O19" s="102"/>
      <c r="P19" s="102"/>
      <c r="Q19" s="102"/>
      <c r="R19" s="102"/>
      <c r="S19" s="102"/>
      <c r="T19" s="102"/>
      <c r="U19" s="102"/>
      <c r="V19" s="102"/>
    </row>
    <row r="20" spans="1:25" s="103" customFormat="1" ht="14.1" customHeight="1" x14ac:dyDescent="0.3">
      <c r="A20" s="100"/>
      <c r="B20" s="101"/>
      <c r="C20" s="102" t="s">
        <v>291</v>
      </c>
      <c r="D20" s="102"/>
      <c r="E20" s="102">
        <v>4</v>
      </c>
      <c r="F20" s="102"/>
      <c r="G20" s="102"/>
      <c r="H20" s="102"/>
      <c r="I20" s="102"/>
      <c r="J20" s="102"/>
      <c r="K20" s="102"/>
      <c r="L20" s="102"/>
      <c r="M20" s="102"/>
      <c r="N20" s="102"/>
      <c r="O20" s="102"/>
      <c r="P20" s="102">
        <f>176000*1</f>
        <v>176000</v>
      </c>
      <c r="Q20" s="102">
        <v>4000</v>
      </c>
      <c r="R20" s="102"/>
      <c r="S20" s="102"/>
      <c r="T20" s="102"/>
      <c r="U20" s="102"/>
      <c r="V20" s="102"/>
    </row>
    <row r="21" spans="1:25" s="103" customFormat="1" ht="14.1" customHeight="1" x14ac:dyDescent="0.3">
      <c r="A21" s="100"/>
      <c r="B21" s="101"/>
      <c r="C21" s="102" t="s">
        <v>292</v>
      </c>
      <c r="D21" s="102"/>
      <c r="E21" s="102">
        <v>4</v>
      </c>
      <c r="F21" s="102"/>
      <c r="G21" s="102"/>
      <c r="H21" s="102">
        <f>927752+603429+599095+320104</f>
        <v>2450380</v>
      </c>
      <c r="I21" s="102"/>
      <c r="J21" s="102"/>
      <c r="K21" s="102"/>
      <c r="L21" s="102"/>
      <c r="M21" s="102"/>
      <c r="N21" s="102"/>
      <c r="O21" s="102"/>
      <c r="P21" s="102">
        <v>729432</v>
      </c>
      <c r="Q21" s="102"/>
      <c r="R21" s="102"/>
      <c r="S21" s="102"/>
      <c r="T21" s="102"/>
      <c r="U21" s="102"/>
      <c r="V21" s="106"/>
    </row>
    <row r="22" spans="1:25" s="103" customFormat="1" ht="14.1" customHeight="1" x14ac:dyDescent="0.3">
      <c r="A22" s="100"/>
      <c r="B22" s="101"/>
      <c r="C22" s="102" t="s">
        <v>294</v>
      </c>
      <c r="D22" s="102"/>
      <c r="E22" s="102"/>
      <c r="F22" s="102"/>
      <c r="G22" s="102"/>
      <c r="H22" s="102"/>
      <c r="I22" s="102"/>
      <c r="J22" s="102"/>
      <c r="K22" s="102"/>
      <c r="L22" s="102"/>
      <c r="M22" s="102"/>
      <c r="N22" s="102"/>
      <c r="O22" s="102"/>
      <c r="P22" s="102"/>
      <c r="Q22" s="102"/>
      <c r="R22" s="102"/>
      <c r="S22" s="102"/>
      <c r="T22" s="102"/>
      <c r="U22" s="102"/>
      <c r="V22" s="102"/>
    </row>
    <row r="23" spans="1:25" s="103" customFormat="1" ht="14.1" customHeight="1" x14ac:dyDescent="0.3">
      <c r="A23" s="100"/>
      <c r="B23" s="101"/>
      <c r="C23" s="102" t="s">
        <v>295</v>
      </c>
      <c r="D23" s="102"/>
      <c r="E23" s="102"/>
      <c r="F23" s="102"/>
      <c r="G23" s="102"/>
      <c r="H23" s="102"/>
      <c r="I23" s="102"/>
      <c r="J23" s="102"/>
      <c r="K23" s="102"/>
      <c r="L23" s="102"/>
      <c r="M23" s="102"/>
      <c r="N23" s="102"/>
      <c r="O23" s="102"/>
      <c r="P23" s="102"/>
      <c r="Q23" s="102"/>
      <c r="R23" s="102"/>
      <c r="S23" s="102"/>
      <c r="T23" s="102"/>
      <c r="U23" s="102"/>
      <c r="V23" s="102"/>
    </row>
    <row r="24" spans="1:25" s="103" customFormat="1" ht="14.1" customHeight="1" x14ac:dyDescent="0.3">
      <c r="A24" s="100"/>
      <c r="B24" s="101"/>
      <c r="C24" s="102" t="s">
        <v>296</v>
      </c>
      <c r="D24" s="102"/>
      <c r="E24" s="102"/>
      <c r="F24" s="102"/>
      <c r="G24" s="102"/>
      <c r="H24" s="102"/>
      <c r="I24" s="102"/>
      <c r="J24" s="102"/>
      <c r="K24" s="102"/>
      <c r="L24" s="102"/>
      <c r="M24" s="102"/>
      <c r="N24" s="102"/>
      <c r="O24" s="102"/>
      <c r="P24" s="102"/>
      <c r="Q24" s="102"/>
      <c r="R24" s="102"/>
      <c r="S24" s="102"/>
      <c r="T24" s="102"/>
      <c r="U24" s="102"/>
      <c r="V24" s="102"/>
    </row>
    <row r="25" spans="1:25" ht="14.1" customHeight="1" x14ac:dyDescent="0.3">
      <c r="A25" s="15">
        <v>1</v>
      </c>
      <c r="B25" s="21" t="s">
        <v>48</v>
      </c>
      <c r="P25" s="1" t="s">
        <v>0</v>
      </c>
      <c r="Q25" s="1" t="s">
        <v>342</v>
      </c>
    </row>
    <row r="26" spans="1:25" ht="14.1" customHeight="1" x14ac:dyDescent="0.3">
      <c r="A26" s="15">
        <v>1</v>
      </c>
      <c r="B26" s="22" t="s">
        <v>47</v>
      </c>
      <c r="P26" s="96">
        <f>SUM(P7:P17)/1000000</f>
        <v>46.221995209709419</v>
      </c>
      <c r="Q26" s="96">
        <f>SUM(Q7:Q17)/1000000</f>
        <v>1.6076432786379624</v>
      </c>
      <c r="T26" s="4"/>
      <c r="U26" s="4"/>
      <c r="V26" s="4"/>
    </row>
    <row r="27" spans="1:25" ht="14.1" customHeight="1" x14ac:dyDescent="0.3">
      <c r="A27" s="15"/>
      <c r="B27" s="22"/>
      <c r="P27" s="96"/>
      <c r="Q27" s="96"/>
      <c r="T27" s="4"/>
      <c r="U27" s="4"/>
      <c r="V27" s="4"/>
    </row>
    <row r="28" spans="1:25" ht="14.1" customHeight="1" x14ac:dyDescent="0.3">
      <c r="A28" s="15"/>
      <c r="B28" s="22"/>
      <c r="C28" s="136" t="s">
        <v>392</v>
      </c>
      <c r="O28" s="256" t="s">
        <v>473</v>
      </c>
      <c r="P28" s="96">
        <f>(P7+P15)/1000000</f>
        <v>15.779668323563895</v>
      </c>
      <c r="Q28" s="96">
        <f>(Q7+Q15)/1000000</f>
        <v>0.73262400000000005</v>
      </c>
      <c r="T28" s="4"/>
      <c r="U28" s="4"/>
      <c r="V28" s="4"/>
    </row>
    <row r="29" spans="1:25" ht="14.1" customHeight="1" x14ac:dyDescent="0.3">
      <c r="A29" s="15"/>
      <c r="B29" s="22"/>
      <c r="C29" s="136"/>
      <c r="O29" s="256" t="s">
        <v>474</v>
      </c>
      <c r="P29" s="257">
        <f>P28/P26</f>
        <v>0.34138873174927786</v>
      </c>
      <c r="Q29" s="257">
        <f>Q28/Q26</f>
        <v>0.45571303642727157</v>
      </c>
      <c r="T29" s="4"/>
      <c r="U29" s="4"/>
      <c r="V29" s="4"/>
    </row>
    <row r="30" spans="1:25" ht="14.1" customHeight="1" x14ac:dyDescent="0.3">
      <c r="A30" s="15">
        <v>1</v>
      </c>
      <c r="B30" s="23" t="s">
        <v>49</v>
      </c>
      <c r="C30" t="s">
        <v>302</v>
      </c>
      <c r="F30" s="4"/>
      <c r="G30" s="4"/>
      <c r="H30" s="4"/>
      <c r="I30" s="4"/>
      <c r="J30" s="4"/>
      <c r="K30" s="4"/>
      <c r="L30" s="4"/>
      <c r="M30" s="4"/>
      <c r="N30" s="4"/>
      <c r="O30" s="4"/>
      <c r="P30" s="4"/>
      <c r="Q30" s="4"/>
      <c r="R30" s="4"/>
      <c r="S30" s="4"/>
      <c r="T30" s="4"/>
      <c r="U30" s="4"/>
      <c r="V30" s="4"/>
    </row>
    <row r="31" spans="1:25" ht="14.1" customHeight="1" x14ac:dyDescent="0.3">
      <c r="A31" s="15">
        <v>1</v>
      </c>
      <c r="B31" s="22" t="s">
        <v>48</v>
      </c>
      <c r="C31" t="s">
        <v>303</v>
      </c>
      <c r="F31" s="4"/>
      <c r="G31" s="4"/>
      <c r="H31" s="4"/>
      <c r="I31" s="4"/>
      <c r="J31" s="4"/>
      <c r="K31" s="4"/>
      <c r="L31" s="4"/>
      <c r="M31" s="4"/>
      <c r="N31" s="4"/>
      <c r="O31" s="4"/>
      <c r="P31" s="4"/>
      <c r="Q31" s="4"/>
      <c r="R31" s="4"/>
      <c r="S31" s="4"/>
      <c r="T31" s="4"/>
      <c r="U31" s="4"/>
      <c r="V31" s="4"/>
    </row>
    <row r="32" spans="1:25" ht="14.1" customHeight="1" x14ac:dyDescent="0.3">
      <c r="A32" s="15">
        <v>1</v>
      </c>
      <c r="B32" s="23" t="s">
        <v>49</v>
      </c>
      <c r="C32" t="s">
        <v>304</v>
      </c>
      <c r="F32" s="4"/>
      <c r="G32" s="4"/>
      <c r="H32" s="4"/>
      <c r="I32" s="4"/>
      <c r="J32" s="4"/>
      <c r="K32" s="4"/>
      <c r="L32" s="4"/>
      <c r="M32" s="4"/>
      <c r="N32" s="4"/>
      <c r="O32" s="4"/>
      <c r="P32" s="4"/>
      <c r="Q32" s="4"/>
      <c r="R32" s="4"/>
      <c r="S32" s="4"/>
      <c r="T32" s="4"/>
      <c r="U32" s="4"/>
      <c r="V32" s="4"/>
    </row>
    <row r="33" spans="3:22" x14ac:dyDescent="0.3">
      <c r="C33" t="s">
        <v>305</v>
      </c>
      <c r="F33" s="4"/>
      <c r="G33" s="4"/>
      <c r="H33" s="4"/>
      <c r="I33" s="4"/>
      <c r="J33" s="4"/>
      <c r="K33" s="4"/>
      <c r="L33" s="4"/>
      <c r="M33" s="4"/>
      <c r="N33" s="4"/>
      <c r="O33" s="4"/>
      <c r="P33" s="4"/>
      <c r="Q33" s="4"/>
      <c r="R33" s="4"/>
      <c r="S33" s="4"/>
      <c r="T33" s="4"/>
      <c r="U33" s="4"/>
      <c r="V33" s="4"/>
    </row>
    <row r="34" spans="3:22" x14ac:dyDescent="0.3">
      <c r="C34" t="s">
        <v>343</v>
      </c>
      <c r="F34" s="4"/>
      <c r="G34" s="4"/>
      <c r="H34" s="4"/>
      <c r="I34" s="4"/>
      <c r="J34" s="4"/>
      <c r="K34" s="4"/>
      <c r="L34" s="4"/>
      <c r="M34" s="4"/>
      <c r="N34" s="4"/>
      <c r="O34" s="4"/>
      <c r="P34" s="4"/>
      <c r="Q34" s="4"/>
      <c r="R34" s="4"/>
      <c r="S34" s="4"/>
      <c r="T34" s="4"/>
      <c r="U34" s="4"/>
      <c r="V34" s="4"/>
    </row>
    <row r="35" spans="3:22" ht="14.1" customHeight="1" x14ac:dyDescent="0.3">
      <c r="C35" t="s">
        <v>318</v>
      </c>
      <c r="F35" s="4"/>
      <c r="G35" s="4"/>
      <c r="H35" s="4"/>
      <c r="I35" s="4"/>
      <c r="J35" s="4"/>
      <c r="K35" s="4"/>
      <c r="L35" s="4"/>
      <c r="M35" s="4"/>
      <c r="N35" s="4"/>
      <c r="O35" s="4"/>
      <c r="P35" s="4"/>
      <c r="Q35" s="4"/>
      <c r="R35" s="4"/>
      <c r="S35" s="4"/>
      <c r="T35" s="4"/>
      <c r="U35" s="4"/>
      <c r="V35" s="4"/>
    </row>
    <row r="36" spans="3:22" ht="14.1" customHeight="1" x14ac:dyDescent="0.3">
      <c r="C36" t="s">
        <v>319</v>
      </c>
      <c r="F36" s="4"/>
      <c r="G36" s="4"/>
      <c r="H36" s="4"/>
      <c r="I36" s="4"/>
      <c r="J36" s="4"/>
      <c r="K36" s="4"/>
      <c r="L36" s="4"/>
      <c r="M36" s="4"/>
      <c r="N36" s="4"/>
      <c r="O36" s="4"/>
      <c r="P36" s="4"/>
      <c r="Q36" s="4"/>
      <c r="R36" s="4"/>
      <c r="S36" s="4"/>
      <c r="T36" s="4"/>
      <c r="U36" s="4"/>
      <c r="V36" s="4"/>
    </row>
    <row r="37" spans="3:22" ht="14.1" customHeight="1" x14ac:dyDescent="0.3">
      <c r="C37" t="s">
        <v>320</v>
      </c>
      <c r="F37" s="4"/>
      <c r="G37" s="4"/>
      <c r="H37" s="4"/>
      <c r="I37" s="4"/>
      <c r="J37" s="4"/>
      <c r="K37" s="4"/>
      <c r="L37" s="4"/>
      <c r="M37" s="4"/>
      <c r="N37" s="4"/>
      <c r="O37" s="4"/>
      <c r="P37" s="4"/>
      <c r="Q37" s="4"/>
      <c r="R37" s="4"/>
      <c r="S37" s="4"/>
      <c r="T37" s="4"/>
      <c r="U37" s="4"/>
      <c r="V37" s="4"/>
    </row>
    <row r="38" spans="3:22" ht="14.1" customHeight="1" x14ac:dyDescent="0.3">
      <c r="F38" s="4"/>
      <c r="G38" s="4"/>
      <c r="H38" s="4"/>
      <c r="I38" s="4"/>
      <c r="J38" s="4"/>
      <c r="K38" s="4"/>
      <c r="L38" s="4"/>
      <c r="M38" s="4"/>
      <c r="N38" s="4"/>
      <c r="O38" s="4"/>
      <c r="P38" s="4"/>
      <c r="Q38" s="4"/>
      <c r="R38" s="4"/>
      <c r="S38" s="4"/>
      <c r="T38" s="4"/>
      <c r="U38" s="4"/>
      <c r="V38" s="4"/>
    </row>
    <row r="39" spans="3:22" ht="14.1" customHeight="1" x14ac:dyDescent="0.3">
      <c r="F39" s="4"/>
      <c r="G39" s="4"/>
      <c r="H39" s="4"/>
      <c r="I39" s="4"/>
      <c r="J39" s="4"/>
      <c r="K39" s="4"/>
      <c r="L39" s="4"/>
      <c r="M39" s="4"/>
      <c r="N39" s="4"/>
      <c r="O39" s="4"/>
      <c r="P39" s="4"/>
      <c r="Q39" s="4"/>
      <c r="R39" s="4"/>
      <c r="S39" s="4"/>
      <c r="T39" s="4"/>
      <c r="U39" s="4"/>
      <c r="V39" s="4"/>
    </row>
    <row r="40" spans="3:22" ht="14.1" customHeight="1" x14ac:dyDescent="0.3">
      <c r="C40" s="1" t="s">
        <v>387</v>
      </c>
      <c r="F40" s="4"/>
      <c r="G40" s="4"/>
      <c r="H40" s="4"/>
      <c r="I40" s="4"/>
      <c r="J40" s="4"/>
      <c r="K40" s="4"/>
      <c r="L40" s="4"/>
      <c r="M40" s="4"/>
      <c r="N40" s="4"/>
      <c r="O40" s="4"/>
      <c r="P40" s="4"/>
      <c r="Q40" s="4"/>
      <c r="R40" s="4"/>
      <c r="S40" s="4"/>
      <c r="T40" s="4"/>
      <c r="U40" s="4"/>
      <c r="V40" s="4"/>
    </row>
    <row r="41" spans="3:22" ht="14.1" customHeight="1" x14ac:dyDescent="0.3">
      <c r="C41" s="136" t="s">
        <v>375</v>
      </c>
      <c r="F41" s="4"/>
      <c r="G41" s="4"/>
      <c r="H41" s="4"/>
      <c r="I41" s="4"/>
      <c r="J41" s="4"/>
      <c r="K41" s="4"/>
      <c r="L41" s="4"/>
      <c r="M41" s="4"/>
      <c r="N41" s="4"/>
      <c r="O41" s="4"/>
      <c r="P41" s="4"/>
      <c r="Q41" s="4"/>
      <c r="R41" s="4"/>
      <c r="S41" s="4"/>
      <c r="T41" s="4"/>
      <c r="U41" s="4"/>
      <c r="V41" s="4"/>
    </row>
    <row r="42" spans="3:22" ht="14.1" customHeight="1" x14ac:dyDescent="0.3">
      <c r="C42" s="2" t="s">
        <v>376</v>
      </c>
      <c r="F42" s="4"/>
      <c r="G42" s="4"/>
      <c r="H42" s="4"/>
      <c r="I42" s="4"/>
      <c r="J42" s="4"/>
      <c r="K42" s="4"/>
      <c r="L42" s="4"/>
      <c r="M42" s="4"/>
      <c r="N42" s="4"/>
      <c r="O42" s="4"/>
      <c r="P42" s="4"/>
      <c r="Q42" s="4"/>
      <c r="R42" s="4"/>
      <c r="S42" s="4"/>
      <c r="T42" s="4"/>
      <c r="U42" s="4"/>
      <c r="V42" s="4"/>
    </row>
    <row r="43" spans="3:22" ht="14.1" customHeight="1" x14ac:dyDescent="0.3">
      <c r="C43" s="2" t="s">
        <v>377</v>
      </c>
      <c r="F43" s="4"/>
      <c r="G43" s="4"/>
      <c r="H43" s="4"/>
      <c r="I43" s="4"/>
      <c r="J43" s="4"/>
      <c r="K43" s="4"/>
      <c r="L43" s="4"/>
      <c r="M43" s="4"/>
      <c r="N43" s="4"/>
      <c r="O43" s="4"/>
      <c r="P43" s="4"/>
      <c r="Q43" s="4"/>
      <c r="R43" s="4"/>
      <c r="S43" s="4"/>
      <c r="T43" s="4"/>
      <c r="U43" s="4"/>
      <c r="V43" s="4"/>
    </row>
    <row r="44" spans="3:22" ht="14.1" customHeight="1" x14ac:dyDescent="0.3">
      <c r="C44" s="2" t="s">
        <v>378</v>
      </c>
      <c r="F44" s="4"/>
      <c r="G44" s="4"/>
      <c r="H44" s="4"/>
      <c r="I44" s="4"/>
      <c r="J44" s="4"/>
      <c r="K44" s="4"/>
      <c r="L44" s="4"/>
      <c r="M44" s="4"/>
      <c r="N44" s="4"/>
      <c r="O44" s="4"/>
      <c r="P44" s="4"/>
      <c r="Q44" s="4"/>
      <c r="R44" s="4"/>
      <c r="S44" s="4"/>
      <c r="T44" s="4"/>
      <c r="U44" s="4"/>
      <c r="V44" s="4"/>
    </row>
    <row r="45" spans="3:22" ht="14.1" customHeight="1" x14ac:dyDescent="0.3">
      <c r="C45" s="2" t="s">
        <v>379</v>
      </c>
      <c r="F45" s="4"/>
      <c r="G45" s="4"/>
      <c r="H45" s="4"/>
      <c r="I45" s="4"/>
      <c r="J45" s="4"/>
      <c r="K45" s="4"/>
      <c r="L45" s="4"/>
      <c r="M45" s="4"/>
      <c r="N45" s="4"/>
      <c r="O45" s="4"/>
      <c r="P45" s="4"/>
      <c r="Q45" s="4"/>
      <c r="R45" s="4"/>
      <c r="S45" s="4"/>
      <c r="T45" s="4"/>
      <c r="U45" s="4"/>
      <c r="V45" s="4"/>
    </row>
    <row r="46" spans="3:22" ht="14.1" customHeight="1" x14ac:dyDescent="0.3">
      <c r="C46" s="2"/>
      <c r="F46" s="4"/>
      <c r="G46" s="4"/>
      <c r="H46" s="4"/>
      <c r="I46" s="4"/>
      <c r="J46" s="4"/>
      <c r="K46" s="4"/>
      <c r="L46" s="4"/>
      <c r="M46" s="4"/>
      <c r="N46" s="4"/>
      <c r="O46" s="4"/>
      <c r="P46" s="4"/>
      <c r="Q46" s="4"/>
      <c r="R46" s="4"/>
      <c r="S46" s="4"/>
      <c r="T46" s="4"/>
      <c r="U46" s="4"/>
      <c r="V46" s="4"/>
    </row>
    <row r="47" spans="3:22" ht="14.1" customHeight="1" x14ac:dyDescent="0.3">
      <c r="C47" t="s">
        <v>63</v>
      </c>
      <c r="F47" s="4"/>
      <c r="G47" s="4"/>
      <c r="H47" s="4"/>
      <c r="I47" s="4"/>
      <c r="J47" s="4"/>
      <c r="K47" s="4"/>
      <c r="L47" s="4"/>
      <c r="M47" s="4"/>
      <c r="N47" s="4"/>
      <c r="O47" s="4"/>
      <c r="P47" s="4"/>
      <c r="Q47" s="4"/>
      <c r="R47" s="4"/>
      <c r="S47" s="4"/>
      <c r="T47" s="4"/>
      <c r="U47" s="4"/>
      <c r="V47" s="4"/>
    </row>
    <row r="48" spans="3:22" ht="14.1" customHeight="1" x14ac:dyDescent="0.3">
      <c r="C48" t="s">
        <v>326</v>
      </c>
      <c r="D48" t="s">
        <v>330</v>
      </c>
      <c r="F48" s="4"/>
      <c r="G48" s="4"/>
      <c r="H48" s="4"/>
      <c r="I48" s="4"/>
      <c r="J48" s="4"/>
      <c r="K48" s="4"/>
      <c r="L48" s="4"/>
      <c r="M48" s="4"/>
      <c r="N48" s="4"/>
      <c r="O48" s="4"/>
      <c r="P48" s="4"/>
      <c r="Q48" s="4"/>
      <c r="R48" s="4"/>
      <c r="S48" s="4"/>
      <c r="T48" s="4"/>
      <c r="U48" s="4"/>
      <c r="V48" s="4"/>
    </row>
    <row r="49" spans="1:22" ht="14.1" customHeight="1" x14ac:dyDescent="0.3">
      <c r="C49" t="s">
        <v>327</v>
      </c>
      <c r="D49">
        <v>7286</v>
      </c>
      <c r="E49" t="s">
        <v>351</v>
      </c>
      <c r="F49" s="4">
        <v>43712</v>
      </c>
      <c r="G49" s="4"/>
      <c r="H49" s="4"/>
      <c r="I49" s="4"/>
      <c r="J49" s="4"/>
      <c r="K49" s="4"/>
      <c r="L49" s="4"/>
      <c r="M49" s="4"/>
      <c r="N49" s="4"/>
      <c r="O49" s="4"/>
      <c r="P49" s="4"/>
      <c r="Q49" s="4"/>
      <c r="R49" s="4"/>
      <c r="S49" s="4"/>
      <c r="T49" s="4"/>
      <c r="U49" s="4"/>
      <c r="V49" s="4"/>
    </row>
    <row r="50" spans="1:22" ht="14.1" customHeight="1" x14ac:dyDescent="0.3">
      <c r="C50" t="s">
        <v>328</v>
      </c>
      <c r="D50">
        <v>1295</v>
      </c>
      <c r="E50" t="s">
        <v>352</v>
      </c>
      <c r="F50" s="4">
        <v>109592</v>
      </c>
      <c r="G50" s="4"/>
      <c r="H50" s="4"/>
      <c r="I50" s="4"/>
      <c r="J50" s="4"/>
      <c r="K50" s="4"/>
      <c r="L50" s="4"/>
      <c r="M50" s="4"/>
      <c r="N50" s="4"/>
      <c r="O50" s="4"/>
      <c r="P50" s="4"/>
      <c r="Q50" s="4"/>
      <c r="R50" s="4"/>
      <c r="S50" s="4"/>
      <c r="T50" s="4"/>
      <c r="U50" s="4"/>
      <c r="V50" s="4"/>
    </row>
    <row r="51" spans="1:22" ht="14.1" customHeight="1" x14ac:dyDescent="0.3">
      <c r="C51" t="s">
        <v>329</v>
      </c>
      <c r="D51">
        <v>2336</v>
      </c>
      <c r="E51" t="s">
        <v>353</v>
      </c>
      <c r="F51" s="4">
        <v>36481</v>
      </c>
      <c r="G51" s="4"/>
      <c r="H51" s="4"/>
      <c r="I51" s="4"/>
      <c r="J51" s="4"/>
      <c r="K51" s="4"/>
      <c r="L51" s="4"/>
      <c r="M51" s="4"/>
      <c r="N51" s="4"/>
      <c r="O51" s="4"/>
      <c r="P51" s="4"/>
      <c r="Q51" s="4"/>
      <c r="R51" s="4"/>
      <c r="S51" s="4"/>
      <c r="T51" s="4"/>
      <c r="U51" s="4"/>
      <c r="V51" s="4"/>
    </row>
    <row r="52" spans="1:22" ht="13.5" customHeight="1" x14ac:dyDescent="0.3">
      <c r="A52" s="15">
        <v>2</v>
      </c>
      <c r="B52" s="15" t="s">
        <v>42</v>
      </c>
      <c r="C52" t="s">
        <v>331</v>
      </c>
      <c r="D52" s="1">
        <f>SUM(D49:D51)</f>
        <v>10917</v>
      </c>
      <c r="E52" t="s">
        <v>354</v>
      </c>
      <c r="F52" s="4">
        <v>128888</v>
      </c>
      <c r="G52" s="4"/>
      <c r="H52" s="4"/>
      <c r="I52" s="4"/>
      <c r="J52" s="4"/>
      <c r="K52" s="4"/>
      <c r="L52" s="4"/>
      <c r="M52" s="4"/>
      <c r="N52" s="4"/>
      <c r="O52" s="4"/>
      <c r="P52" s="4"/>
      <c r="Q52" s="4"/>
      <c r="R52" s="4"/>
      <c r="S52" s="4"/>
      <c r="T52" s="4"/>
      <c r="U52" s="4"/>
      <c r="V52" s="4"/>
    </row>
    <row r="53" spans="1:22" ht="14.1" customHeight="1" x14ac:dyDescent="0.3">
      <c r="A53" s="15">
        <v>1</v>
      </c>
      <c r="B53" s="21" t="s">
        <v>49</v>
      </c>
      <c r="C53" t="s">
        <v>332</v>
      </c>
      <c r="D53">
        <v>282000</v>
      </c>
      <c r="F53">
        <v>282000</v>
      </c>
      <c r="G53" s="4"/>
      <c r="H53" s="4"/>
      <c r="I53" s="4"/>
      <c r="J53" s="4"/>
      <c r="K53" s="4"/>
      <c r="L53" s="4"/>
      <c r="M53" s="4"/>
      <c r="N53" s="4"/>
      <c r="O53" s="4"/>
      <c r="P53" s="4"/>
      <c r="Q53" s="4"/>
      <c r="R53" s="4"/>
      <c r="S53" s="4"/>
      <c r="T53" s="4"/>
      <c r="U53" s="4"/>
      <c r="V53" s="4"/>
    </row>
    <row r="54" spans="1:22" ht="14.1" customHeight="1" x14ac:dyDescent="0.3">
      <c r="A54" s="15">
        <v>2</v>
      </c>
      <c r="B54" s="15" t="s">
        <v>42</v>
      </c>
      <c r="C54" t="s">
        <v>341</v>
      </c>
      <c r="D54" s="1">
        <f>D53*0.25</f>
        <v>70500</v>
      </c>
      <c r="F54" s="4"/>
      <c r="G54" s="4"/>
      <c r="H54" s="4"/>
      <c r="I54" s="4"/>
      <c r="J54" s="4"/>
      <c r="K54" s="4"/>
      <c r="L54" s="4"/>
      <c r="M54" s="4"/>
      <c r="N54" s="4"/>
      <c r="O54" s="4"/>
      <c r="P54" s="4"/>
      <c r="Q54" s="4"/>
      <c r="R54" s="4"/>
      <c r="S54" s="4"/>
      <c r="T54" s="4"/>
      <c r="U54" s="4"/>
      <c r="V54" s="4"/>
    </row>
    <row r="55" spans="1:22" ht="14.1" customHeight="1" x14ac:dyDescent="0.3">
      <c r="A55" s="15">
        <v>2</v>
      </c>
      <c r="B55" s="15" t="s">
        <v>42</v>
      </c>
      <c r="C55" t="s">
        <v>380</v>
      </c>
      <c r="D55">
        <f>D54*0.25</f>
        <v>17625</v>
      </c>
      <c r="F55" s="4"/>
      <c r="G55" s="4"/>
      <c r="H55" s="4"/>
      <c r="I55" s="4"/>
      <c r="J55" s="4"/>
      <c r="K55" s="4"/>
      <c r="L55" s="4"/>
      <c r="M55" s="4"/>
      <c r="N55" s="4"/>
      <c r="O55" s="4"/>
      <c r="P55" s="4"/>
      <c r="Q55" s="4"/>
      <c r="R55" s="4"/>
      <c r="S55" s="4"/>
      <c r="T55" s="4"/>
      <c r="U55" s="4"/>
      <c r="V55" s="4"/>
    </row>
    <row r="56" spans="1:22" ht="14.1" customHeight="1" x14ac:dyDescent="0.3">
      <c r="A56" s="15">
        <v>2</v>
      </c>
      <c r="B56" s="20" t="s">
        <v>42</v>
      </c>
      <c r="C56" t="s">
        <v>333</v>
      </c>
      <c r="F56" s="4"/>
      <c r="G56" s="4"/>
      <c r="H56" s="4"/>
      <c r="I56" s="4"/>
      <c r="J56" s="4"/>
      <c r="K56" s="4"/>
      <c r="L56" s="4"/>
      <c r="M56" s="4"/>
      <c r="N56" s="4"/>
      <c r="O56" s="4"/>
      <c r="P56" s="4"/>
      <c r="Q56" s="4"/>
      <c r="R56" s="4"/>
      <c r="S56" s="4"/>
      <c r="T56" s="4"/>
      <c r="U56" s="4"/>
      <c r="V56" s="4"/>
    </row>
    <row r="57" spans="1:22" ht="14.1" customHeight="1" x14ac:dyDescent="0.3">
      <c r="A57" s="15">
        <v>1</v>
      </c>
      <c r="B57" s="23" t="s">
        <v>46</v>
      </c>
      <c r="C57">
        <f>60000000</f>
        <v>60000000</v>
      </c>
      <c r="D57" t="s">
        <v>334</v>
      </c>
      <c r="F57" s="4"/>
      <c r="G57" s="4"/>
      <c r="H57" s="4"/>
      <c r="I57" s="4"/>
      <c r="J57" s="4"/>
      <c r="K57" s="4"/>
      <c r="L57" s="4"/>
      <c r="M57" s="4"/>
      <c r="N57" s="4"/>
      <c r="O57" s="4"/>
      <c r="P57" s="4"/>
      <c r="Q57" s="4"/>
      <c r="R57" s="4"/>
      <c r="S57" s="4"/>
      <c r="T57" s="4"/>
      <c r="U57" s="4"/>
      <c r="V57" s="4"/>
    </row>
    <row r="58" spans="1:22" ht="14.1" customHeight="1" x14ac:dyDescent="0.3">
      <c r="A58" s="15">
        <v>3</v>
      </c>
      <c r="B58" s="15" t="s">
        <v>50</v>
      </c>
      <c r="C58" s="91">
        <f>C57/(1000*1583)</f>
        <v>37.90271636133923</v>
      </c>
      <c r="D58" t="s">
        <v>335</v>
      </c>
      <c r="F58" s="4"/>
      <c r="G58" s="4"/>
      <c r="H58" s="4"/>
      <c r="I58" s="4"/>
      <c r="J58" s="4"/>
      <c r="K58" s="4"/>
      <c r="L58" s="4"/>
      <c r="M58" s="4"/>
      <c r="N58" s="4"/>
      <c r="O58" s="4"/>
      <c r="P58" s="4"/>
      <c r="Q58" s="4"/>
      <c r="R58" s="4"/>
      <c r="S58" s="4"/>
      <c r="T58" s="4"/>
      <c r="U58" s="4"/>
      <c r="V58" s="4"/>
    </row>
    <row r="59" spans="1:22" ht="14.1" customHeight="1" x14ac:dyDescent="0.3">
      <c r="A59" s="15">
        <v>2</v>
      </c>
      <c r="B59" s="18" t="s">
        <v>49</v>
      </c>
      <c r="C59" s="91">
        <f>C58*0.8/3.412</f>
        <v>8.8869206005484713</v>
      </c>
      <c r="D59" t="s">
        <v>336</v>
      </c>
      <c r="F59" s="4"/>
      <c r="G59" s="4"/>
      <c r="H59" s="4"/>
      <c r="I59" s="4"/>
      <c r="J59" s="4"/>
      <c r="K59" s="4"/>
      <c r="L59" s="4"/>
      <c r="M59" s="4"/>
      <c r="N59" s="4"/>
      <c r="O59" s="4"/>
      <c r="P59" s="4"/>
      <c r="Q59" s="4"/>
      <c r="R59" s="4"/>
      <c r="S59" s="4"/>
      <c r="T59" s="4"/>
      <c r="U59" s="4"/>
      <c r="V59" s="4"/>
    </row>
    <row r="60" spans="1:22" ht="14.1" customHeight="1" x14ac:dyDescent="0.3">
      <c r="A60" s="15">
        <v>2</v>
      </c>
      <c r="B60" s="21" t="s">
        <v>51</v>
      </c>
      <c r="C60" s="91">
        <f>C58*0.2</f>
        <v>7.5805432722678461</v>
      </c>
      <c r="D60" t="s">
        <v>338</v>
      </c>
      <c r="F60" s="4"/>
      <c r="G60" s="4"/>
      <c r="H60" s="4"/>
      <c r="I60" s="4"/>
      <c r="J60" s="4"/>
      <c r="K60" s="4"/>
      <c r="L60" s="4"/>
      <c r="M60" s="4"/>
      <c r="N60" s="4"/>
      <c r="O60" s="4"/>
      <c r="P60" s="4"/>
      <c r="Q60" s="4"/>
      <c r="R60" s="4"/>
      <c r="S60" s="4"/>
      <c r="T60" s="4"/>
      <c r="U60" s="4"/>
      <c r="V60" s="4"/>
    </row>
    <row r="61" spans="1:22" ht="14.1" customHeight="1" x14ac:dyDescent="0.3">
      <c r="A61" s="15"/>
      <c r="B61" s="21"/>
      <c r="C61" t="s">
        <v>337</v>
      </c>
      <c r="D61">
        <v>1583</v>
      </c>
      <c r="E61" t="s">
        <v>339</v>
      </c>
      <c r="F61" s="4"/>
      <c r="G61" s="4"/>
      <c r="H61" s="4"/>
      <c r="I61" s="4"/>
      <c r="J61" s="4"/>
      <c r="K61" s="4"/>
      <c r="L61" s="4"/>
      <c r="M61" s="4"/>
      <c r="N61" s="4"/>
      <c r="O61" s="4"/>
      <c r="P61" s="4"/>
      <c r="Q61" s="4"/>
      <c r="R61" s="4"/>
      <c r="S61" s="4"/>
      <c r="T61" s="4"/>
      <c r="U61" s="4"/>
      <c r="V61" s="4"/>
    </row>
    <row r="62" spans="1:22" ht="14.1" customHeight="1" x14ac:dyDescent="0.3">
      <c r="A62" s="15">
        <v>1</v>
      </c>
      <c r="B62" s="15" t="s">
        <v>52</v>
      </c>
      <c r="C62" t="s">
        <v>222</v>
      </c>
      <c r="D62">
        <f>D55*D61</f>
        <v>27900375</v>
      </c>
      <c r="E62" t="s">
        <v>339</v>
      </c>
      <c r="F62" s="4"/>
      <c r="G62" s="4"/>
      <c r="H62" s="4"/>
      <c r="I62" s="4"/>
      <c r="J62" s="4"/>
      <c r="K62" s="4"/>
      <c r="L62" s="4"/>
      <c r="M62" s="4"/>
      <c r="N62" s="4"/>
      <c r="O62" s="4"/>
      <c r="P62" s="4"/>
      <c r="Q62" s="4"/>
      <c r="R62" s="4"/>
      <c r="S62" s="4"/>
      <c r="T62" s="4"/>
      <c r="U62" s="4"/>
      <c r="V62" s="4"/>
    </row>
    <row r="63" spans="1:22" ht="14.1" customHeight="1" x14ac:dyDescent="0.3">
      <c r="A63" s="15">
        <v>1</v>
      </c>
      <c r="B63" s="137" t="s">
        <v>49</v>
      </c>
      <c r="C63" s="138" t="s">
        <v>381</v>
      </c>
      <c r="D63" s="139">
        <f>C59*D62</f>
        <v>247948417.35052755</v>
      </c>
      <c r="E63" s="140" t="s">
        <v>290</v>
      </c>
      <c r="F63" s="4">
        <f>D63/1000000</f>
        <v>247.94841735052756</v>
      </c>
      <c r="G63" s="4"/>
      <c r="H63" s="4"/>
      <c r="I63" s="4"/>
      <c r="J63" s="4"/>
      <c r="K63" s="4"/>
      <c r="L63" s="4"/>
      <c r="M63" s="4"/>
      <c r="N63" s="4"/>
      <c r="O63" s="4"/>
      <c r="P63" s="4"/>
      <c r="Q63" s="4"/>
      <c r="R63" s="4"/>
      <c r="S63" s="4"/>
      <c r="T63" s="4"/>
      <c r="U63" s="4"/>
      <c r="V63" s="4"/>
    </row>
    <row r="64" spans="1:22" ht="14.1" customHeight="1" x14ac:dyDescent="0.3">
      <c r="C64" s="141" t="s">
        <v>382</v>
      </c>
      <c r="D64" s="142">
        <f>C60*D62/100</f>
        <v>2115000</v>
      </c>
      <c r="E64" s="143" t="s">
        <v>340</v>
      </c>
      <c r="F64" s="4"/>
      <c r="G64" s="4"/>
      <c r="H64" s="4"/>
      <c r="I64" s="4"/>
      <c r="J64" s="4"/>
      <c r="K64" s="4"/>
      <c r="L64" s="4"/>
      <c r="M64" s="4"/>
      <c r="N64" s="4"/>
      <c r="O64" s="4"/>
      <c r="P64" s="4"/>
      <c r="Q64" s="4"/>
      <c r="R64" s="4"/>
      <c r="S64" s="4"/>
      <c r="T64" s="4"/>
      <c r="U64" s="4"/>
      <c r="V64" s="4"/>
    </row>
    <row r="65" spans="1:22" ht="14.1" customHeight="1" x14ac:dyDescent="0.3">
      <c r="C65" s="4"/>
      <c r="D65" s="4"/>
      <c r="E65" s="4"/>
      <c r="F65" s="4"/>
      <c r="G65" s="4"/>
      <c r="H65" s="4"/>
      <c r="I65" s="4"/>
      <c r="J65" s="4"/>
      <c r="K65" s="4"/>
      <c r="L65" s="4"/>
      <c r="M65" s="4"/>
      <c r="N65" s="4"/>
      <c r="O65" s="4"/>
      <c r="P65" s="4"/>
      <c r="Q65" s="4"/>
      <c r="R65" s="4"/>
      <c r="S65" s="4"/>
      <c r="T65" s="4"/>
      <c r="U65" s="4"/>
      <c r="V65" s="4"/>
    </row>
    <row r="66" spans="1:22" ht="14.1" customHeight="1" x14ac:dyDescent="0.3">
      <c r="C66" s="4"/>
      <c r="D66" s="4"/>
      <c r="E66" s="4"/>
      <c r="F66" s="4"/>
      <c r="G66" s="4"/>
      <c r="H66" s="4"/>
      <c r="I66" s="4"/>
      <c r="J66" s="4"/>
      <c r="K66" s="4"/>
      <c r="L66" s="4"/>
      <c r="M66" s="4"/>
      <c r="N66" s="4"/>
      <c r="O66" s="4"/>
      <c r="P66" s="4"/>
      <c r="Q66" s="4"/>
      <c r="R66" s="4"/>
      <c r="S66" s="4"/>
      <c r="T66" s="4"/>
      <c r="U66" s="4"/>
      <c r="V66" s="4"/>
    </row>
    <row r="67" spans="1:22" ht="14.1" customHeight="1" x14ac:dyDescent="0.3">
      <c r="A67" s="15">
        <v>1</v>
      </c>
      <c r="B67" s="21" t="s">
        <v>53</v>
      </c>
      <c r="C67" s="4"/>
      <c r="D67" s="4"/>
      <c r="E67" s="4"/>
      <c r="F67" s="4"/>
      <c r="G67" s="4"/>
      <c r="H67" s="4"/>
      <c r="I67" s="4"/>
      <c r="J67" s="4"/>
      <c r="K67" s="4"/>
      <c r="L67" s="4"/>
      <c r="M67" s="4"/>
      <c r="N67" s="4"/>
      <c r="O67" s="4"/>
      <c r="P67" s="4"/>
      <c r="Q67" s="4"/>
      <c r="R67" s="4"/>
      <c r="S67" s="4"/>
      <c r="T67" s="4"/>
      <c r="U67" s="4"/>
      <c r="V67" s="4"/>
    </row>
    <row r="68" spans="1:22" ht="14.1" customHeight="1" x14ac:dyDescent="0.3">
      <c r="A68" s="15">
        <v>1</v>
      </c>
      <c r="B68" s="21" t="s">
        <v>44</v>
      </c>
      <c r="R68" s="4"/>
      <c r="S68" s="4"/>
      <c r="T68" s="4"/>
      <c r="U68" s="4"/>
      <c r="V68" s="4"/>
    </row>
    <row r="69" spans="1:22" ht="14.1" customHeight="1" x14ac:dyDescent="0.3">
      <c r="A69" s="15">
        <v>2</v>
      </c>
      <c r="B69" s="15" t="s">
        <v>48</v>
      </c>
      <c r="R69" s="4"/>
      <c r="S69" s="4"/>
      <c r="T69" s="4"/>
      <c r="U69" s="4"/>
      <c r="V69" s="4"/>
    </row>
    <row r="70" spans="1:22" ht="14.1" customHeight="1" x14ac:dyDescent="0.3">
      <c r="A70" s="15">
        <v>1</v>
      </c>
      <c r="B70" s="15" t="s">
        <v>44</v>
      </c>
      <c r="C70" s="1" t="s">
        <v>386</v>
      </c>
    </row>
    <row r="71" spans="1:22" ht="14.1" customHeight="1" x14ac:dyDescent="0.3">
      <c r="A71" s="15">
        <v>1</v>
      </c>
      <c r="B71" s="15" t="s">
        <v>42</v>
      </c>
      <c r="C71" t="s">
        <v>384</v>
      </c>
    </row>
    <row r="72" spans="1:22" ht="14.1" customHeight="1" x14ac:dyDescent="0.3">
      <c r="A72" s="10"/>
      <c r="B72" s="10"/>
      <c r="C72" t="s">
        <v>385</v>
      </c>
    </row>
    <row r="73" spans="1:22" ht="14.1" customHeight="1" x14ac:dyDescent="0.3"/>
    <row r="74" spans="1:22" ht="14.1" customHeight="1" x14ac:dyDescent="0.3">
      <c r="C74" s="2" t="s">
        <v>268</v>
      </c>
      <c r="D74" s="112">
        <f>'GHG Assumptions'!F32</f>
        <v>0.53346136406070788</v>
      </c>
      <c r="E74" s="113" t="s">
        <v>269</v>
      </c>
      <c r="F74" s="114"/>
      <c r="G74" s="2"/>
      <c r="H74" s="2"/>
      <c r="I74" s="2"/>
    </row>
    <row r="75" spans="1:22" ht="14.1" customHeight="1" x14ac:dyDescent="0.3">
      <c r="C75" s="2"/>
      <c r="D75" s="2"/>
      <c r="E75" s="2"/>
      <c r="F75" s="2"/>
      <c r="G75" s="2"/>
      <c r="H75" s="2"/>
      <c r="I75" s="2"/>
    </row>
    <row r="76" spans="1:22" ht="14.1" customHeight="1" x14ac:dyDescent="0.3">
      <c r="A76" s="15">
        <v>2</v>
      </c>
      <c r="B76" s="21" t="s">
        <v>48</v>
      </c>
      <c r="C76" s="2" t="s">
        <v>270</v>
      </c>
      <c r="D76" s="2">
        <v>353</v>
      </c>
      <c r="E76" s="2" t="s">
        <v>277</v>
      </c>
      <c r="F76" s="2"/>
      <c r="G76" s="2"/>
      <c r="H76" s="115">
        <v>1000000</v>
      </c>
      <c r="I76" s="2" t="s">
        <v>290</v>
      </c>
    </row>
    <row r="77" spans="1:22" ht="14.1" customHeight="1" x14ac:dyDescent="0.3">
      <c r="A77" s="25">
        <v>2</v>
      </c>
      <c r="B77" s="18" t="s">
        <v>49</v>
      </c>
      <c r="C77" s="2" t="s">
        <v>271</v>
      </c>
      <c r="D77" s="2">
        <v>5303</v>
      </c>
      <c r="E77" s="2" t="s">
        <v>273</v>
      </c>
      <c r="F77" s="2"/>
      <c r="G77" s="2"/>
      <c r="H77" s="115">
        <v>1000000</v>
      </c>
      <c r="I77" s="2" t="s">
        <v>289</v>
      </c>
    </row>
    <row r="78" spans="1:22" ht="14.1" customHeight="1" x14ac:dyDescent="0.3">
      <c r="A78" s="15">
        <v>1</v>
      </c>
      <c r="B78" s="15" t="s">
        <v>48</v>
      </c>
      <c r="C78" s="2"/>
      <c r="D78" s="2"/>
      <c r="E78" s="2"/>
      <c r="F78" s="2"/>
      <c r="G78" s="2"/>
      <c r="H78" s="2"/>
      <c r="I78" s="2"/>
    </row>
    <row r="79" spans="1:22" ht="14.1" customHeight="1" x14ac:dyDescent="0.3">
      <c r="A79" s="15">
        <v>1</v>
      </c>
      <c r="B79" s="15" t="s">
        <v>49</v>
      </c>
      <c r="C79" s="2" t="s">
        <v>278</v>
      </c>
      <c r="D79" s="2">
        <f>D76*3.412</f>
        <v>1204.4359999999999</v>
      </c>
      <c r="E79" s="2"/>
      <c r="F79" s="2"/>
      <c r="G79" s="2"/>
      <c r="H79" s="2"/>
      <c r="I79" s="2"/>
    </row>
    <row r="80" spans="1:22" ht="14.1" customHeight="1" x14ac:dyDescent="0.3">
      <c r="A80" s="15">
        <v>2</v>
      </c>
      <c r="B80" s="21" t="s">
        <v>53</v>
      </c>
      <c r="C80" s="2" t="s">
        <v>279</v>
      </c>
      <c r="D80" s="2">
        <f>D77/100</f>
        <v>53.03</v>
      </c>
      <c r="E80" s="2"/>
      <c r="F80" s="2"/>
      <c r="G80" s="2"/>
      <c r="H80" s="2"/>
      <c r="I80" s="2"/>
    </row>
    <row r="81" spans="1:9" ht="14.1" customHeight="1" x14ac:dyDescent="0.3">
      <c r="A81" s="15">
        <v>2</v>
      </c>
      <c r="B81" s="20" t="s">
        <v>52</v>
      </c>
      <c r="C81" s="2" t="s">
        <v>280</v>
      </c>
      <c r="D81" s="2">
        <f>(D79*D83+D80*D84)/1000000</f>
        <v>9.7415480000000003E-4</v>
      </c>
      <c r="E81" s="2" t="s">
        <v>281</v>
      </c>
      <c r="F81" s="2"/>
      <c r="G81" s="2"/>
      <c r="H81" s="2"/>
      <c r="I81" s="2"/>
    </row>
    <row r="82" spans="1:9" ht="14.1" customHeight="1" x14ac:dyDescent="0.3">
      <c r="A82" s="15">
        <v>2</v>
      </c>
      <c r="B82" s="15" t="s">
        <v>52</v>
      </c>
      <c r="C82" s="2"/>
      <c r="D82" s="2"/>
      <c r="E82" s="2"/>
      <c r="F82" s="2"/>
      <c r="G82" s="2"/>
      <c r="H82" s="2"/>
      <c r="I82" s="2"/>
    </row>
    <row r="83" spans="1:9" ht="14.1" customHeight="1" x14ac:dyDescent="0.3">
      <c r="A83" s="15">
        <v>2</v>
      </c>
      <c r="B83" s="21" t="s">
        <v>45</v>
      </c>
      <c r="C83" s="2" t="s">
        <v>274</v>
      </c>
      <c r="D83" s="116">
        <v>0.8</v>
      </c>
      <c r="E83" s="2" t="s">
        <v>275</v>
      </c>
      <c r="F83" s="2"/>
      <c r="G83" s="2"/>
      <c r="H83" s="2"/>
      <c r="I83" s="2"/>
    </row>
    <row r="84" spans="1:9" ht="14.1" customHeight="1" x14ac:dyDescent="0.3">
      <c r="A84" s="15">
        <v>1</v>
      </c>
      <c r="B84" s="15" t="s">
        <v>51</v>
      </c>
      <c r="C84" s="2" t="s">
        <v>276</v>
      </c>
      <c r="D84" s="116">
        <v>0.2</v>
      </c>
      <c r="E84" s="2" t="s">
        <v>275</v>
      </c>
      <c r="F84" s="2"/>
      <c r="G84" s="2"/>
      <c r="H84" s="2"/>
      <c r="I84" s="2"/>
    </row>
    <row r="85" spans="1:9" ht="14.1" customHeight="1" x14ac:dyDescent="0.3"/>
    <row r="86" spans="1:9" ht="14.1" customHeight="1" x14ac:dyDescent="0.3"/>
    <row r="87" spans="1:9" ht="14.1" customHeight="1" x14ac:dyDescent="0.3"/>
    <row r="88" spans="1:9" ht="14.1" customHeight="1" x14ac:dyDescent="0.3">
      <c r="A88" s="15">
        <v>1</v>
      </c>
      <c r="B88" s="15" t="s">
        <v>47</v>
      </c>
    </row>
    <row r="89" spans="1:9" ht="14.1" customHeight="1" x14ac:dyDescent="0.3">
      <c r="A89" s="15">
        <v>1</v>
      </c>
      <c r="B89" s="18" t="s">
        <v>47</v>
      </c>
    </row>
    <row r="90" spans="1:9" ht="14.1" customHeight="1" x14ac:dyDescent="0.3">
      <c r="A90" s="15">
        <v>1</v>
      </c>
      <c r="B90" s="20" t="s">
        <v>43</v>
      </c>
    </row>
    <row r="91" spans="1:9" ht="14.1" customHeight="1" x14ac:dyDescent="0.3"/>
    <row r="92" spans="1:9" ht="14.1" customHeight="1" x14ac:dyDescent="0.3"/>
    <row r="93" spans="1:9" ht="14.1" customHeight="1" x14ac:dyDescent="0.3"/>
    <row r="94" spans="1:9" ht="14.1" customHeight="1" x14ac:dyDescent="0.3">
      <c r="A94" s="15">
        <v>1</v>
      </c>
      <c r="B94" s="22" t="s">
        <v>53</v>
      </c>
    </row>
    <row r="95" spans="1:9" ht="14.1" customHeight="1" x14ac:dyDescent="0.3">
      <c r="A95" s="26">
        <v>1</v>
      </c>
      <c r="B95" s="27" t="s">
        <v>44</v>
      </c>
    </row>
    <row r="96" spans="1:9" ht="14.1" customHeight="1" x14ac:dyDescent="0.3">
      <c r="A96" s="26">
        <v>2</v>
      </c>
      <c r="B96" s="28" t="s">
        <v>43</v>
      </c>
    </row>
    <row r="97" spans="1:2" ht="14.1" customHeight="1" x14ac:dyDescent="0.3">
      <c r="A97" s="26">
        <v>2</v>
      </c>
      <c r="B97" s="27" t="s">
        <v>49</v>
      </c>
    </row>
    <row r="98" spans="1:2" ht="14.1" customHeight="1" x14ac:dyDescent="0.3">
      <c r="A98" s="26">
        <v>1</v>
      </c>
      <c r="B98" s="29" t="s">
        <v>42</v>
      </c>
    </row>
    <row r="99" spans="1:2" ht="14.1" customHeight="1" x14ac:dyDescent="0.3">
      <c r="A99" s="26">
        <v>1</v>
      </c>
      <c r="B99" s="26" t="s">
        <v>48</v>
      </c>
    </row>
    <row r="100" spans="1:2" ht="14.1" customHeight="1" x14ac:dyDescent="0.3">
      <c r="A100" s="31"/>
      <c r="B100" s="31"/>
    </row>
    <row r="101" spans="1:2" ht="14.1" customHeight="1" x14ac:dyDescent="0.3">
      <c r="A101" s="26">
        <v>2</v>
      </c>
      <c r="B101" s="26" t="s">
        <v>43</v>
      </c>
    </row>
    <row r="102" spans="1:2" ht="14.1" customHeight="1" x14ac:dyDescent="0.3">
      <c r="A102" s="32">
        <v>2</v>
      </c>
      <c r="B102" s="32" t="s">
        <v>47</v>
      </c>
    </row>
    <row r="103" spans="1:2" ht="14.1" customHeight="1" x14ac:dyDescent="0.3">
      <c r="A103" s="26">
        <v>1</v>
      </c>
      <c r="B103" s="26" t="s">
        <v>47</v>
      </c>
    </row>
    <row r="104" spans="1:2" ht="14.1" customHeight="1" x14ac:dyDescent="0.3">
      <c r="A104" s="26">
        <v>1</v>
      </c>
      <c r="B104" s="28" t="s">
        <v>44</v>
      </c>
    </row>
    <row r="105" spans="1:2" ht="14.1" customHeight="1" x14ac:dyDescent="0.3">
      <c r="A105" s="26">
        <v>2</v>
      </c>
      <c r="B105" s="26" t="s">
        <v>54</v>
      </c>
    </row>
    <row r="106" spans="1:2" ht="14.1" customHeight="1" x14ac:dyDescent="0.3">
      <c r="A106" s="26">
        <v>2</v>
      </c>
      <c r="B106" s="27" t="s">
        <v>47</v>
      </c>
    </row>
    <row r="107" spans="1:2" ht="14.1" customHeight="1" x14ac:dyDescent="0.3">
      <c r="A107" s="26">
        <v>1</v>
      </c>
      <c r="B107" s="26" t="s">
        <v>44</v>
      </c>
    </row>
    <row r="108" spans="1:2" ht="14.1" customHeight="1" x14ac:dyDescent="0.3">
      <c r="A108" s="26">
        <v>1</v>
      </c>
      <c r="B108" s="26" t="s">
        <v>47</v>
      </c>
    </row>
    <row r="109" spans="1:2" ht="14.1" customHeight="1" x14ac:dyDescent="0.3">
      <c r="A109" s="26">
        <v>1</v>
      </c>
      <c r="B109" s="33" t="s">
        <v>44</v>
      </c>
    </row>
    <row r="110" spans="1:2" ht="14.1" customHeight="1" x14ac:dyDescent="0.3">
      <c r="A110" s="26">
        <v>1</v>
      </c>
      <c r="B110" s="34" t="s">
        <v>44</v>
      </c>
    </row>
    <row r="111" spans="1:2" ht="14.1" customHeight="1" x14ac:dyDescent="0.3">
      <c r="A111" s="26">
        <v>1</v>
      </c>
      <c r="B111" s="34" t="s">
        <v>45</v>
      </c>
    </row>
    <row r="112" spans="1:2" ht="14.1" customHeight="1" x14ac:dyDescent="0.3">
      <c r="A112" s="31"/>
      <c r="B112" s="31"/>
    </row>
    <row r="113" spans="1:2" ht="14.1" customHeight="1" x14ac:dyDescent="0.3">
      <c r="A113" s="26">
        <v>2</v>
      </c>
      <c r="B113" s="28" t="s">
        <v>48</v>
      </c>
    </row>
    <row r="114" spans="1:2" ht="14.1" customHeight="1" x14ac:dyDescent="0.3">
      <c r="A114" s="26">
        <v>2</v>
      </c>
      <c r="B114" s="27" t="s">
        <v>44</v>
      </c>
    </row>
    <row r="115" spans="1:2" ht="14.1" customHeight="1" x14ac:dyDescent="0.3">
      <c r="A115" s="35">
        <v>1</v>
      </c>
      <c r="B115" s="35" t="s">
        <v>44</v>
      </c>
    </row>
    <row r="116" spans="1:2" ht="14.1" customHeight="1" x14ac:dyDescent="0.3">
      <c r="A116" s="26">
        <v>1</v>
      </c>
      <c r="B116" s="26" t="s">
        <v>48</v>
      </c>
    </row>
    <row r="117" spans="1:2" ht="14.1" customHeight="1" x14ac:dyDescent="0.3">
      <c r="A117" s="31"/>
      <c r="B117" s="31"/>
    </row>
    <row r="118" spans="1:2" ht="14.1" customHeight="1" x14ac:dyDescent="0.3">
      <c r="A118" s="31"/>
      <c r="B118" s="31"/>
    </row>
    <row r="119" spans="1:2" ht="14.1" customHeight="1" x14ac:dyDescent="0.3">
      <c r="A119" s="26">
        <v>2</v>
      </c>
      <c r="B119" s="28" t="s">
        <v>44</v>
      </c>
    </row>
    <row r="120" spans="1:2" ht="14.1" customHeight="1" x14ac:dyDescent="0.3">
      <c r="A120" s="26">
        <v>2</v>
      </c>
      <c r="B120" s="26" t="s">
        <v>49</v>
      </c>
    </row>
    <row r="121" spans="1:2" ht="14.1" customHeight="1" x14ac:dyDescent="0.3">
      <c r="A121" s="26">
        <v>2</v>
      </c>
      <c r="B121" s="27" t="s">
        <v>49</v>
      </c>
    </row>
    <row r="122" spans="1:2" ht="14.1" customHeight="1" x14ac:dyDescent="0.3">
      <c r="A122" s="26">
        <v>2</v>
      </c>
      <c r="B122" s="28" t="s">
        <v>45</v>
      </c>
    </row>
    <row r="123" spans="1:2" ht="14.1" customHeight="1" x14ac:dyDescent="0.3">
      <c r="A123" s="26">
        <v>1</v>
      </c>
      <c r="B123" s="26" t="s">
        <v>53</v>
      </c>
    </row>
    <row r="124" spans="1:2" ht="14.1" customHeight="1" x14ac:dyDescent="0.3">
      <c r="A124" s="31"/>
      <c r="B124" s="31"/>
    </row>
    <row r="125" spans="1:2" ht="14.1" customHeight="1" x14ac:dyDescent="0.3">
      <c r="A125" s="26">
        <v>1</v>
      </c>
      <c r="B125" s="34" t="s">
        <v>48</v>
      </c>
    </row>
    <row r="126" spans="1:2" ht="14.1" customHeight="1" x14ac:dyDescent="0.3">
      <c r="A126" s="26">
        <v>1</v>
      </c>
      <c r="B126" s="33" t="s">
        <v>42</v>
      </c>
    </row>
    <row r="127" spans="1:2" ht="14.1" customHeight="1" x14ac:dyDescent="0.3">
      <c r="A127" s="31"/>
      <c r="B127" s="31"/>
    </row>
    <row r="128" spans="1:2" ht="14.1" customHeight="1" x14ac:dyDescent="0.3">
      <c r="A128" s="26">
        <v>1</v>
      </c>
      <c r="B128" s="28" t="s">
        <v>53</v>
      </c>
    </row>
    <row r="129" spans="1:2" ht="14.1" customHeight="1" x14ac:dyDescent="0.3">
      <c r="A129" s="35">
        <v>1</v>
      </c>
      <c r="B129" s="36" t="s">
        <v>42</v>
      </c>
    </row>
    <row r="130" spans="1:2" ht="14.1" customHeight="1" x14ac:dyDescent="0.3">
      <c r="A130" s="26">
        <v>1</v>
      </c>
      <c r="B130" s="34" t="s">
        <v>42</v>
      </c>
    </row>
    <row r="131" spans="1:2" ht="14.1" customHeight="1" x14ac:dyDescent="0.3">
      <c r="A131" s="26">
        <v>1</v>
      </c>
      <c r="B131" s="34" t="s">
        <v>55</v>
      </c>
    </row>
    <row r="132" spans="1:2" ht="14.1" customHeight="1" x14ac:dyDescent="0.3">
      <c r="A132" s="26">
        <v>1</v>
      </c>
      <c r="B132" s="26" t="s">
        <v>50</v>
      </c>
    </row>
    <row r="133" spans="1:2" ht="14.1" customHeight="1" x14ac:dyDescent="0.3">
      <c r="A133" s="26">
        <v>1</v>
      </c>
      <c r="B133" s="26" t="s">
        <v>50</v>
      </c>
    </row>
    <row r="134" spans="1:2" ht="14.1" customHeight="1" x14ac:dyDescent="0.3">
      <c r="A134" s="26">
        <v>1</v>
      </c>
      <c r="B134" s="26" t="s">
        <v>50</v>
      </c>
    </row>
    <row r="135" spans="1:2" ht="14.1" customHeight="1" x14ac:dyDescent="0.3">
      <c r="A135" s="26">
        <v>1</v>
      </c>
      <c r="B135" s="26" t="s">
        <v>50</v>
      </c>
    </row>
    <row r="136" spans="1:2" ht="14.1" customHeight="1" x14ac:dyDescent="0.3">
      <c r="A136" s="26">
        <v>1</v>
      </c>
      <c r="B136" s="26" t="s">
        <v>50</v>
      </c>
    </row>
    <row r="137" spans="1:2" ht="14.1" customHeight="1" x14ac:dyDescent="0.3">
      <c r="A137" s="26">
        <v>1</v>
      </c>
      <c r="B137" s="26" t="s">
        <v>50</v>
      </c>
    </row>
    <row r="138" spans="1:2" ht="45" customHeight="1" x14ac:dyDescent="0.3">
      <c r="A138" s="26">
        <v>1</v>
      </c>
      <c r="B138" s="26" t="s">
        <v>50</v>
      </c>
    </row>
    <row r="139" spans="1:2" ht="45" customHeight="1" x14ac:dyDescent="0.3">
      <c r="A139" s="26">
        <v>1</v>
      </c>
      <c r="B139" s="26" t="s">
        <v>50</v>
      </c>
    </row>
    <row r="140" spans="1:2" ht="45" customHeight="1" x14ac:dyDescent="0.3">
      <c r="A140" s="26">
        <v>1</v>
      </c>
      <c r="B140" s="26" t="s">
        <v>50</v>
      </c>
    </row>
    <row r="141" spans="1:2" ht="45" customHeight="1" x14ac:dyDescent="0.3">
      <c r="A141" s="26">
        <v>1</v>
      </c>
      <c r="B141" s="26" t="s">
        <v>50</v>
      </c>
    </row>
    <row r="142" spans="1:2" ht="45" customHeight="1" x14ac:dyDescent="0.3">
      <c r="A142" s="26">
        <v>1</v>
      </c>
      <c r="B142" s="26" t="s">
        <v>50</v>
      </c>
    </row>
    <row r="143" spans="1:2" ht="45" customHeight="1" x14ac:dyDescent="0.3">
      <c r="A143" s="26">
        <v>1</v>
      </c>
      <c r="B143" s="27" t="s">
        <v>54</v>
      </c>
    </row>
    <row r="144" spans="1:2" ht="45" customHeight="1" x14ac:dyDescent="0.3">
      <c r="A144" s="26">
        <v>1</v>
      </c>
      <c r="B144" s="28" t="s">
        <v>48</v>
      </c>
    </row>
    <row r="145" spans="1:2" ht="45" customHeight="1" x14ac:dyDescent="0.3">
      <c r="A145" s="26">
        <v>1</v>
      </c>
      <c r="B145" s="34" t="s">
        <v>47</v>
      </c>
    </row>
    <row r="146" spans="1:2" ht="45" customHeight="1" x14ac:dyDescent="0.3">
      <c r="A146" s="37"/>
      <c r="B146" s="31"/>
    </row>
    <row r="147" spans="1:2" ht="45" customHeight="1" x14ac:dyDescent="0.3">
      <c r="A147" s="26">
        <v>1</v>
      </c>
      <c r="B147" s="27" t="s">
        <v>51</v>
      </c>
    </row>
    <row r="148" spans="1:2" ht="45" customHeight="1" x14ac:dyDescent="0.3">
      <c r="A148" s="26">
        <v>1</v>
      </c>
      <c r="B148" s="38" t="s">
        <v>54</v>
      </c>
    </row>
    <row r="149" spans="1:2" ht="45" customHeight="1" x14ac:dyDescent="0.3">
      <c r="A149" s="31"/>
      <c r="B149" s="31"/>
    </row>
    <row r="150" spans="1:2" ht="45" customHeight="1" x14ac:dyDescent="0.3">
      <c r="A150" s="26">
        <v>1</v>
      </c>
      <c r="B150" s="28" t="s">
        <v>54</v>
      </c>
    </row>
    <row r="151" spans="1:2" ht="45" customHeight="1" x14ac:dyDescent="0.3">
      <c r="A151" s="26">
        <v>2</v>
      </c>
      <c r="B151" s="27" t="s">
        <v>54</v>
      </c>
    </row>
    <row r="152" spans="1:2" ht="45" customHeight="1" x14ac:dyDescent="0.3">
      <c r="A152" s="26">
        <v>1</v>
      </c>
      <c r="B152" s="34" t="s">
        <v>48</v>
      </c>
    </row>
    <row r="153" spans="1:2" ht="45" customHeight="1" x14ac:dyDescent="0.3">
      <c r="A153" s="31"/>
      <c r="B153" s="31"/>
    </row>
    <row r="154" spans="1:2" ht="45" customHeight="1" x14ac:dyDescent="0.3">
      <c r="A154" s="26">
        <v>2</v>
      </c>
      <c r="B154" s="28" t="s">
        <v>48</v>
      </c>
    </row>
    <row r="155" spans="1:2" ht="45" customHeight="1" x14ac:dyDescent="0.3">
      <c r="A155" s="26">
        <v>1</v>
      </c>
      <c r="B155" s="33" t="s">
        <v>48</v>
      </c>
    </row>
    <row r="156" spans="1:2" ht="45" customHeight="1" x14ac:dyDescent="0.3">
      <c r="A156" s="31"/>
      <c r="B156" s="31"/>
    </row>
    <row r="157" spans="1:2" ht="45" customHeight="1" x14ac:dyDescent="0.3">
      <c r="A157" s="26">
        <v>1</v>
      </c>
      <c r="B157" s="28" t="s">
        <v>53</v>
      </c>
    </row>
    <row r="158" spans="1:2" ht="45" customHeight="1" x14ac:dyDescent="0.3">
      <c r="A158" s="26">
        <v>2</v>
      </c>
      <c r="B158" s="28" t="s">
        <v>53</v>
      </c>
    </row>
    <row r="159" spans="1:2" ht="45" customHeight="1" x14ac:dyDescent="0.3">
      <c r="A159" s="26">
        <v>1</v>
      </c>
      <c r="B159" s="33" t="s">
        <v>45</v>
      </c>
    </row>
    <row r="160" spans="1:2" ht="45" customHeight="1" x14ac:dyDescent="0.3">
      <c r="A160" s="26">
        <v>1</v>
      </c>
      <c r="B160" s="33" t="s">
        <v>45</v>
      </c>
    </row>
    <row r="161" spans="1:2" ht="45" customHeight="1" x14ac:dyDescent="0.3">
      <c r="A161" s="30" t="s">
        <v>56</v>
      </c>
      <c r="B161" s="30" t="s">
        <v>56</v>
      </c>
    </row>
    <row r="162" spans="1:2" ht="45" customHeight="1" x14ac:dyDescent="0.3">
      <c r="A162" s="31"/>
      <c r="B162" s="31"/>
    </row>
    <row r="163" spans="1:2" ht="45" customHeight="1" x14ac:dyDescent="0.3">
      <c r="A163" s="31"/>
      <c r="B163" s="31"/>
    </row>
    <row r="164" spans="1:2" ht="45" customHeight="1" x14ac:dyDescent="0.3">
      <c r="A164" s="31"/>
      <c r="B164" s="31"/>
    </row>
    <row r="165" spans="1:2" ht="45" customHeight="1" x14ac:dyDescent="0.3">
      <c r="A165" s="31"/>
      <c r="B165" s="31"/>
    </row>
    <row r="166" spans="1:2" ht="45" customHeight="1" x14ac:dyDescent="0.3">
      <c r="A166" s="26">
        <v>1</v>
      </c>
      <c r="B166" s="26" t="s">
        <v>46</v>
      </c>
    </row>
    <row r="167" spans="1:2" ht="45" customHeight="1" x14ac:dyDescent="0.3">
      <c r="A167" s="26">
        <v>2</v>
      </c>
      <c r="B167" s="27" t="s">
        <v>51</v>
      </c>
    </row>
    <row r="168" spans="1:2" ht="45" customHeight="1" x14ac:dyDescent="0.3">
      <c r="A168" s="26">
        <v>1</v>
      </c>
      <c r="B168" s="34" t="s">
        <v>47</v>
      </c>
    </row>
    <row r="169" spans="1:2" ht="45" customHeight="1" x14ac:dyDescent="0.3">
      <c r="A169" s="31"/>
      <c r="B169" s="31"/>
    </row>
    <row r="170" spans="1:2" ht="45" customHeight="1" x14ac:dyDescent="0.3">
      <c r="A170" s="31"/>
      <c r="B170" s="31"/>
    </row>
    <row r="171" spans="1:2" ht="45" customHeight="1" x14ac:dyDescent="0.3">
      <c r="A171" s="31"/>
      <c r="B171" s="31"/>
    </row>
    <row r="172" spans="1:2" ht="45" customHeight="1" x14ac:dyDescent="0.3">
      <c r="A172" s="26">
        <v>2</v>
      </c>
      <c r="B172" s="28" t="s">
        <v>42</v>
      </c>
    </row>
    <row r="173" spans="1:2" ht="45" customHeight="1" x14ac:dyDescent="0.3">
      <c r="A173" s="26">
        <v>1</v>
      </c>
      <c r="B173" s="28" t="s">
        <v>44</v>
      </c>
    </row>
    <row r="174" spans="1:2" ht="45" customHeight="1" x14ac:dyDescent="0.3">
      <c r="A174" s="26">
        <v>1</v>
      </c>
      <c r="B174" s="26" t="s">
        <v>53</v>
      </c>
    </row>
    <row r="175" spans="1:2" ht="45" customHeight="1" x14ac:dyDescent="0.3">
      <c r="A175" s="31"/>
      <c r="B175" s="31"/>
    </row>
    <row r="176" spans="1:2" ht="45" customHeight="1" x14ac:dyDescent="0.3">
      <c r="A176" s="31"/>
      <c r="B176" s="31"/>
    </row>
    <row r="177" spans="1:2" ht="45" customHeight="1" x14ac:dyDescent="0.3">
      <c r="A177" s="26">
        <v>1</v>
      </c>
      <c r="B177" s="33" t="s">
        <v>42</v>
      </c>
    </row>
    <row r="178" spans="1:2" ht="45" customHeight="1" x14ac:dyDescent="0.3">
      <c r="A178" s="31"/>
      <c r="B178" s="31"/>
    </row>
  </sheetData>
  <mergeCells count="1">
    <mergeCell ref="H5:I5"/>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178"/>
  <sheetViews>
    <sheetView topLeftCell="C1" zoomScaleNormal="100" workbookViewId="0">
      <pane xSplit="7" ySplit="6" topLeftCell="R7" activePane="bottomRight" state="frozen"/>
      <selection activeCell="O43" sqref="O43"/>
      <selection pane="topRight" activeCell="O43" sqref="O43"/>
      <selection pane="bottomLeft" activeCell="O43" sqref="O43"/>
      <selection pane="bottomRight" activeCell="V4" sqref="V4"/>
    </sheetView>
  </sheetViews>
  <sheetFormatPr defaultRowHeight="14.4" x14ac:dyDescent="0.3"/>
  <cols>
    <col min="1" max="2" width="16.88671875" style="4" hidden="1" customWidth="1"/>
    <col min="3" max="3" width="31.109375" customWidth="1"/>
    <col min="4" max="4" width="16.5546875" customWidth="1"/>
    <col min="6" max="6" width="9.6640625" hidden="1" customWidth="1"/>
    <col min="7" max="7" width="9.6640625" customWidth="1"/>
    <col min="8" max="8" width="13.109375" customWidth="1"/>
    <col min="9" max="9" width="13.88671875" customWidth="1"/>
    <col min="10" max="10" width="9.109375" customWidth="1"/>
    <col min="11" max="11" width="11" customWidth="1"/>
    <col min="12" max="12" width="10.88671875" customWidth="1"/>
    <col min="13" max="13" width="14.33203125" customWidth="1"/>
    <col min="14" max="14" width="10.44140625" hidden="1" customWidth="1"/>
    <col min="15" max="15" width="35.88671875" customWidth="1"/>
    <col min="16" max="17" width="14.33203125" customWidth="1"/>
    <col min="19" max="19" width="11.109375" bestFit="1" customWidth="1"/>
    <col min="20" max="20" width="13.6640625" customWidth="1"/>
    <col min="21" max="21" width="20.5546875" bestFit="1" customWidth="1"/>
    <col min="22" max="22" width="16.44140625" customWidth="1"/>
    <col min="23" max="23" width="12.5546875" style="4" customWidth="1"/>
    <col min="24" max="24" width="17" style="4" customWidth="1"/>
    <col min="25" max="25" width="23.33203125" style="4" hidden="1" customWidth="1"/>
    <col min="26" max="26" width="22.33203125" style="4" customWidth="1"/>
    <col min="27" max="257" width="9.109375" style="4"/>
    <col min="258" max="259" width="0" style="4" hidden="1" customWidth="1"/>
    <col min="260" max="260" width="13.88671875" style="4" customWidth="1"/>
    <col min="261" max="261" width="16.88671875" style="4" bestFit="1" customWidth="1"/>
    <col min="262" max="262" width="18.44140625" style="4" customWidth="1"/>
    <col min="263" max="263" width="0" style="4" hidden="1" customWidth="1"/>
    <col min="264" max="264" width="12" style="4" customWidth="1"/>
    <col min="265" max="265" width="23.44140625" style="4" bestFit="1" customWidth="1"/>
    <col min="266" max="266" width="11" style="4" customWidth="1"/>
    <col min="267" max="267" width="11.6640625" style="4" bestFit="1" customWidth="1"/>
    <col min="268" max="268" width="14" style="4" bestFit="1" customWidth="1"/>
    <col min="269" max="269" width="12.6640625" style="4" bestFit="1" customWidth="1"/>
    <col min="270" max="270" width="11.44140625" style="4" bestFit="1" customWidth="1"/>
    <col min="271" max="513" width="9.109375" style="4"/>
    <col min="514" max="515" width="0" style="4" hidden="1" customWidth="1"/>
    <col min="516" max="516" width="13.88671875" style="4" customWidth="1"/>
    <col min="517" max="517" width="16.88671875" style="4" bestFit="1" customWidth="1"/>
    <col min="518" max="518" width="18.44140625" style="4" customWidth="1"/>
    <col min="519" max="519" width="0" style="4" hidden="1" customWidth="1"/>
    <col min="520" max="520" width="12" style="4" customWidth="1"/>
    <col min="521" max="521" width="23.44140625" style="4" bestFit="1" customWidth="1"/>
    <col min="522" max="522" width="11" style="4" customWidth="1"/>
    <col min="523" max="523" width="11.6640625" style="4" bestFit="1" customWidth="1"/>
    <col min="524" max="524" width="14" style="4" bestFit="1" customWidth="1"/>
    <col min="525" max="525" width="12.6640625" style="4" bestFit="1" customWidth="1"/>
    <col min="526" max="526" width="11.44140625" style="4" bestFit="1" customWidth="1"/>
    <col min="527" max="769" width="9.109375" style="4"/>
    <col min="770" max="771" width="0" style="4" hidden="1" customWidth="1"/>
    <col min="772" max="772" width="13.88671875" style="4" customWidth="1"/>
    <col min="773" max="773" width="16.88671875" style="4" bestFit="1" customWidth="1"/>
    <col min="774" max="774" width="18.44140625" style="4" customWidth="1"/>
    <col min="775" max="775" width="0" style="4" hidden="1" customWidth="1"/>
    <col min="776" max="776" width="12" style="4" customWidth="1"/>
    <col min="777" max="777" width="23.44140625" style="4" bestFit="1" customWidth="1"/>
    <col min="778" max="778" width="11" style="4" customWidth="1"/>
    <col min="779" max="779" width="11.6640625" style="4" bestFit="1" customWidth="1"/>
    <col min="780" max="780" width="14" style="4" bestFit="1" customWidth="1"/>
    <col min="781" max="781" width="12.6640625" style="4" bestFit="1" customWidth="1"/>
    <col min="782" max="782" width="11.44140625" style="4" bestFit="1" customWidth="1"/>
    <col min="783" max="1025" width="9.109375" style="4"/>
    <col min="1026" max="1027" width="0" style="4" hidden="1" customWidth="1"/>
    <col min="1028" max="1028" width="13.88671875" style="4" customWidth="1"/>
    <col min="1029" max="1029" width="16.88671875" style="4" bestFit="1" customWidth="1"/>
    <col min="1030" max="1030" width="18.44140625" style="4" customWidth="1"/>
    <col min="1031" max="1031" width="0" style="4" hidden="1" customWidth="1"/>
    <col min="1032" max="1032" width="12" style="4" customWidth="1"/>
    <col min="1033" max="1033" width="23.44140625" style="4" bestFit="1" customWidth="1"/>
    <col min="1034" max="1034" width="11" style="4" customWidth="1"/>
    <col min="1035" max="1035" width="11.6640625" style="4" bestFit="1" customWidth="1"/>
    <col min="1036" max="1036" width="14" style="4" bestFit="1" customWidth="1"/>
    <col min="1037" max="1037" width="12.6640625" style="4" bestFit="1" customWidth="1"/>
    <col min="1038" max="1038" width="11.44140625" style="4" bestFit="1" customWidth="1"/>
    <col min="1039" max="1281" width="9.109375" style="4"/>
    <col min="1282" max="1283" width="0" style="4" hidden="1" customWidth="1"/>
    <col min="1284" max="1284" width="13.88671875" style="4" customWidth="1"/>
    <col min="1285" max="1285" width="16.88671875" style="4" bestFit="1" customWidth="1"/>
    <col min="1286" max="1286" width="18.44140625" style="4" customWidth="1"/>
    <col min="1287" max="1287" width="0" style="4" hidden="1" customWidth="1"/>
    <col min="1288" max="1288" width="12" style="4" customWidth="1"/>
    <col min="1289" max="1289" width="23.44140625" style="4" bestFit="1" customWidth="1"/>
    <col min="1290" max="1290" width="11" style="4" customWidth="1"/>
    <col min="1291" max="1291" width="11.6640625" style="4" bestFit="1" customWidth="1"/>
    <col min="1292" max="1292" width="14" style="4" bestFit="1" customWidth="1"/>
    <col min="1293" max="1293" width="12.6640625" style="4" bestFit="1" customWidth="1"/>
    <col min="1294" max="1294" width="11.44140625" style="4" bestFit="1" customWidth="1"/>
    <col min="1295" max="1537" width="9.109375" style="4"/>
    <col min="1538" max="1539" width="0" style="4" hidden="1" customWidth="1"/>
    <col min="1540" max="1540" width="13.88671875" style="4" customWidth="1"/>
    <col min="1541" max="1541" width="16.88671875" style="4" bestFit="1" customWidth="1"/>
    <col min="1542" max="1542" width="18.44140625" style="4" customWidth="1"/>
    <col min="1543" max="1543" width="0" style="4" hidden="1" customWidth="1"/>
    <col min="1544" max="1544" width="12" style="4" customWidth="1"/>
    <col min="1545" max="1545" width="23.44140625" style="4" bestFit="1" customWidth="1"/>
    <col min="1546" max="1546" width="11" style="4" customWidth="1"/>
    <col min="1547" max="1547" width="11.6640625" style="4" bestFit="1" customWidth="1"/>
    <col min="1548" max="1548" width="14" style="4" bestFit="1" customWidth="1"/>
    <col min="1549" max="1549" width="12.6640625" style="4" bestFit="1" customWidth="1"/>
    <col min="1550" max="1550" width="11.44140625" style="4" bestFit="1" customWidth="1"/>
    <col min="1551" max="1793" width="9.109375" style="4"/>
    <col min="1794" max="1795" width="0" style="4" hidden="1" customWidth="1"/>
    <col min="1796" max="1796" width="13.88671875" style="4" customWidth="1"/>
    <col min="1797" max="1797" width="16.88671875" style="4" bestFit="1" customWidth="1"/>
    <col min="1798" max="1798" width="18.44140625" style="4" customWidth="1"/>
    <col min="1799" max="1799" width="0" style="4" hidden="1" customWidth="1"/>
    <col min="1800" max="1800" width="12" style="4" customWidth="1"/>
    <col min="1801" max="1801" width="23.44140625" style="4" bestFit="1" customWidth="1"/>
    <col min="1802" max="1802" width="11" style="4" customWidth="1"/>
    <col min="1803" max="1803" width="11.6640625" style="4" bestFit="1" customWidth="1"/>
    <col min="1804" max="1804" width="14" style="4" bestFit="1" customWidth="1"/>
    <col min="1805" max="1805" width="12.6640625" style="4" bestFit="1" customWidth="1"/>
    <col min="1806" max="1806" width="11.44140625" style="4" bestFit="1" customWidth="1"/>
    <col min="1807" max="2049" width="9.109375" style="4"/>
    <col min="2050" max="2051" width="0" style="4" hidden="1" customWidth="1"/>
    <col min="2052" max="2052" width="13.88671875" style="4" customWidth="1"/>
    <col min="2053" max="2053" width="16.88671875" style="4" bestFit="1" customWidth="1"/>
    <col min="2054" max="2054" width="18.44140625" style="4" customWidth="1"/>
    <col min="2055" max="2055" width="0" style="4" hidden="1" customWidth="1"/>
    <col min="2056" max="2056" width="12" style="4" customWidth="1"/>
    <col min="2057" max="2057" width="23.44140625" style="4" bestFit="1" customWidth="1"/>
    <col min="2058" max="2058" width="11" style="4" customWidth="1"/>
    <col min="2059" max="2059" width="11.6640625" style="4" bestFit="1" customWidth="1"/>
    <col min="2060" max="2060" width="14" style="4" bestFit="1" customWidth="1"/>
    <col min="2061" max="2061" width="12.6640625" style="4" bestFit="1" customWidth="1"/>
    <col min="2062" max="2062" width="11.44140625" style="4" bestFit="1" customWidth="1"/>
    <col min="2063" max="2305" width="9.109375" style="4"/>
    <col min="2306" max="2307" width="0" style="4" hidden="1" customWidth="1"/>
    <col min="2308" max="2308" width="13.88671875" style="4" customWidth="1"/>
    <col min="2309" max="2309" width="16.88671875" style="4" bestFit="1" customWidth="1"/>
    <col min="2310" max="2310" width="18.44140625" style="4" customWidth="1"/>
    <col min="2311" max="2311" width="0" style="4" hidden="1" customWidth="1"/>
    <col min="2312" max="2312" width="12" style="4" customWidth="1"/>
    <col min="2313" max="2313" width="23.44140625" style="4" bestFit="1" customWidth="1"/>
    <col min="2314" max="2314" width="11" style="4" customWidth="1"/>
    <col min="2315" max="2315" width="11.6640625" style="4" bestFit="1" customWidth="1"/>
    <col min="2316" max="2316" width="14" style="4" bestFit="1" customWidth="1"/>
    <col min="2317" max="2317" width="12.6640625" style="4" bestFit="1" customWidth="1"/>
    <col min="2318" max="2318" width="11.44140625" style="4" bestFit="1" customWidth="1"/>
    <col min="2319" max="2561" width="9.109375" style="4"/>
    <col min="2562" max="2563" width="0" style="4" hidden="1" customWidth="1"/>
    <col min="2564" max="2564" width="13.88671875" style="4" customWidth="1"/>
    <col min="2565" max="2565" width="16.88671875" style="4" bestFit="1" customWidth="1"/>
    <col min="2566" max="2566" width="18.44140625" style="4" customWidth="1"/>
    <col min="2567" max="2567" width="0" style="4" hidden="1" customWidth="1"/>
    <col min="2568" max="2568" width="12" style="4" customWidth="1"/>
    <col min="2569" max="2569" width="23.44140625" style="4" bestFit="1" customWidth="1"/>
    <col min="2570" max="2570" width="11" style="4" customWidth="1"/>
    <col min="2571" max="2571" width="11.6640625" style="4" bestFit="1" customWidth="1"/>
    <col min="2572" max="2572" width="14" style="4" bestFit="1" customWidth="1"/>
    <col min="2573" max="2573" width="12.6640625" style="4" bestFit="1" customWidth="1"/>
    <col min="2574" max="2574" width="11.44140625" style="4" bestFit="1" customWidth="1"/>
    <col min="2575" max="2817" width="9.109375" style="4"/>
    <col min="2818" max="2819" width="0" style="4" hidden="1" customWidth="1"/>
    <col min="2820" max="2820" width="13.88671875" style="4" customWidth="1"/>
    <col min="2821" max="2821" width="16.88671875" style="4" bestFit="1" customWidth="1"/>
    <col min="2822" max="2822" width="18.44140625" style="4" customWidth="1"/>
    <col min="2823" max="2823" width="0" style="4" hidden="1" customWidth="1"/>
    <col min="2824" max="2824" width="12" style="4" customWidth="1"/>
    <col min="2825" max="2825" width="23.44140625" style="4" bestFit="1" customWidth="1"/>
    <col min="2826" max="2826" width="11" style="4" customWidth="1"/>
    <col min="2827" max="2827" width="11.6640625" style="4" bestFit="1" customWidth="1"/>
    <col min="2828" max="2828" width="14" style="4" bestFit="1" customWidth="1"/>
    <col min="2829" max="2829" width="12.6640625" style="4" bestFit="1" customWidth="1"/>
    <col min="2830" max="2830" width="11.44140625" style="4" bestFit="1" customWidth="1"/>
    <col min="2831" max="3073" width="9.109375" style="4"/>
    <col min="3074" max="3075" width="0" style="4" hidden="1" customWidth="1"/>
    <col min="3076" max="3076" width="13.88671875" style="4" customWidth="1"/>
    <col min="3077" max="3077" width="16.88671875" style="4" bestFit="1" customWidth="1"/>
    <col min="3078" max="3078" width="18.44140625" style="4" customWidth="1"/>
    <col min="3079" max="3079" width="0" style="4" hidden="1" customWidth="1"/>
    <col min="3080" max="3080" width="12" style="4" customWidth="1"/>
    <col min="3081" max="3081" width="23.44140625" style="4" bestFit="1" customWidth="1"/>
    <col min="3082" max="3082" width="11" style="4" customWidth="1"/>
    <col min="3083" max="3083" width="11.6640625" style="4" bestFit="1" customWidth="1"/>
    <col min="3084" max="3084" width="14" style="4" bestFit="1" customWidth="1"/>
    <col min="3085" max="3085" width="12.6640625" style="4" bestFit="1" customWidth="1"/>
    <col min="3086" max="3086" width="11.44140625" style="4" bestFit="1" customWidth="1"/>
    <col min="3087" max="3329" width="9.109375" style="4"/>
    <col min="3330" max="3331" width="0" style="4" hidden="1" customWidth="1"/>
    <col min="3332" max="3332" width="13.88671875" style="4" customWidth="1"/>
    <col min="3333" max="3333" width="16.88671875" style="4" bestFit="1" customWidth="1"/>
    <col min="3334" max="3334" width="18.44140625" style="4" customWidth="1"/>
    <col min="3335" max="3335" width="0" style="4" hidden="1" customWidth="1"/>
    <col min="3336" max="3336" width="12" style="4" customWidth="1"/>
    <col min="3337" max="3337" width="23.44140625" style="4" bestFit="1" customWidth="1"/>
    <col min="3338" max="3338" width="11" style="4" customWidth="1"/>
    <col min="3339" max="3339" width="11.6640625" style="4" bestFit="1" customWidth="1"/>
    <col min="3340" max="3340" width="14" style="4" bestFit="1" customWidth="1"/>
    <col min="3341" max="3341" width="12.6640625" style="4" bestFit="1" customWidth="1"/>
    <col min="3342" max="3342" width="11.44140625" style="4" bestFit="1" customWidth="1"/>
    <col min="3343" max="3585" width="9.109375" style="4"/>
    <col min="3586" max="3587" width="0" style="4" hidden="1" customWidth="1"/>
    <col min="3588" max="3588" width="13.88671875" style="4" customWidth="1"/>
    <col min="3589" max="3589" width="16.88671875" style="4" bestFit="1" customWidth="1"/>
    <col min="3590" max="3590" width="18.44140625" style="4" customWidth="1"/>
    <col min="3591" max="3591" width="0" style="4" hidden="1" customWidth="1"/>
    <col min="3592" max="3592" width="12" style="4" customWidth="1"/>
    <col min="3593" max="3593" width="23.44140625" style="4" bestFit="1" customWidth="1"/>
    <col min="3594" max="3594" width="11" style="4" customWidth="1"/>
    <col min="3595" max="3595" width="11.6640625" style="4" bestFit="1" customWidth="1"/>
    <col min="3596" max="3596" width="14" style="4" bestFit="1" customWidth="1"/>
    <col min="3597" max="3597" width="12.6640625" style="4" bestFit="1" customWidth="1"/>
    <col min="3598" max="3598" width="11.44140625" style="4" bestFit="1" customWidth="1"/>
    <col min="3599" max="3841" width="9.109375" style="4"/>
    <col min="3842" max="3843" width="0" style="4" hidden="1" customWidth="1"/>
    <col min="3844" max="3844" width="13.88671875" style="4" customWidth="1"/>
    <col min="3845" max="3845" width="16.88671875" style="4" bestFit="1" customWidth="1"/>
    <col min="3846" max="3846" width="18.44140625" style="4" customWidth="1"/>
    <col min="3847" max="3847" width="0" style="4" hidden="1" customWidth="1"/>
    <col min="3848" max="3848" width="12" style="4" customWidth="1"/>
    <col min="3849" max="3849" width="23.44140625" style="4" bestFit="1" customWidth="1"/>
    <col min="3850" max="3850" width="11" style="4" customWidth="1"/>
    <col min="3851" max="3851" width="11.6640625" style="4" bestFit="1" customWidth="1"/>
    <col min="3852" max="3852" width="14" style="4" bestFit="1" customWidth="1"/>
    <col min="3853" max="3853" width="12.6640625" style="4" bestFit="1" customWidth="1"/>
    <col min="3854" max="3854" width="11.44140625" style="4" bestFit="1" customWidth="1"/>
    <col min="3855" max="4097" width="9.109375" style="4"/>
    <col min="4098" max="4099" width="0" style="4" hidden="1" customWidth="1"/>
    <col min="4100" max="4100" width="13.88671875" style="4" customWidth="1"/>
    <col min="4101" max="4101" width="16.88671875" style="4" bestFit="1" customWidth="1"/>
    <col min="4102" max="4102" width="18.44140625" style="4" customWidth="1"/>
    <col min="4103" max="4103" width="0" style="4" hidden="1" customWidth="1"/>
    <col min="4104" max="4104" width="12" style="4" customWidth="1"/>
    <col min="4105" max="4105" width="23.44140625" style="4" bestFit="1" customWidth="1"/>
    <col min="4106" max="4106" width="11" style="4" customWidth="1"/>
    <col min="4107" max="4107" width="11.6640625" style="4" bestFit="1" customWidth="1"/>
    <col min="4108" max="4108" width="14" style="4" bestFit="1" customWidth="1"/>
    <col min="4109" max="4109" width="12.6640625" style="4" bestFit="1" customWidth="1"/>
    <col min="4110" max="4110" width="11.44140625" style="4" bestFit="1" customWidth="1"/>
    <col min="4111" max="4353" width="9.109375" style="4"/>
    <col min="4354" max="4355" width="0" style="4" hidden="1" customWidth="1"/>
    <col min="4356" max="4356" width="13.88671875" style="4" customWidth="1"/>
    <col min="4357" max="4357" width="16.88671875" style="4" bestFit="1" customWidth="1"/>
    <col min="4358" max="4358" width="18.44140625" style="4" customWidth="1"/>
    <col min="4359" max="4359" width="0" style="4" hidden="1" customWidth="1"/>
    <col min="4360" max="4360" width="12" style="4" customWidth="1"/>
    <col min="4361" max="4361" width="23.44140625" style="4" bestFit="1" customWidth="1"/>
    <col min="4362" max="4362" width="11" style="4" customWidth="1"/>
    <col min="4363" max="4363" width="11.6640625" style="4" bestFit="1" customWidth="1"/>
    <col min="4364" max="4364" width="14" style="4" bestFit="1" customWidth="1"/>
    <col min="4365" max="4365" width="12.6640625" style="4" bestFit="1" customWidth="1"/>
    <col min="4366" max="4366" width="11.44140625" style="4" bestFit="1" customWidth="1"/>
    <col min="4367" max="4609" width="9.109375" style="4"/>
    <col min="4610" max="4611" width="0" style="4" hidden="1" customWidth="1"/>
    <col min="4612" max="4612" width="13.88671875" style="4" customWidth="1"/>
    <col min="4613" max="4613" width="16.88671875" style="4" bestFit="1" customWidth="1"/>
    <col min="4614" max="4614" width="18.44140625" style="4" customWidth="1"/>
    <col min="4615" max="4615" width="0" style="4" hidden="1" customWidth="1"/>
    <col min="4616" max="4616" width="12" style="4" customWidth="1"/>
    <col min="4617" max="4617" width="23.44140625" style="4" bestFit="1" customWidth="1"/>
    <col min="4618" max="4618" width="11" style="4" customWidth="1"/>
    <col min="4619" max="4619" width="11.6640625" style="4" bestFit="1" customWidth="1"/>
    <col min="4620" max="4620" width="14" style="4" bestFit="1" customWidth="1"/>
    <col min="4621" max="4621" width="12.6640625" style="4" bestFit="1" customWidth="1"/>
    <col min="4622" max="4622" width="11.44140625" style="4" bestFit="1" customWidth="1"/>
    <col min="4623" max="4865" width="9.109375" style="4"/>
    <col min="4866" max="4867" width="0" style="4" hidden="1" customWidth="1"/>
    <col min="4868" max="4868" width="13.88671875" style="4" customWidth="1"/>
    <col min="4869" max="4869" width="16.88671875" style="4" bestFit="1" customWidth="1"/>
    <col min="4870" max="4870" width="18.44140625" style="4" customWidth="1"/>
    <col min="4871" max="4871" width="0" style="4" hidden="1" customWidth="1"/>
    <col min="4872" max="4872" width="12" style="4" customWidth="1"/>
    <col min="4873" max="4873" width="23.44140625" style="4" bestFit="1" customWidth="1"/>
    <col min="4874" max="4874" width="11" style="4" customWidth="1"/>
    <col min="4875" max="4875" width="11.6640625" style="4" bestFit="1" customWidth="1"/>
    <col min="4876" max="4876" width="14" style="4" bestFit="1" customWidth="1"/>
    <col min="4877" max="4877" width="12.6640625" style="4" bestFit="1" customWidth="1"/>
    <col min="4878" max="4878" width="11.44140625" style="4" bestFit="1" customWidth="1"/>
    <col min="4879" max="5121" width="9.109375" style="4"/>
    <col min="5122" max="5123" width="0" style="4" hidden="1" customWidth="1"/>
    <col min="5124" max="5124" width="13.88671875" style="4" customWidth="1"/>
    <col min="5125" max="5125" width="16.88671875" style="4" bestFit="1" customWidth="1"/>
    <col min="5126" max="5126" width="18.44140625" style="4" customWidth="1"/>
    <col min="5127" max="5127" width="0" style="4" hidden="1" customWidth="1"/>
    <col min="5128" max="5128" width="12" style="4" customWidth="1"/>
    <col min="5129" max="5129" width="23.44140625" style="4" bestFit="1" customWidth="1"/>
    <col min="5130" max="5130" width="11" style="4" customWidth="1"/>
    <col min="5131" max="5131" width="11.6640625" style="4" bestFit="1" customWidth="1"/>
    <col min="5132" max="5132" width="14" style="4" bestFit="1" customWidth="1"/>
    <col min="5133" max="5133" width="12.6640625" style="4" bestFit="1" customWidth="1"/>
    <col min="5134" max="5134" width="11.44140625" style="4" bestFit="1" customWidth="1"/>
    <col min="5135" max="5377" width="9.109375" style="4"/>
    <col min="5378" max="5379" width="0" style="4" hidden="1" customWidth="1"/>
    <col min="5380" max="5380" width="13.88671875" style="4" customWidth="1"/>
    <col min="5381" max="5381" width="16.88671875" style="4" bestFit="1" customWidth="1"/>
    <col min="5382" max="5382" width="18.44140625" style="4" customWidth="1"/>
    <col min="5383" max="5383" width="0" style="4" hidden="1" customWidth="1"/>
    <col min="5384" max="5384" width="12" style="4" customWidth="1"/>
    <col min="5385" max="5385" width="23.44140625" style="4" bestFit="1" customWidth="1"/>
    <col min="5386" max="5386" width="11" style="4" customWidth="1"/>
    <col min="5387" max="5387" width="11.6640625" style="4" bestFit="1" customWidth="1"/>
    <col min="5388" max="5388" width="14" style="4" bestFit="1" customWidth="1"/>
    <col min="5389" max="5389" width="12.6640625" style="4" bestFit="1" customWidth="1"/>
    <col min="5390" max="5390" width="11.44140625" style="4" bestFit="1" customWidth="1"/>
    <col min="5391" max="5633" width="9.109375" style="4"/>
    <col min="5634" max="5635" width="0" style="4" hidden="1" customWidth="1"/>
    <col min="5636" max="5636" width="13.88671875" style="4" customWidth="1"/>
    <col min="5637" max="5637" width="16.88671875" style="4" bestFit="1" customWidth="1"/>
    <col min="5638" max="5638" width="18.44140625" style="4" customWidth="1"/>
    <col min="5639" max="5639" width="0" style="4" hidden="1" customWidth="1"/>
    <col min="5640" max="5640" width="12" style="4" customWidth="1"/>
    <col min="5641" max="5641" width="23.44140625" style="4" bestFit="1" customWidth="1"/>
    <col min="5642" max="5642" width="11" style="4" customWidth="1"/>
    <col min="5643" max="5643" width="11.6640625" style="4" bestFit="1" customWidth="1"/>
    <col min="5644" max="5644" width="14" style="4" bestFit="1" customWidth="1"/>
    <col min="5645" max="5645" width="12.6640625" style="4" bestFit="1" customWidth="1"/>
    <col min="5646" max="5646" width="11.44140625" style="4" bestFit="1" customWidth="1"/>
    <col min="5647" max="5889" width="9.109375" style="4"/>
    <col min="5890" max="5891" width="0" style="4" hidden="1" customWidth="1"/>
    <col min="5892" max="5892" width="13.88671875" style="4" customWidth="1"/>
    <col min="5893" max="5893" width="16.88671875" style="4" bestFit="1" customWidth="1"/>
    <col min="5894" max="5894" width="18.44140625" style="4" customWidth="1"/>
    <col min="5895" max="5895" width="0" style="4" hidden="1" customWidth="1"/>
    <col min="5896" max="5896" width="12" style="4" customWidth="1"/>
    <col min="5897" max="5897" width="23.44140625" style="4" bestFit="1" customWidth="1"/>
    <col min="5898" max="5898" width="11" style="4" customWidth="1"/>
    <col min="5899" max="5899" width="11.6640625" style="4" bestFit="1" customWidth="1"/>
    <col min="5900" max="5900" width="14" style="4" bestFit="1" customWidth="1"/>
    <col min="5901" max="5901" width="12.6640625" style="4" bestFit="1" customWidth="1"/>
    <col min="5902" max="5902" width="11.44140625" style="4" bestFit="1" customWidth="1"/>
    <col min="5903" max="6145" width="9.109375" style="4"/>
    <col min="6146" max="6147" width="0" style="4" hidden="1" customWidth="1"/>
    <col min="6148" max="6148" width="13.88671875" style="4" customWidth="1"/>
    <col min="6149" max="6149" width="16.88671875" style="4" bestFit="1" customWidth="1"/>
    <col min="6150" max="6150" width="18.44140625" style="4" customWidth="1"/>
    <col min="6151" max="6151" width="0" style="4" hidden="1" customWidth="1"/>
    <col min="6152" max="6152" width="12" style="4" customWidth="1"/>
    <col min="6153" max="6153" width="23.44140625" style="4" bestFit="1" customWidth="1"/>
    <col min="6154" max="6154" width="11" style="4" customWidth="1"/>
    <col min="6155" max="6155" width="11.6640625" style="4" bestFit="1" customWidth="1"/>
    <col min="6156" max="6156" width="14" style="4" bestFit="1" customWidth="1"/>
    <col min="6157" max="6157" width="12.6640625" style="4" bestFit="1" customWidth="1"/>
    <col min="6158" max="6158" width="11.44140625" style="4" bestFit="1" customWidth="1"/>
    <col min="6159" max="6401" width="9.109375" style="4"/>
    <col min="6402" max="6403" width="0" style="4" hidden="1" customWidth="1"/>
    <col min="6404" max="6404" width="13.88671875" style="4" customWidth="1"/>
    <col min="6405" max="6405" width="16.88671875" style="4" bestFit="1" customWidth="1"/>
    <col min="6406" max="6406" width="18.44140625" style="4" customWidth="1"/>
    <col min="6407" max="6407" width="0" style="4" hidden="1" customWidth="1"/>
    <col min="6408" max="6408" width="12" style="4" customWidth="1"/>
    <col min="6409" max="6409" width="23.44140625" style="4" bestFit="1" customWidth="1"/>
    <col min="6410" max="6410" width="11" style="4" customWidth="1"/>
    <col min="6411" max="6411" width="11.6640625" style="4" bestFit="1" customWidth="1"/>
    <col min="6412" max="6412" width="14" style="4" bestFit="1" customWidth="1"/>
    <col min="6413" max="6413" width="12.6640625" style="4" bestFit="1" customWidth="1"/>
    <col min="6414" max="6414" width="11.44140625" style="4" bestFit="1" customWidth="1"/>
    <col min="6415" max="6657" width="9.109375" style="4"/>
    <col min="6658" max="6659" width="0" style="4" hidden="1" customWidth="1"/>
    <col min="6660" max="6660" width="13.88671875" style="4" customWidth="1"/>
    <col min="6661" max="6661" width="16.88671875" style="4" bestFit="1" customWidth="1"/>
    <col min="6662" max="6662" width="18.44140625" style="4" customWidth="1"/>
    <col min="6663" max="6663" width="0" style="4" hidden="1" customWidth="1"/>
    <col min="6664" max="6664" width="12" style="4" customWidth="1"/>
    <col min="6665" max="6665" width="23.44140625" style="4" bestFit="1" customWidth="1"/>
    <col min="6666" max="6666" width="11" style="4" customWidth="1"/>
    <col min="6667" max="6667" width="11.6640625" style="4" bestFit="1" customWidth="1"/>
    <col min="6668" max="6668" width="14" style="4" bestFit="1" customWidth="1"/>
    <col min="6669" max="6669" width="12.6640625" style="4" bestFit="1" customWidth="1"/>
    <col min="6670" max="6670" width="11.44140625" style="4" bestFit="1" customWidth="1"/>
    <col min="6671" max="6913" width="9.109375" style="4"/>
    <col min="6914" max="6915" width="0" style="4" hidden="1" customWidth="1"/>
    <col min="6916" max="6916" width="13.88671875" style="4" customWidth="1"/>
    <col min="6917" max="6917" width="16.88671875" style="4" bestFit="1" customWidth="1"/>
    <col min="6918" max="6918" width="18.44140625" style="4" customWidth="1"/>
    <col min="6919" max="6919" width="0" style="4" hidden="1" customWidth="1"/>
    <col min="6920" max="6920" width="12" style="4" customWidth="1"/>
    <col min="6921" max="6921" width="23.44140625" style="4" bestFit="1" customWidth="1"/>
    <col min="6922" max="6922" width="11" style="4" customWidth="1"/>
    <col min="6923" max="6923" width="11.6640625" style="4" bestFit="1" customWidth="1"/>
    <col min="6924" max="6924" width="14" style="4" bestFit="1" customWidth="1"/>
    <col min="6925" max="6925" width="12.6640625" style="4" bestFit="1" customWidth="1"/>
    <col min="6926" max="6926" width="11.44140625" style="4" bestFit="1" customWidth="1"/>
    <col min="6927" max="7169" width="9.109375" style="4"/>
    <col min="7170" max="7171" width="0" style="4" hidden="1" customWidth="1"/>
    <col min="7172" max="7172" width="13.88671875" style="4" customWidth="1"/>
    <col min="7173" max="7173" width="16.88671875" style="4" bestFit="1" customWidth="1"/>
    <col min="7174" max="7174" width="18.44140625" style="4" customWidth="1"/>
    <col min="7175" max="7175" width="0" style="4" hidden="1" customWidth="1"/>
    <col min="7176" max="7176" width="12" style="4" customWidth="1"/>
    <col min="7177" max="7177" width="23.44140625" style="4" bestFit="1" customWidth="1"/>
    <col min="7178" max="7178" width="11" style="4" customWidth="1"/>
    <col min="7179" max="7179" width="11.6640625" style="4" bestFit="1" customWidth="1"/>
    <col min="7180" max="7180" width="14" style="4" bestFit="1" customWidth="1"/>
    <col min="7181" max="7181" width="12.6640625" style="4" bestFit="1" customWidth="1"/>
    <col min="7182" max="7182" width="11.44140625" style="4" bestFit="1" customWidth="1"/>
    <col min="7183" max="7425" width="9.109375" style="4"/>
    <col min="7426" max="7427" width="0" style="4" hidden="1" customWidth="1"/>
    <col min="7428" max="7428" width="13.88671875" style="4" customWidth="1"/>
    <col min="7429" max="7429" width="16.88671875" style="4" bestFit="1" customWidth="1"/>
    <col min="7430" max="7430" width="18.44140625" style="4" customWidth="1"/>
    <col min="7431" max="7431" width="0" style="4" hidden="1" customWidth="1"/>
    <col min="7432" max="7432" width="12" style="4" customWidth="1"/>
    <col min="7433" max="7433" width="23.44140625" style="4" bestFit="1" customWidth="1"/>
    <col min="7434" max="7434" width="11" style="4" customWidth="1"/>
    <col min="7435" max="7435" width="11.6640625" style="4" bestFit="1" customWidth="1"/>
    <col min="7436" max="7436" width="14" style="4" bestFit="1" customWidth="1"/>
    <col min="7437" max="7437" width="12.6640625" style="4" bestFit="1" customWidth="1"/>
    <col min="7438" max="7438" width="11.44140625" style="4" bestFit="1" customWidth="1"/>
    <col min="7439" max="7681" width="9.109375" style="4"/>
    <col min="7682" max="7683" width="0" style="4" hidden="1" customWidth="1"/>
    <col min="7684" max="7684" width="13.88671875" style="4" customWidth="1"/>
    <col min="7685" max="7685" width="16.88671875" style="4" bestFit="1" customWidth="1"/>
    <col min="7686" max="7686" width="18.44140625" style="4" customWidth="1"/>
    <col min="7687" max="7687" width="0" style="4" hidden="1" customWidth="1"/>
    <col min="7688" max="7688" width="12" style="4" customWidth="1"/>
    <col min="7689" max="7689" width="23.44140625" style="4" bestFit="1" customWidth="1"/>
    <col min="7690" max="7690" width="11" style="4" customWidth="1"/>
    <col min="7691" max="7691" width="11.6640625" style="4" bestFit="1" customWidth="1"/>
    <col min="7692" max="7692" width="14" style="4" bestFit="1" customWidth="1"/>
    <col min="7693" max="7693" width="12.6640625" style="4" bestFit="1" customWidth="1"/>
    <col min="7694" max="7694" width="11.44140625" style="4" bestFit="1" customWidth="1"/>
    <col min="7695" max="7937" width="9.109375" style="4"/>
    <col min="7938" max="7939" width="0" style="4" hidden="1" customWidth="1"/>
    <col min="7940" max="7940" width="13.88671875" style="4" customWidth="1"/>
    <col min="7941" max="7941" width="16.88671875" style="4" bestFit="1" customWidth="1"/>
    <col min="7942" max="7942" width="18.44140625" style="4" customWidth="1"/>
    <col min="7943" max="7943" width="0" style="4" hidden="1" customWidth="1"/>
    <col min="7944" max="7944" width="12" style="4" customWidth="1"/>
    <col min="7945" max="7945" width="23.44140625" style="4" bestFit="1" customWidth="1"/>
    <col min="7946" max="7946" width="11" style="4" customWidth="1"/>
    <col min="7947" max="7947" width="11.6640625" style="4" bestFit="1" customWidth="1"/>
    <col min="7948" max="7948" width="14" style="4" bestFit="1" customWidth="1"/>
    <col min="7949" max="7949" width="12.6640625" style="4" bestFit="1" customWidth="1"/>
    <col min="7950" max="7950" width="11.44140625" style="4" bestFit="1" customWidth="1"/>
    <col min="7951" max="8193" width="9.109375" style="4"/>
    <col min="8194" max="8195" width="0" style="4" hidden="1" customWidth="1"/>
    <col min="8196" max="8196" width="13.88671875" style="4" customWidth="1"/>
    <col min="8197" max="8197" width="16.88671875" style="4" bestFit="1" customWidth="1"/>
    <col min="8198" max="8198" width="18.44140625" style="4" customWidth="1"/>
    <col min="8199" max="8199" width="0" style="4" hidden="1" customWidth="1"/>
    <col min="8200" max="8200" width="12" style="4" customWidth="1"/>
    <col min="8201" max="8201" width="23.44140625" style="4" bestFit="1" customWidth="1"/>
    <col min="8202" max="8202" width="11" style="4" customWidth="1"/>
    <col min="8203" max="8203" width="11.6640625" style="4" bestFit="1" customWidth="1"/>
    <col min="8204" max="8204" width="14" style="4" bestFit="1" customWidth="1"/>
    <col min="8205" max="8205" width="12.6640625" style="4" bestFit="1" customWidth="1"/>
    <col min="8206" max="8206" width="11.44140625" style="4" bestFit="1" customWidth="1"/>
    <col min="8207" max="8449" width="9.109375" style="4"/>
    <col min="8450" max="8451" width="0" style="4" hidden="1" customWidth="1"/>
    <col min="8452" max="8452" width="13.88671875" style="4" customWidth="1"/>
    <col min="8453" max="8453" width="16.88671875" style="4" bestFit="1" customWidth="1"/>
    <col min="8454" max="8454" width="18.44140625" style="4" customWidth="1"/>
    <col min="8455" max="8455" width="0" style="4" hidden="1" customWidth="1"/>
    <col min="8456" max="8456" width="12" style="4" customWidth="1"/>
    <col min="8457" max="8457" width="23.44140625" style="4" bestFit="1" customWidth="1"/>
    <col min="8458" max="8458" width="11" style="4" customWidth="1"/>
    <col min="8459" max="8459" width="11.6640625" style="4" bestFit="1" customWidth="1"/>
    <col min="8460" max="8460" width="14" style="4" bestFit="1" customWidth="1"/>
    <col min="8461" max="8461" width="12.6640625" style="4" bestFit="1" customWidth="1"/>
    <col min="8462" max="8462" width="11.44140625" style="4" bestFit="1" customWidth="1"/>
    <col min="8463" max="8705" width="9.109375" style="4"/>
    <col min="8706" max="8707" width="0" style="4" hidden="1" customWidth="1"/>
    <col min="8708" max="8708" width="13.88671875" style="4" customWidth="1"/>
    <col min="8709" max="8709" width="16.88671875" style="4" bestFit="1" customWidth="1"/>
    <col min="8710" max="8710" width="18.44140625" style="4" customWidth="1"/>
    <col min="8711" max="8711" width="0" style="4" hidden="1" customWidth="1"/>
    <col min="8712" max="8712" width="12" style="4" customWidth="1"/>
    <col min="8713" max="8713" width="23.44140625" style="4" bestFit="1" customWidth="1"/>
    <col min="8714" max="8714" width="11" style="4" customWidth="1"/>
    <col min="8715" max="8715" width="11.6640625" style="4" bestFit="1" customWidth="1"/>
    <col min="8716" max="8716" width="14" style="4" bestFit="1" customWidth="1"/>
    <col min="8717" max="8717" width="12.6640625" style="4" bestFit="1" customWidth="1"/>
    <col min="8718" max="8718" width="11.44140625" style="4" bestFit="1" customWidth="1"/>
    <col min="8719" max="8961" width="9.109375" style="4"/>
    <col min="8962" max="8963" width="0" style="4" hidden="1" customWidth="1"/>
    <col min="8964" max="8964" width="13.88671875" style="4" customWidth="1"/>
    <col min="8965" max="8965" width="16.88671875" style="4" bestFit="1" customWidth="1"/>
    <col min="8966" max="8966" width="18.44140625" style="4" customWidth="1"/>
    <col min="8967" max="8967" width="0" style="4" hidden="1" customWidth="1"/>
    <col min="8968" max="8968" width="12" style="4" customWidth="1"/>
    <col min="8969" max="8969" width="23.44140625" style="4" bestFit="1" customWidth="1"/>
    <col min="8970" max="8970" width="11" style="4" customWidth="1"/>
    <col min="8971" max="8971" width="11.6640625" style="4" bestFit="1" customWidth="1"/>
    <col min="8972" max="8972" width="14" style="4" bestFit="1" customWidth="1"/>
    <col min="8973" max="8973" width="12.6640625" style="4" bestFit="1" customWidth="1"/>
    <col min="8974" max="8974" width="11.44140625" style="4" bestFit="1" customWidth="1"/>
    <col min="8975" max="9217" width="9.109375" style="4"/>
    <col min="9218" max="9219" width="0" style="4" hidden="1" customWidth="1"/>
    <col min="9220" max="9220" width="13.88671875" style="4" customWidth="1"/>
    <col min="9221" max="9221" width="16.88671875" style="4" bestFit="1" customWidth="1"/>
    <col min="9222" max="9222" width="18.44140625" style="4" customWidth="1"/>
    <col min="9223" max="9223" width="0" style="4" hidden="1" customWidth="1"/>
    <col min="9224" max="9224" width="12" style="4" customWidth="1"/>
    <col min="9225" max="9225" width="23.44140625" style="4" bestFit="1" customWidth="1"/>
    <col min="9226" max="9226" width="11" style="4" customWidth="1"/>
    <col min="9227" max="9227" width="11.6640625" style="4" bestFit="1" customWidth="1"/>
    <col min="9228" max="9228" width="14" style="4" bestFit="1" customWidth="1"/>
    <col min="9229" max="9229" width="12.6640625" style="4" bestFit="1" customWidth="1"/>
    <col min="9230" max="9230" width="11.44140625" style="4" bestFit="1" customWidth="1"/>
    <col min="9231" max="9473" width="9.109375" style="4"/>
    <col min="9474" max="9475" width="0" style="4" hidden="1" customWidth="1"/>
    <col min="9476" max="9476" width="13.88671875" style="4" customWidth="1"/>
    <col min="9477" max="9477" width="16.88671875" style="4" bestFit="1" customWidth="1"/>
    <col min="9478" max="9478" width="18.44140625" style="4" customWidth="1"/>
    <col min="9479" max="9479" width="0" style="4" hidden="1" customWidth="1"/>
    <col min="9480" max="9480" width="12" style="4" customWidth="1"/>
    <col min="9481" max="9481" width="23.44140625" style="4" bestFit="1" customWidth="1"/>
    <col min="9482" max="9482" width="11" style="4" customWidth="1"/>
    <col min="9483" max="9483" width="11.6640625" style="4" bestFit="1" customWidth="1"/>
    <col min="9484" max="9484" width="14" style="4" bestFit="1" customWidth="1"/>
    <col min="9485" max="9485" width="12.6640625" style="4" bestFit="1" customWidth="1"/>
    <col min="9486" max="9486" width="11.44140625" style="4" bestFit="1" customWidth="1"/>
    <col min="9487" max="9729" width="9.109375" style="4"/>
    <col min="9730" max="9731" width="0" style="4" hidden="1" customWidth="1"/>
    <col min="9732" max="9732" width="13.88671875" style="4" customWidth="1"/>
    <col min="9733" max="9733" width="16.88671875" style="4" bestFit="1" customWidth="1"/>
    <col min="9734" max="9734" width="18.44140625" style="4" customWidth="1"/>
    <col min="9735" max="9735" width="0" style="4" hidden="1" customWidth="1"/>
    <col min="9736" max="9736" width="12" style="4" customWidth="1"/>
    <col min="9737" max="9737" width="23.44140625" style="4" bestFit="1" customWidth="1"/>
    <col min="9738" max="9738" width="11" style="4" customWidth="1"/>
    <col min="9739" max="9739" width="11.6640625" style="4" bestFit="1" customWidth="1"/>
    <col min="9740" max="9740" width="14" style="4" bestFit="1" customWidth="1"/>
    <col min="9741" max="9741" width="12.6640625" style="4" bestFit="1" customWidth="1"/>
    <col min="9742" max="9742" width="11.44140625" style="4" bestFit="1" customWidth="1"/>
    <col min="9743" max="9985" width="9.109375" style="4"/>
    <col min="9986" max="9987" width="0" style="4" hidden="1" customWidth="1"/>
    <col min="9988" max="9988" width="13.88671875" style="4" customWidth="1"/>
    <col min="9989" max="9989" width="16.88671875" style="4" bestFit="1" customWidth="1"/>
    <col min="9990" max="9990" width="18.44140625" style="4" customWidth="1"/>
    <col min="9991" max="9991" width="0" style="4" hidden="1" customWidth="1"/>
    <col min="9992" max="9992" width="12" style="4" customWidth="1"/>
    <col min="9993" max="9993" width="23.44140625" style="4" bestFit="1" customWidth="1"/>
    <col min="9994" max="9994" width="11" style="4" customWidth="1"/>
    <col min="9995" max="9995" width="11.6640625" style="4" bestFit="1" customWidth="1"/>
    <col min="9996" max="9996" width="14" style="4" bestFit="1" customWidth="1"/>
    <col min="9997" max="9997" width="12.6640625" style="4" bestFit="1" customWidth="1"/>
    <col min="9998" max="9998" width="11.44140625" style="4" bestFit="1" customWidth="1"/>
    <col min="9999" max="10241" width="9.109375" style="4"/>
    <col min="10242" max="10243" width="0" style="4" hidden="1" customWidth="1"/>
    <col min="10244" max="10244" width="13.88671875" style="4" customWidth="1"/>
    <col min="10245" max="10245" width="16.88671875" style="4" bestFit="1" customWidth="1"/>
    <col min="10246" max="10246" width="18.44140625" style="4" customWidth="1"/>
    <col min="10247" max="10247" width="0" style="4" hidden="1" customWidth="1"/>
    <col min="10248" max="10248" width="12" style="4" customWidth="1"/>
    <col min="10249" max="10249" width="23.44140625" style="4" bestFit="1" customWidth="1"/>
    <col min="10250" max="10250" width="11" style="4" customWidth="1"/>
    <col min="10251" max="10251" width="11.6640625" style="4" bestFit="1" customWidth="1"/>
    <col min="10252" max="10252" width="14" style="4" bestFit="1" customWidth="1"/>
    <col min="10253" max="10253" width="12.6640625" style="4" bestFit="1" customWidth="1"/>
    <col min="10254" max="10254" width="11.44140625" style="4" bestFit="1" customWidth="1"/>
    <col min="10255" max="10497" width="9.109375" style="4"/>
    <col min="10498" max="10499" width="0" style="4" hidden="1" customWidth="1"/>
    <col min="10500" max="10500" width="13.88671875" style="4" customWidth="1"/>
    <col min="10501" max="10501" width="16.88671875" style="4" bestFit="1" customWidth="1"/>
    <col min="10502" max="10502" width="18.44140625" style="4" customWidth="1"/>
    <col min="10503" max="10503" width="0" style="4" hidden="1" customWidth="1"/>
    <col min="10504" max="10504" width="12" style="4" customWidth="1"/>
    <col min="10505" max="10505" width="23.44140625" style="4" bestFit="1" customWidth="1"/>
    <col min="10506" max="10506" width="11" style="4" customWidth="1"/>
    <col min="10507" max="10507" width="11.6640625" style="4" bestFit="1" customWidth="1"/>
    <col min="10508" max="10508" width="14" style="4" bestFit="1" customWidth="1"/>
    <col min="10509" max="10509" width="12.6640625" style="4" bestFit="1" customWidth="1"/>
    <col min="10510" max="10510" width="11.44140625" style="4" bestFit="1" customWidth="1"/>
    <col min="10511" max="10753" width="9.109375" style="4"/>
    <col min="10754" max="10755" width="0" style="4" hidden="1" customWidth="1"/>
    <col min="10756" max="10756" width="13.88671875" style="4" customWidth="1"/>
    <col min="10757" max="10757" width="16.88671875" style="4" bestFit="1" customWidth="1"/>
    <col min="10758" max="10758" width="18.44140625" style="4" customWidth="1"/>
    <col min="10759" max="10759" width="0" style="4" hidden="1" customWidth="1"/>
    <col min="10760" max="10760" width="12" style="4" customWidth="1"/>
    <col min="10761" max="10761" width="23.44140625" style="4" bestFit="1" customWidth="1"/>
    <col min="10762" max="10762" width="11" style="4" customWidth="1"/>
    <col min="10763" max="10763" width="11.6640625" style="4" bestFit="1" customWidth="1"/>
    <col min="10764" max="10764" width="14" style="4" bestFit="1" customWidth="1"/>
    <col min="10765" max="10765" width="12.6640625" style="4" bestFit="1" customWidth="1"/>
    <col min="10766" max="10766" width="11.44140625" style="4" bestFit="1" customWidth="1"/>
    <col min="10767" max="11009" width="9.109375" style="4"/>
    <col min="11010" max="11011" width="0" style="4" hidden="1" customWidth="1"/>
    <col min="11012" max="11012" width="13.88671875" style="4" customWidth="1"/>
    <col min="11013" max="11013" width="16.88671875" style="4" bestFit="1" customWidth="1"/>
    <col min="11014" max="11014" width="18.44140625" style="4" customWidth="1"/>
    <col min="11015" max="11015" width="0" style="4" hidden="1" customWidth="1"/>
    <col min="11016" max="11016" width="12" style="4" customWidth="1"/>
    <col min="11017" max="11017" width="23.44140625" style="4" bestFit="1" customWidth="1"/>
    <col min="11018" max="11018" width="11" style="4" customWidth="1"/>
    <col min="11019" max="11019" width="11.6640625" style="4" bestFit="1" customWidth="1"/>
    <col min="11020" max="11020" width="14" style="4" bestFit="1" customWidth="1"/>
    <col min="11021" max="11021" width="12.6640625" style="4" bestFit="1" customWidth="1"/>
    <col min="11022" max="11022" width="11.44140625" style="4" bestFit="1" customWidth="1"/>
    <col min="11023" max="11265" width="9.109375" style="4"/>
    <col min="11266" max="11267" width="0" style="4" hidden="1" customWidth="1"/>
    <col min="11268" max="11268" width="13.88671875" style="4" customWidth="1"/>
    <col min="11269" max="11269" width="16.88671875" style="4" bestFit="1" customWidth="1"/>
    <col min="11270" max="11270" width="18.44140625" style="4" customWidth="1"/>
    <col min="11271" max="11271" width="0" style="4" hidden="1" customWidth="1"/>
    <col min="11272" max="11272" width="12" style="4" customWidth="1"/>
    <col min="11273" max="11273" width="23.44140625" style="4" bestFit="1" customWidth="1"/>
    <col min="11274" max="11274" width="11" style="4" customWidth="1"/>
    <col min="11275" max="11275" width="11.6640625" style="4" bestFit="1" customWidth="1"/>
    <col min="11276" max="11276" width="14" style="4" bestFit="1" customWidth="1"/>
    <col min="11277" max="11277" width="12.6640625" style="4" bestFit="1" customWidth="1"/>
    <col min="11278" max="11278" width="11.44140625" style="4" bestFit="1" customWidth="1"/>
    <col min="11279" max="11521" width="9.109375" style="4"/>
    <col min="11522" max="11523" width="0" style="4" hidden="1" customWidth="1"/>
    <col min="11524" max="11524" width="13.88671875" style="4" customWidth="1"/>
    <col min="11525" max="11525" width="16.88671875" style="4" bestFit="1" customWidth="1"/>
    <col min="11526" max="11526" width="18.44140625" style="4" customWidth="1"/>
    <col min="11527" max="11527" width="0" style="4" hidden="1" customWidth="1"/>
    <col min="11528" max="11528" width="12" style="4" customWidth="1"/>
    <col min="11529" max="11529" width="23.44140625" style="4" bestFit="1" customWidth="1"/>
    <col min="11530" max="11530" width="11" style="4" customWidth="1"/>
    <col min="11531" max="11531" width="11.6640625" style="4" bestFit="1" customWidth="1"/>
    <col min="11532" max="11532" width="14" style="4" bestFit="1" customWidth="1"/>
    <col min="11533" max="11533" width="12.6640625" style="4" bestFit="1" customWidth="1"/>
    <col min="11534" max="11534" width="11.44140625" style="4" bestFit="1" customWidth="1"/>
    <col min="11535" max="11777" width="9.109375" style="4"/>
    <col min="11778" max="11779" width="0" style="4" hidden="1" customWidth="1"/>
    <col min="11780" max="11780" width="13.88671875" style="4" customWidth="1"/>
    <col min="11781" max="11781" width="16.88671875" style="4" bestFit="1" customWidth="1"/>
    <col min="11782" max="11782" width="18.44140625" style="4" customWidth="1"/>
    <col min="11783" max="11783" width="0" style="4" hidden="1" customWidth="1"/>
    <col min="11784" max="11784" width="12" style="4" customWidth="1"/>
    <col min="11785" max="11785" width="23.44140625" style="4" bestFit="1" customWidth="1"/>
    <col min="11786" max="11786" width="11" style="4" customWidth="1"/>
    <col min="11787" max="11787" width="11.6640625" style="4" bestFit="1" customWidth="1"/>
    <col min="11788" max="11788" width="14" style="4" bestFit="1" customWidth="1"/>
    <col min="11789" max="11789" width="12.6640625" style="4" bestFit="1" customWidth="1"/>
    <col min="11790" max="11790" width="11.44140625" style="4" bestFit="1" customWidth="1"/>
    <col min="11791" max="12033" width="9.109375" style="4"/>
    <col min="12034" max="12035" width="0" style="4" hidden="1" customWidth="1"/>
    <col min="12036" max="12036" width="13.88671875" style="4" customWidth="1"/>
    <col min="12037" max="12037" width="16.88671875" style="4" bestFit="1" customWidth="1"/>
    <col min="12038" max="12038" width="18.44140625" style="4" customWidth="1"/>
    <col min="12039" max="12039" width="0" style="4" hidden="1" customWidth="1"/>
    <col min="12040" max="12040" width="12" style="4" customWidth="1"/>
    <col min="12041" max="12041" width="23.44140625" style="4" bestFit="1" customWidth="1"/>
    <col min="12042" max="12042" width="11" style="4" customWidth="1"/>
    <col min="12043" max="12043" width="11.6640625" style="4" bestFit="1" customWidth="1"/>
    <col min="12044" max="12044" width="14" style="4" bestFit="1" customWidth="1"/>
    <col min="12045" max="12045" width="12.6640625" style="4" bestFit="1" customWidth="1"/>
    <col min="12046" max="12046" width="11.44140625" style="4" bestFit="1" customWidth="1"/>
    <col min="12047" max="12289" width="9.109375" style="4"/>
    <col min="12290" max="12291" width="0" style="4" hidden="1" customWidth="1"/>
    <col min="12292" max="12292" width="13.88671875" style="4" customWidth="1"/>
    <col min="12293" max="12293" width="16.88671875" style="4" bestFit="1" customWidth="1"/>
    <col min="12294" max="12294" width="18.44140625" style="4" customWidth="1"/>
    <col min="12295" max="12295" width="0" style="4" hidden="1" customWidth="1"/>
    <col min="12296" max="12296" width="12" style="4" customWidth="1"/>
    <col min="12297" max="12297" width="23.44140625" style="4" bestFit="1" customWidth="1"/>
    <col min="12298" max="12298" width="11" style="4" customWidth="1"/>
    <col min="12299" max="12299" width="11.6640625" style="4" bestFit="1" customWidth="1"/>
    <col min="12300" max="12300" width="14" style="4" bestFit="1" customWidth="1"/>
    <col min="12301" max="12301" width="12.6640625" style="4" bestFit="1" customWidth="1"/>
    <col min="12302" max="12302" width="11.44140625" style="4" bestFit="1" customWidth="1"/>
    <col min="12303" max="12545" width="9.109375" style="4"/>
    <col min="12546" max="12547" width="0" style="4" hidden="1" customWidth="1"/>
    <col min="12548" max="12548" width="13.88671875" style="4" customWidth="1"/>
    <col min="12549" max="12549" width="16.88671875" style="4" bestFit="1" customWidth="1"/>
    <col min="12550" max="12550" width="18.44140625" style="4" customWidth="1"/>
    <col min="12551" max="12551" width="0" style="4" hidden="1" customWidth="1"/>
    <col min="12552" max="12552" width="12" style="4" customWidth="1"/>
    <col min="12553" max="12553" width="23.44140625" style="4" bestFit="1" customWidth="1"/>
    <col min="12554" max="12554" width="11" style="4" customWidth="1"/>
    <col min="12555" max="12555" width="11.6640625" style="4" bestFit="1" customWidth="1"/>
    <col min="12556" max="12556" width="14" style="4" bestFit="1" customWidth="1"/>
    <col min="12557" max="12557" width="12.6640625" style="4" bestFit="1" customWidth="1"/>
    <col min="12558" max="12558" width="11.44140625" style="4" bestFit="1" customWidth="1"/>
    <col min="12559" max="12801" width="9.109375" style="4"/>
    <col min="12802" max="12803" width="0" style="4" hidden="1" customWidth="1"/>
    <col min="12804" max="12804" width="13.88671875" style="4" customWidth="1"/>
    <col min="12805" max="12805" width="16.88671875" style="4" bestFit="1" customWidth="1"/>
    <col min="12806" max="12806" width="18.44140625" style="4" customWidth="1"/>
    <col min="12807" max="12807" width="0" style="4" hidden="1" customWidth="1"/>
    <col min="12808" max="12808" width="12" style="4" customWidth="1"/>
    <col min="12809" max="12809" width="23.44140625" style="4" bestFit="1" customWidth="1"/>
    <col min="12810" max="12810" width="11" style="4" customWidth="1"/>
    <col min="12811" max="12811" width="11.6640625" style="4" bestFit="1" customWidth="1"/>
    <col min="12812" max="12812" width="14" style="4" bestFit="1" customWidth="1"/>
    <col min="12813" max="12813" width="12.6640625" style="4" bestFit="1" customWidth="1"/>
    <col min="12814" max="12814" width="11.44140625" style="4" bestFit="1" customWidth="1"/>
    <col min="12815" max="13057" width="9.109375" style="4"/>
    <col min="13058" max="13059" width="0" style="4" hidden="1" customWidth="1"/>
    <col min="13060" max="13060" width="13.88671875" style="4" customWidth="1"/>
    <col min="13061" max="13061" width="16.88671875" style="4" bestFit="1" customWidth="1"/>
    <col min="13062" max="13062" width="18.44140625" style="4" customWidth="1"/>
    <col min="13063" max="13063" width="0" style="4" hidden="1" customWidth="1"/>
    <col min="13064" max="13064" width="12" style="4" customWidth="1"/>
    <col min="13065" max="13065" width="23.44140625" style="4" bestFit="1" customWidth="1"/>
    <col min="13066" max="13066" width="11" style="4" customWidth="1"/>
    <col min="13067" max="13067" width="11.6640625" style="4" bestFit="1" customWidth="1"/>
    <col min="13068" max="13068" width="14" style="4" bestFit="1" customWidth="1"/>
    <col min="13069" max="13069" width="12.6640625" style="4" bestFit="1" customWidth="1"/>
    <col min="13070" max="13070" width="11.44140625" style="4" bestFit="1" customWidth="1"/>
    <col min="13071" max="13313" width="9.109375" style="4"/>
    <col min="13314" max="13315" width="0" style="4" hidden="1" customWidth="1"/>
    <col min="13316" max="13316" width="13.88671875" style="4" customWidth="1"/>
    <col min="13317" max="13317" width="16.88671875" style="4" bestFit="1" customWidth="1"/>
    <col min="13318" max="13318" width="18.44140625" style="4" customWidth="1"/>
    <col min="13319" max="13319" width="0" style="4" hidden="1" customWidth="1"/>
    <col min="13320" max="13320" width="12" style="4" customWidth="1"/>
    <col min="13321" max="13321" width="23.44140625" style="4" bestFit="1" customWidth="1"/>
    <col min="13322" max="13322" width="11" style="4" customWidth="1"/>
    <col min="13323" max="13323" width="11.6640625" style="4" bestFit="1" customWidth="1"/>
    <col min="13324" max="13324" width="14" style="4" bestFit="1" customWidth="1"/>
    <col min="13325" max="13325" width="12.6640625" style="4" bestFit="1" customWidth="1"/>
    <col min="13326" max="13326" width="11.44140625" style="4" bestFit="1" customWidth="1"/>
    <col min="13327" max="13569" width="9.109375" style="4"/>
    <col min="13570" max="13571" width="0" style="4" hidden="1" customWidth="1"/>
    <col min="13572" max="13572" width="13.88671875" style="4" customWidth="1"/>
    <col min="13573" max="13573" width="16.88671875" style="4" bestFit="1" customWidth="1"/>
    <col min="13574" max="13574" width="18.44140625" style="4" customWidth="1"/>
    <col min="13575" max="13575" width="0" style="4" hidden="1" customWidth="1"/>
    <col min="13576" max="13576" width="12" style="4" customWidth="1"/>
    <col min="13577" max="13577" width="23.44140625" style="4" bestFit="1" customWidth="1"/>
    <col min="13578" max="13578" width="11" style="4" customWidth="1"/>
    <col min="13579" max="13579" width="11.6640625" style="4" bestFit="1" customWidth="1"/>
    <col min="13580" max="13580" width="14" style="4" bestFit="1" customWidth="1"/>
    <col min="13581" max="13581" width="12.6640625" style="4" bestFit="1" customWidth="1"/>
    <col min="13582" max="13582" width="11.44140625" style="4" bestFit="1" customWidth="1"/>
    <col min="13583" max="13825" width="9.109375" style="4"/>
    <col min="13826" max="13827" width="0" style="4" hidden="1" customWidth="1"/>
    <col min="13828" max="13828" width="13.88671875" style="4" customWidth="1"/>
    <col min="13829" max="13829" width="16.88671875" style="4" bestFit="1" customWidth="1"/>
    <col min="13830" max="13830" width="18.44140625" style="4" customWidth="1"/>
    <col min="13831" max="13831" width="0" style="4" hidden="1" customWidth="1"/>
    <col min="13832" max="13832" width="12" style="4" customWidth="1"/>
    <col min="13833" max="13833" width="23.44140625" style="4" bestFit="1" customWidth="1"/>
    <col min="13834" max="13834" width="11" style="4" customWidth="1"/>
    <col min="13835" max="13835" width="11.6640625" style="4" bestFit="1" customWidth="1"/>
    <col min="13836" max="13836" width="14" style="4" bestFit="1" customWidth="1"/>
    <col min="13837" max="13837" width="12.6640625" style="4" bestFit="1" customWidth="1"/>
    <col min="13838" max="13838" width="11.44140625" style="4" bestFit="1" customWidth="1"/>
    <col min="13839" max="14081" width="9.109375" style="4"/>
    <col min="14082" max="14083" width="0" style="4" hidden="1" customWidth="1"/>
    <col min="14084" max="14084" width="13.88671875" style="4" customWidth="1"/>
    <col min="14085" max="14085" width="16.88671875" style="4" bestFit="1" customWidth="1"/>
    <col min="14086" max="14086" width="18.44140625" style="4" customWidth="1"/>
    <col min="14087" max="14087" width="0" style="4" hidden="1" customWidth="1"/>
    <col min="14088" max="14088" width="12" style="4" customWidth="1"/>
    <col min="14089" max="14089" width="23.44140625" style="4" bestFit="1" customWidth="1"/>
    <col min="14090" max="14090" width="11" style="4" customWidth="1"/>
    <col min="14091" max="14091" width="11.6640625" style="4" bestFit="1" customWidth="1"/>
    <col min="14092" max="14092" width="14" style="4" bestFit="1" customWidth="1"/>
    <col min="14093" max="14093" width="12.6640625" style="4" bestFit="1" customWidth="1"/>
    <col min="14094" max="14094" width="11.44140625" style="4" bestFit="1" customWidth="1"/>
    <col min="14095" max="14337" width="9.109375" style="4"/>
    <col min="14338" max="14339" width="0" style="4" hidden="1" customWidth="1"/>
    <col min="14340" max="14340" width="13.88671875" style="4" customWidth="1"/>
    <col min="14341" max="14341" width="16.88671875" style="4" bestFit="1" customWidth="1"/>
    <col min="14342" max="14342" width="18.44140625" style="4" customWidth="1"/>
    <col min="14343" max="14343" width="0" style="4" hidden="1" customWidth="1"/>
    <col min="14344" max="14344" width="12" style="4" customWidth="1"/>
    <col min="14345" max="14345" width="23.44140625" style="4" bestFit="1" customWidth="1"/>
    <col min="14346" max="14346" width="11" style="4" customWidth="1"/>
    <col min="14347" max="14347" width="11.6640625" style="4" bestFit="1" customWidth="1"/>
    <col min="14348" max="14348" width="14" style="4" bestFit="1" customWidth="1"/>
    <col min="14349" max="14349" width="12.6640625" style="4" bestFit="1" customWidth="1"/>
    <col min="14350" max="14350" width="11.44140625" style="4" bestFit="1" customWidth="1"/>
    <col min="14351" max="14593" width="9.109375" style="4"/>
    <col min="14594" max="14595" width="0" style="4" hidden="1" customWidth="1"/>
    <col min="14596" max="14596" width="13.88671875" style="4" customWidth="1"/>
    <col min="14597" max="14597" width="16.88671875" style="4" bestFit="1" customWidth="1"/>
    <col min="14598" max="14598" width="18.44140625" style="4" customWidth="1"/>
    <col min="14599" max="14599" width="0" style="4" hidden="1" customWidth="1"/>
    <col min="14600" max="14600" width="12" style="4" customWidth="1"/>
    <col min="14601" max="14601" width="23.44140625" style="4" bestFit="1" customWidth="1"/>
    <col min="14602" max="14602" width="11" style="4" customWidth="1"/>
    <col min="14603" max="14603" width="11.6640625" style="4" bestFit="1" customWidth="1"/>
    <col min="14604" max="14604" width="14" style="4" bestFit="1" customWidth="1"/>
    <col min="14605" max="14605" width="12.6640625" style="4" bestFit="1" customWidth="1"/>
    <col min="14606" max="14606" width="11.44140625" style="4" bestFit="1" customWidth="1"/>
    <col min="14607" max="14849" width="9.109375" style="4"/>
    <col min="14850" max="14851" width="0" style="4" hidden="1" customWidth="1"/>
    <col min="14852" max="14852" width="13.88671875" style="4" customWidth="1"/>
    <col min="14853" max="14853" width="16.88671875" style="4" bestFit="1" customWidth="1"/>
    <col min="14854" max="14854" width="18.44140625" style="4" customWidth="1"/>
    <col min="14855" max="14855" width="0" style="4" hidden="1" customWidth="1"/>
    <col min="14856" max="14856" width="12" style="4" customWidth="1"/>
    <col min="14857" max="14857" width="23.44140625" style="4" bestFit="1" customWidth="1"/>
    <col min="14858" max="14858" width="11" style="4" customWidth="1"/>
    <col min="14859" max="14859" width="11.6640625" style="4" bestFit="1" customWidth="1"/>
    <col min="14860" max="14860" width="14" style="4" bestFit="1" customWidth="1"/>
    <col min="14861" max="14861" width="12.6640625" style="4" bestFit="1" customWidth="1"/>
    <col min="14862" max="14862" width="11.44140625" style="4" bestFit="1" customWidth="1"/>
    <col min="14863" max="15105" width="9.109375" style="4"/>
    <col min="15106" max="15107" width="0" style="4" hidden="1" customWidth="1"/>
    <col min="15108" max="15108" width="13.88671875" style="4" customWidth="1"/>
    <col min="15109" max="15109" width="16.88671875" style="4" bestFit="1" customWidth="1"/>
    <col min="15110" max="15110" width="18.44140625" style="4" customWidth="1"/>
    <col min="15111" max="15111" width="0" style="4" hidden="1" customWidth="1"/>
    <col min="15112" max="15112" width="12" style="4" customWidth="1"/>
    <col min="15113" max="15113" width="23.44140625" style="4" bestFit="1" customWidth="1"/>
    <col min="15114" max="15114" width="11" style="4" customWidth="1"/>
    <col min="15115" max="15115" width="11.6640625" style="4" bestFit="1" customWidth="1"/>
    <col min="15116" max="15116" width="14" style="4" bestFit="1" customWidth="1"/>
    <col min="15117" max="15117" width="12.6640625" style="4" bestFit="1" customWidth="1"/>
    <col min="15118" max="15118" width="11.44140625" style="4" bestFit="1" customWidth="1"/>
    <col min="15119" max="15361" width="9.109375" style="4"/>
    <col min="15362" max="15363" width="0" style="4" hidden="1" customWidth="1"/>
    <col min="15364" max="15364" width="13.88671875" style="4" customWidth="1"/>
    <col min="15365" max="15365" width="16.88671875" style="4" bestFit="1" customWidth="1"/>
    <col min="15366" max="15366" width="18.44140625" style="4" customWidth="1"/>
    <col min="15367" max="15367" width="0" style="4" hidden="1" customWidth="1"/>
    <col min="15368" max="15368" width="12" style="4" customWidth="1"/>
    <col min="15369" max="15369" width="23.44140625" style="4" bestFit="1" customWidth="1"/>
    <col min="15370" max="15370" width="11" style="4" customWidth="1"/>
    <col min="15371" max="15371" width="11.6640625" style="4" bestFit="1" customWidth="1"/>
    <col min="15372" max="15372" width="14" style="4" bestFit="1" customWidth="1"/>
    <col min="15373" max="15373" width="12.6640625" style="4" bestFit="1" customWidth="1"/>
    <col min="15374" max="15374" width="11.44140625" style="4" bestFit="1" customWidth="1"/>
    <col min="15375" max="15617" width="9.109375" style="4"/>
    <col min="15618" max="15619" width="0" style="4" hidden="1" customWidth="1"/>
    <col min="15620" max="15620" width="13.88671875" style="4" customWidth="1"/>
    <col min="15621" max="15621" width="16.88671875" style="4" bestFit="1" customWidth="1"/>
    <col min="15622" max="15622" width="18.44140625" style="4" customWidth="1"/>
    <col min="15623" max="15623" width="0" style="4" hidden="1" customWidth="1"/>
    <col min="15624" max="15624" width="12" style="4" customWidth="1"/>
    <col min="15625" max="15625" width="23.44140625" style="4" bestFit="1" customWidth="1"/>
    <col min="15626" max="15626" width="11" style="4" customWidth="1"/>
    <col min="15627" max="15627" width="11.6640625" style="4" bestFit="1" customWidth="1"/>
    <col min="15628" max="15628" width="14" style="4" bestFit="1" customWidth="1"/>
    <col min="15629" max="15629" width="12.6640625" style="4" bestFit="1" customWidth="1"/>
    <col min="15630" max="15630" width="11.44140625" style="4" bestFit="1" customWidth="1"/>
    <col min="15631" max="15873" width="9.109375" style="4"/>
    <col min="15874" max="15875" width="0" style="4" hidden="1" customWidth="1"/>
    <col min="15876" max="15876" width="13.88671875" style="4" customWidth="1"/>
    <col min="15877" max="15877" width="16.88671875" style="4" bestFit="1" customWidth="1"/>
    <col min="15878" max="15878" width="18.44140625" style="4" customWidth="1"/>
    <col min="15879" max="15879" width="0" style="4" hidden="1" customWidth="1"/>
    <col min="15880" max="15880" width="12" style="4" customWidth="1"/>
    <col min="15881" max="15881" width="23.44140625" style="4" bestFit="1" customWidth="1"/>
    <col min="15882" max="15882" width="11" style="4" customWidth="1"/>
    <col min="15883" max="15883" width="11.6640625" style="4" bestFit="1" customWidth="1"/>
    <col min="15884" max="15884" width="14" style="4" bestFit="1" customWidth="1"/>
    <col min="15885" max="15885" width="12.6640625" style="4" bestFit="1" customWidth="1"/>
    <col min="15886" max="15886" width="11.44140625" style="4" bestFit="1" customWidth="1"/>
    <col min="15887" max="16129" width="9.109375" style="4"/>
    <col min="16130" max="16131" width="0" style="4" hidden="1" customWidth="1"/>
    <col min="16132" max="16132" width="13.88671875" style="4" customWidth="1"/>
    <col min="16133" max="16133" width="16.88671875" style="4" bestFit="1" customWidth="1"/>
    <col min="16134" max="16134" width="18.44140625" style="4" customWidth="1"/>
    <col min="16135" max="16135" width="0" style="4" hidden="1" customWidth="1"/>
    <col min="16136" max="16136" width="12" style="4" customWidth="1"/>
    <col min="16137" max="16137" width="23.44140625" style="4" bestFit="1" customWidth="1"/>
    <col min="16138" max="16138" width="11" style="4" customWidth="1"/>
    <col min="16139" max="16139" width="11.6640625" style="4" bestFit="1" customWidth="1"/>
    <col min="16140" max="16140" width="14" style="4" bestFit="1" customWidth="1"/>
    <col min="16141" max="16141" width="12.6640625" style="4" bestFit="1" customWidth="1"/>
    <col min="16142" max="16142" width="11.44140625" style="4" bestFit="1" customWidth="1"/>
    <col min="16143" max="16382" width="9.109375" style="4"/>
    <col min="16383" max="16384" width="8.88671875" style="4" customWidth="1"/>
  </cols>
  <sheetData>
    <row r="1" spans="1:26" ht="14.1" customHeight="1" x14ac:dyDescent="0.3">
      <c r="A1" s="17" t="s">
        <v>6</v>
      </c>
      <c r="B1" s="17" t="s">
        <v>41</v>
      </c>
      <c r="U1" s="159" t="s">
        <v>311</v>
      </c>
    </row>
    <row r="2" spans="1:26" ht="18" x14ac:dyDescent="0.35">
      <c r="A2" s="15">
        <v>1</v>
      </c>
      <c r="B2" s="18" t="s">
        <v>42</v>
      </c>
      <c r="C2" s="5" t="s">
        <v>217</v>
      </c>
      <c r="U2" s="159" t="s">
        <v>312</v>
      </c>
    </row>
    <row r="3" spans="1:26" ht="18" x14ac:dyDescent="0.35">
      <c r="A3" s="15">
        <v>1</v>
      </c>
      <c r="B3" s="19" t="s">
        <v>43</v>
      </c>
      <c r="C3" s="5" t="s">
        <v>395</v>
      </c>
      <c r="U3" s="159" t="s">
        <v>313</v>
      </c>
    </row>
    <row r="4" spans="1:26" ht="14.1" customHeight="1" x14ac:dyDescent="0.3">
      <c r="A4" s="15"/>
      <c r="B4" s="18" t="s">
        <v>42</v>
      </c>
      <c r="U4" s="159" t="s">
        <v>314</v>
      </c>
    </row>
    <row r="5" spans="1:26" ht="14.1" customHeight="1" x14ac:dyDescent="0.3">
      <c r="A5" s="15">
        <v>1</v>
      </c>
      <c r="B5" s="20" t="s">
        <v>44</v>
      </c>
      <c r="F5" t="s">
        <v>218</v>
      </c>
      <c r="H5" s="291" t="s">
        <v>397</v>
      </c>
      <c r="I5" s="291"/>
    </row>
    <row r="6" spans="1:26" ht="14.1" customHeight="1" x14ac:dyDescent="0.3">
      <c r="A6" s="15">
        <v>2</v>
      </c>
      <c r="B6" s="15" t="s">
        <v>42</v>
      </c>
      <c r="C6" t="s">
        <v>219</v>
      </c>
      <c r="D6" t="s">
        <v>220</v>
      </c>
      <c r="E6" t="s">
        <v>221</v>
      </c>
      <c r="F6" t="s">
        <v>222</v>
      </c>
      <c r="G6" t="s">
        <v>390</v>
      </c>
      <c r="H6" s="163" t="s">
        <v>223</v>
      </c>
      <c r="I6" s="163" t="s">
        <v>224</v>
      </c>
      <c r="J6" t="s">
        <v>225</v>
      </c>
      <c r="K6" t="s">
        <v>226</v>
      </c>
      <c r="L6" t="s">
        <v>227</v>
      </c>
      <c r="M6" t="s">
        <v>228</v>
      </c>
      <c r="N6" s="107" t="s">
        <v>345</v>
      </c>
      <c r="O6" t="s">
        <v>396</v>
      </c>
      <c r="P6" t="s">
        <v>229</v>
      </c>
      <c r="Q6" t="s">
        <v>230</v>
      </c>
      <c r="R6" t="s">
        <v>231</v>
      </c>
      <c r="S6" t="s">
        <v>322</v>
      </c>
      <c r="T6" s="113" t="s">
        <v>297</v>
      </c>
      <c r="U6" s="113" t="s">
        <v>300</v>
      </c>
      <c r="V6" s="162" t="s">
        <v>298</v>
      </c>
      <c r="W6" s="162" t="s">
        <v>299</v>
      </c>
      <c r="X6" s="126" t="s">
        <v>301</v>
      </c>
      <c r="Y6" s="4" t="s">
        <v>306</v>
      </c>
      <c r="Z6" s="4" t="s">
        <v>315</v>
      </c>
    </row>
    <row r="7" spans="1:26" s="125" customFormat="1" ht="14.1" customHeight="1" x14ac:dyDescent="0.3">
      <c r="A7" s="15">
        <v>2</v>
      </c>
      <c r="B7" s="23" t="s">
        <v>44</v>
      </c>
      <c r="C7" s="124" t="s">
        <v>232</v>
      </c>
      <c r="D7" s="160" t="s">
        <v>236</v>
      </c>
      <c r="E7" s="144">
        <v>20899</v>
      </c>
      <c r="F7" s="144"/>
      <c r="G7" s="144"/>
      <c r="H7" s="124">
        <f>P7/0.2</f>
        <v>2189300</v>
      </c>
      <c r="I7" s="124">
        <f>Q7/0.2</f>
        <v>173370</v>
      </c>
      <c r="J7" s="124" t="s">
        <v>233</v>
      </c>
      <c r="K7" s="124"/>
      <c r="L7" s="124">
        <v>2020</v>
      </c>
      <c r="M7" s="127">
        <v>0.2</v>
      </c>
      <c r="N7" s="124"/>
      <c r="O7" s="124" t="s">
        <v>234</v>
      </c>
      <c r="P7" s="124">
        <v>437860</v>
      </c>
      <c r="Q7" s="124">
        <v>34674</v>
      </c>
      <c r="R7" s="124">
        <f>593528</f>
        <v>593528</v>
      </c>
      <c r="S7" s="124" t="s">
        <v>389</v>
      </c>
      <c r="T7" s="165">
        <v>0.33</v>
      </c>
      <c r="U7" s="127">
        <v>0</v>
      </c>
      <c r="V7" s="154"/>
      <c r="W7" s="128">
        <v>1</v>
      </c>
      <c r="X7" s="128">
        <f>MAX((1-SUM(T7:V7))*W7,0)</f>
        <v>0.66999999999999993</v>
      </c>
      <c r="Y7" s="145" t="s">
        <v>344</v>
      </c>
    </row>
    <row r="8" spans="1:26" s="125" customFormat="1" ht="14.1" customHeight="1" x14ac:dyDescent="0.3">
      <c r="A8" s="15">
        <v>2</v>
      </c>
      <c r="B8" s="23" t="s">
        <v>44</v>
      </c>
      <c r="C8" s="124" t="s">
        <v>235</v>
      </c>
      <c r="D8" s="124">
        <v>91196</v>
      </c>
      <c r="E8" s="124"/>
      <c r="F8" s="124"/>
      <c r="G8" s="124"/>
      <c r="H8" s="148">
        <v>26383974</v>
      </c>
      <c r="I8" s="149">
        <v>51066</v>
      </c>
      <c r="J8" s="124"/>
      <c r="K8" s="124">
        <v>2013</v>
      </c>
      <c r="L8" s="124">
        <v>2020</v>
      </c>
      <c r="M8" s="165">
        <v>0.2</v>
      </c>
      <c r="N8" s="127">
        <v>0.25</v>
      </c>
      <c r="O8" s="124" t="s">
        <v>383</v>
      </c>
      <c r="P8" s="130">
        <f>H8*X8*M8</f>
        <v>883863.12899999996</v>
      </c>
      <c r="Q8" s="146">
        <f>I8*X8*M8</f>
        <v>1710.7109999999998</v>
      </c>
      <c r="R8" s="124">
        <f>D8*D$74</f>
        <v>48649.542556880318</v>
      </c>
      <c r="S8" s="124" t="s">
        <v>323</v>
      </c>
      <c r="T8" s="165">
        <v>0.33</v>
      </c>
      <c r="U8" s="127">
        <v>0</v>
      </c>
      <c r="V8" s="154"/>
      <c r="W8" s="128">
        <v>0.25</v>
      </c>
      <c r="X8" s="128">
        <f>MAX((1-SUM(T8:V8))*W8,0)</f>
        <v>0.16749999999999998</v>
      </c>
      <c r="Y8" s="147" t="s">
        <v>307</v>
      </c>
    </row>
    <row r="9" spans="1:26" s="125" customFormat="1" ht="14.1" customHeight="1" x14ac:dyDescent="0.3">
      <c r="A9" s="15">
        <v>1</v>
      </c>
      <c r="B9" s="22" t="s">
        <v>45</v>
      </c>
      <c r="C9" s="124" t="s">
        <v>237</v>
      </c>
      <c r="D9" s="124">
        <v>25303</v>
      </c>
      <c r="E9" s="124" t="s">
        <v>236</v>
      </c>
      <c r="F9" s="124"/>
      <c r="G9" s="124">
        <f>R9/$D$81</f>
        <v>13856291.520431958</v>
      </c>
      <c r="H9" s="129">
        <f>G9*D$83/3.412</f>
        <v>3248837.4022114794</v>
      </c>
      <c r="I9" s="130">
        <f>G9*D$84/100</f>
        <v>27712.583040863919</v>
      </c>
      <c r="J9" s="124"/>
      <c r="K9" s="124"/>
      <c r="L9" s="124"/>
      <c r="M9" s="165">
        <v>0.2</v>
      </c>
      <c r="N9" s="127">
        <v>0.25</v>
      </c>
      <c r="O9" s="124" t="s">
        <v>285</v>
      </c>
      <c r="P9" s="130">
        <f>H9*X9*M9</f>
        <v>43859.304929854981</v>
      </c>
      <c r="Q9" s="146">
        <f>I9*X9*M9</f>
        <v>374.11987105166298</v>
      </c>
      <c r="R9" s="124">
        <f>D9*D74</f>
        <v>13498.172894828091</v>
      </c>
      <c r="S9" s="124" t="s">
        <v>323</v>
      </c>
      <c r="T9" s="165">
        <v>0.33</v>
      </c>
      <c r="U9" s="127">
        <v>0.4</v>
      </c>
      <c r="V9" s="154"/>
      <c r="W9" s="128">
        <v>0.25</v>
      </c>
      <c r="X9" s="128">
        <f t="shared" ref="X9:X17" si="0">MAX((1-SUM(T9:V9))*W9,0)</f>
        <v>6.7500000000000004E-2</v>
      </c>
      <c r="Y9" s="147" t="s">
        <v>309</v>
      </c>
    </row>
    <row r="10" spans="1:26" s="125" customFormat="1" ht="14.1" customHeight="1" x14ac:dyDescent="0.3">
      <c r="A10" s="15">
        <v>1</v>
      </c>
      <c r="B10" s="23" t="s">
        <v>46</v>
      </c>
      <c r="C10" s="124" t="s">
        <v>238</v>
      </c>
      <c r="D10" s="144">
        <v>2000000</v>
      </c>
      <c r="E10" s="124" t="s">
        <v>236</v>
      </c>
      <c r="F10" s="124"/>
      <c r="G10" s="124"/>
      <c r="H10" s="150">
        <f>317400000</f>
        <v>317400000</v>
      </c>
      <c r="I10" s="149">
        <f>11860000</f>
        <v>11860000</v>
      </c>
      <c r="J10" s="124"/>
      <c r="K10" s="124"/>
      <c r="L10" s="124"/>
      <c r="M10" s="165">
        <v>0.2</v>
      </c>
      <c r="N10" s="127">
        <v>0.25</v>
      </c>
      <c r="O10" s="124" t="s">
        <v>383</v>
      </c>
      <c r="P10" s="130">
        <f>H10*X10*M10</f>
        <v>9045899.9999999981</v>
      </c>
      <c r="Q10" s="146">
        <f>I10*X10*M10</f>
        <v>338010</v>
      </c>
      <c r="R10" s="124">
        <f>D10*D$74</f>
        <v>1066922.7281214157</v>
      </c>
      <c r="S10" s="124" t="s">
        <v>323</v>
      </c>
      <c r="T10" s="165">
        <v>0.33</v>
      </c>
      <c r="U10" s="127">
        <v>0.1</v>
      </c>
      <c r="V10" s="154"/>
      <c r="W10" s="128">
        <v>0.25</v>
      </c>
      <c r="X10" s="128">
        <f t="shared" si="0"/>
        <v>0.14249999999999999</v>
      </c>
      <c r="Y10" s="147" t="s">
        <v>307</v>
      </c>
    </row>
    <row r="11" spans="1:26" s="125" customFormat="1" ht="14.1" customHeight="1" x14ac:dyDescent="0.3">
      <c r="A11" s="10"/>
      <c r="B11" s="24"/>
      <c r="C11" s="124" t="s">
        <v>287</v>
      </c>
      <c r="D11" s="144">
        <f>'GHG Assumptions'!D57</f>
        <v>303911</v>
      </c>
      <c r="E11" s="124"/>
      <c r="F11" s="124"/>
      <c r="G11" s="124"/>
      <c r="H11" s="129">
        <f>H10*D11/D10*3</f>
        <v>144692027.10000002</v>
      </c>
      <c r="I11" s="130">
        <f>I10*D11/D10*3</f>
        <v>5406576.6899999995</v>
      </c>
      <c r="J11" s="124"/>
      <c r="K11" s="124"/>
      <c r="L11" s="124"/>
      <c r="M11" s="165">
        <v>0.2</v>
      </c>
      <c r="N11" s="127">
        <v>0.25</v>
      </c>
      <c r="O11" s="124" t="s">
        <v>391</v>
      </c>
      <c r="P11" s="130">
        <f>H11*X11*M11</f>
        <v>3038532.5691</v>
      </c>
      <c r="Q11" s="146">
        <f>I11*X11*M11</f>
        <v>113538.11048999998</v>
      </c>
      <c r="R11" s="124">
        <f>D11*D$74</f>
        <v>162124.77661305378</v>
      </c>
      <c r="S11" s="124" t="s">
        <v>324</v>
      </c>
      <c r="T11" s="165">
        <v>0.33</v>
      </c>
      <c r="U11" s="127">
        <v>0.25</v>
      </c>
      <c r="V11" s="154"/>
      <c r="W11" s="128">
        <v>0.25</v>
      </c>
      <c r="X11" s="128">
        <f t="shared" si="0"/>
        <v>0.10499999999999998</v>
      </c>
      <c r="Y11" s="147" t="s">
        <v>308</v>
      </c>
    </row>
    <row r="12" spans="1:26" s="156" customFormat="1" ht="14.1" customHeight="1" x14ac:dyDescent="0.3">
      <c r="A12" s="151">
        <v>2</v>
      </c>
      <c r="B12" s="152" t="s">
        <v>42</v>
      </c>
      <c r="C12" s="153" t="s">
        <v>239</v>
      </c>
      <c r="D12" s="153"/>
      <c r="E12" s="153">
        <v>1</v>
      </c>
      <c r="F12" s="153"/>
      <c r="G12" s="153"/>
      <c r="H12" s="153">
        <v>100833</v>
      </c>
      <c r="I12" s="153">
        <v>0</v>
      </c>
      <c r="J12" s="153" t="s">
        <v>240</v>
      </c>
      <c r="K12" s="153"/>
      <c r="L12" s="153"/>
      <c r="M12" s="154">
        <v>0</v>
      </c>
      <c r="N12" s="153"/>
      <c r="O12" s="153" t="s">
        <v>236</v>
      </c>
      <c r="P12" s="153">
        <v>0</v>
      </c>
      <c r="Q12" s="153">
        <v>0</v>
      </c>
      <c r="R12" s="153"/>
      <c r="S12" s="153" t="s">
        <v>323</v>
      </c>
      <c r="T12" s="154">
        <v>1</v>
      </c>
      <c r="U12" s="154">
        <v>0</v>
      </c>
      <c r="V12" s="154"/>
      <c r="W12" s="155">
        <v>0.25</v>
      </c>
      <c r="X12" s="155">
        <f t="shared" si="0"/>
        <v>0</v>
      </c>
      <c r="Y12" s="157" t="s">
        <v>236</v>
      </c>
      <c r="Z12" s="156" t="s">
        <v>316</v>
      </c>
    </row>
    <row r="13" spans="1:26" s="156" customFormat="1" ht="14.1" customHeight="1" x14ac:dyDescent="0.3">
      <c r="B13" s="158"/>
      <c r="C13" s="153" t="s">
        <v>241</v>
      </c>
      <c r="D13" s="153">
        <v>175000</v>
      </c>
      <c r="E13" s="153"/>
      <c r="F13" s="153"/>
      <c r="G13" s="153"/>
      <c r="H13" s="153"/>
      <c r="I13" s="153"/>
      <c r="J13" s="153" t="s">
        <v>242</v>
      </c>
      <c r="K13" s="153"/>
      <c r="L13" s="153"/>
      <c r="M13" s="154">
        <v>0</v>
      </c>
      <c r="N13" s="153"/>
      <c r="O13" s="153" t="s">
        <v>236</v>
      </c>
      <c r="P13" s="153">
        <v>0</v>
      </c>
      <c r="Q13" s="153">
        <v>0</v>
      </c>
      <c r="R13" s="153"/>
      <c r="S13" s="153" t="s">
        <v>325</v>
      </c>
      <c r="T13" s="154">
        <v>1</v>
      </c>
      <c r="U13" s="154">
        <v>0</v>
      </c>
      <c r="V13" s="154"/>
      <c r="W13" s="155">
        <v>0.25</v>
      </c>
      <c r="X13" s="155">
        <f t="shared" si="0"/>
        <v>0</v>
      </c>
      <c r="Y13" s="157"/>
      <c r="Z13" s="156" t="s">
        <v>317</v>
      </c>
    </row>
    <row r="14" spans="1:26" s="125" customFormat="1" ht="14.1" customHeight="1" x14ac:dyDescent="0.3">
      <c r="C14" s="124" t="s">
        <v>243</v>
      </c>
      <c r="D14" s="124"/>
      <c r="E14" s="124">
        <v>1</v>
      </c>
      <c r="F14" s="124"/>
      <c r="G14" s="124"/>
      <c r="H14" s="113">
        <v>1683736</v>
      </c>
      <c r="I14" s="124">
        <v>0</v>
      </c>
      <c r="J14" s="124"/>
      <c r="K14" s="124"/>
      <c r="L14" s="124"/>
      <c r="M14" s="165">
        <v>0.33</v>
      </c>
      <c r="N14" s="124"/>
      <c r="O14" s="124" t="s">
        <v>310</v>
      </c>
      <c r="P14" s="130">
        <f>H14*(1-T14)</f>
        <v>336747.19999999995</v>
      </c>
      <c r="Q14" s="124">
        <v>0</v>
      </c>
      <c r="R14" s="130">
        <f>2789951/2000</f>
        <v>1394.9755</v>
      </c>
      <c r="S14" s="130" t="s">
        <v>323</v>
      </c>
      <c r="T14" s="165">
        <v>0.8</v>
      </c>
      <c r="U14" s="127">
        <v>0</v>
      </c>
      <c r="V14" s="154"/>
      <c r="W14" s="128">
        <v>1</v>
      </c>
      <c r="X14" s="128">
        <f t="shared" si="0"/>
        <v>0.19999999999999996</v>
      </c>
      <c r="Y14" s="147" t="s">
        <v>310</v>
      </c>
    </row>
    <row r="15" spans="1:26" s="125" customFormat="1" ht="14.1" customHeight="1" x14ac:dyDescent="0.3">
      <c r="C15" s="124" t="s">
        <v>244</v>
      </c>
      <c r="D15" s="124">
        <v>119552</v>
      </c>
      <c r="E15" s="124">
        <f>D55</f>
        <v>17625</v>
      </c>
      <c r="F15" s="124"/>
      <c r="G15" s="124"/>
      <c r="H15" s="129">
        <f>D63</f>
        <v>247948417.35052755</v>
      </c>
      <c r="I15" s="130">
        <f>D64</f>
        <v>2115000</v>
      </c>
      <c r="J15" s="124"/>
      <c r="K15" s="124"/>
      <c r="L15" s="124">
        <v>2021</v>
      </c>
      <c r="M15" s="165">
        <v>0.2</v>
      </c>
      <c r="N15" s="127">
        <v>0.33</v>
      </c>
      <c r="O15" s="124" t="s">
        <v>393</v>
      </c>
      <c r="P15" s="130">
        <f>H15*X15*M15</f>
        <v>8306271.9812426716</v>
      </c>
      <c r="Q15" s="146">
        <f>I15*N15</f>
        <v>697950</v>
      </c>
      <c r="R15" s="130">
        <f>D15*D$74</f>
        <v>63776.372996185746</v>
      </c>
      <c r="S15" s="130" t="s">
        <v>84</v>
      </c>
      <c r="T15" s="165">
        <v>0.33</v>
      </c>
      <c r="U15" s="127">
        <v>0</v>
      </c>
      <c r="V15" s="154"/>
      <c r="W15" s="128">
        <v>0.25</v>
      </c>
      <c r="X15" s="128">
        <f t="shared" si="0"/>
        <v>0.16749999999999998</v>
      </c>
      <c r="Y15" s="147" t="s">
        <v>321</v>
      </c>
    </row>
    <row r="16" spans="1:26" s="125" customFormat="1" ht="14.1" customHeight="1" x14ac:dyDescent="0.3">
      <c r="A16" s="15">
        <v>1</v>
      </c>
      <c r="B16" s="15" t="s">
        <v>47</v>
      </c>
      <c r="C16" s="124" t="s">
        <v>245</v>
      </c>
      <c r="D16" s="124"/>
      <c r="E16" s="124">
        <v>2</v>
      </c>
      <c r="F16" s="124"/>
      <c r="G16" s="160"/>
      <c r="H16" s="160" t="s">
        <v>236</v>
      </c>
      <c r="I16" s="160" t="s">
        <v>236</v>
      </c>
      <c r="J16" s="160"/>
      <c r="K16" s="160"/>
      <c r="L16" s="160"/>
      <c r="M16" s="160" t="s">
        <v>236</v>
      </c>
      <c r="N16" s="124"/>
      <c r="O16" s="124" t="s">
        <v>310</v>
      </c>
      <c r="P16" s="124">
        <v>257844</v>
      </c>
      <c r="Q16" s="124">
        <v>2275</v>
      </c>
      <c r="R16" s="124"/>
      <c r="S16" s="124" t="s">
        <v>323</v>
      </c>
      <c r="T16" s="127">
        <v>0</v>
      </c>
      <c r="U16" s="127">
        <v>0</v>
      </c>
      <c r="V16" s="154"/>
      <c r="W16" s="128">
        <v>0.25</v>
      </c>
      <c r="X16" s="128">
        <f t="shared" si="0"/>
        <v>0.25</v>
      </c>
      <c r="Y16" s="145" t="s">
        <v>344</v>
      </c>
    </row>
    <row r="17" spans="1:25" s="125" customFormat="1" ht="14.1" customHeight="1" x14ac:dyDescent="0.3">
      <c r="A17" s="15"/>
      <c r="B17" s="10"/>
      <c r="C17" s="124" t="s">
        <v>350</v>
      </c>
      <c r="D17" s="124">
        <f>F53</f>
        <v>282000</v>
      </c>
      <c r="E17" s="124" t="s">
        <v>236</v>
      </c>
      <c r="F17" s="124"/>
      <c r="G17" s="124"/>
      <c r="H17" s="130">
        <f>H8*D17/D8</f>
        <v>81585603.184350193</v>
      </c>
      <c r="I17" s="130">
        <f>I8*D17/D8</f>
        <v>157908.37317426203</v>
      </c>
      <c r="J17" s="124"/>
      <c r="K17" s="124"/>
      <c r="L17" s="124"/>
      <c r="M17" s="165">
        <v>0.2</v>
      </c>
      <c r="N17" s="127">
        <v>0.25</v>
      </c>
      <c r="O17" s="124" t="s">
        <v>388</v>
      </c>
      <c r="P17" s="130">
        <f>H17*X17*M17</f>
        <v>2733117.7066757311</v>
      </c>
      <c r="Q17" s="146">
        <f>I17*X17*M17</f>
        <v>5289.930501337778</v>
      </c>
      <c r="R17" s="124"/>
      <c r="S17" s="124" t="s">
        <v>324</v>
      </c>
      <c r="T17" s="165">
        <v>0.33</v>
      </c>
      <c r="U17" s="127">
        <v>0</v>
      </c>
      <c r="V17" s="154"/>
      <c r="W17" s="128">
        <v>0.25</v>
      </c>
      <c r="X17" s="128">
        <f t="shared" si="0"/>
        <v>0.16749999999999998</v>
      </c>
      <c r="Y17" s="145" t="s">
        <v>309</v>
      </c>
    </row>
    <row r="18" spans="1:25" ht="14.1" customHeight="1" x14ac:dyDescent="0.3">
      <c r="A18" s="15">
        <v>1</v>
      </c>
      <c r="B18" s="18" t="s">
        <v>47</v>
      </c>
    </row>
    <row r="19" spans="1:25" s="103" customFormat="1" ht="14.1" customHeight="1" x14ac:dyDescent="0.3">
      <c r="A19" s="100"/>
      <c r="B19" s="101"/>
      <c r="C19" s="104" t="s">
        <v>394</v>
      </c>
      <c r="D19" s="102"/>
      <c r="E19" s="102"/>
      <c r="F19" s="102"/>
      <c r="G19" s="102"/>
      <c r="H19" s="102"/>
      <c r="I19" s="102"/>
      <c r="J19" s="102"/>
      <c r="K19" s="102"/>
      <c r="L19" s="102"/>
      <c r="M19" s="102"/>
      <c r="N19" s="102"/>
      <c r="O19" s="102"/>
      <c r="P19" s="102"/>
      <c r="Q19" s="102"/>
      <c r="R19" s="102"/>
      <c r="S19" s="102"/>
      <c r="T19" s="102"/>
      <c r="U19" s="102"/>
      <c r="V19" s="102"/>
    </row>
    <row r="20" spans="1:25" s="103" customFormat="1" ht="14.1" customHeight="1" x14ac:dyDescent="0.3">
      <c r="A20" s="100"/>
      <c r="B20" s="101"/>
      <c r="C20" s="102" t="s">
        <v>291</v>
      </c>
      <c r="D20" s="102"/>
      <c r="E20" s="102">
        <v>4</v>
      </c>
      <c r="F20" s="102"/>
      <c r="G20" s="102"/>
      <c r="H20" s="102"/>
      <c r="I20" s="102"/>
      <c r="J20" s="102"/>
      <c r="K20" s="102"/>
      <c r="L20" s="102"/>
      <c r="M20" s="102"/>
      <c r="N20" s="102"/>
      <c r="O20" s="102"/>
      <c r="P20" s="102">
        <f>176000*1</f>
        <v>176000</v>
      </c>
      <c r="Q20" s="102">
        <v>4000</v>
      </c>
      <c r="R20" s="102"/>
      <c r="S20" s="102"/>
      <c r="T20" s="102"/>
      <c r="U20" s="102"/>
      <c r="V20" s="102"/>
    </row>
    <row r="21" spans="1:25" s="103" customFormat="1" ht="14.1" customHeight="1" x14ac:dyDescent="0.3">
      <c r="A21" s="100"/>
      <c r="B21" s="101"/>
      <c r="C21" s="102" t="s">
        <v>292</v>
      </c>
      <c r="D21" s="102"/>
      <c r="E21" s="102">
        <v>4</v>
      </c>
      <c r="F21" s="102"/>
      <c r="G21" s="102"/>
      <c r="H21" s="102">
        <f>927752+603429+599095+320104</f>
        <v>2450380</v>
      </c>
      <c r="I21" s="102"/>
      <c r="J21" s="102"/>
      <c r="K21" s="102"/>
      <c r="L21" s="102"/>
      <c r="M21" s="102"/>
      <c r="N21" s="102"/>
      <c r="O21" s="102"/>
      <c r="P21" s="102">
        <v>729432</v>
      </c>
      <c r="Q21" s="102"/>
      <c r="R21" s="102"/>
      <c r="S21" s="102"/>
      <c r="T21" s="102"/>
      <c r="U21" s="102"/>
      <c r="V21" s="106"/>
    </row>
    <row r="22" spans="1:25" s="103" customFormat="1" ht="14.1" customHeight="1" x14ac:dyDescent="0.3">
      <c r="A22" s="100"/>
      <c r="B22" s="101"/>
      <c r="C22" s="102" t="s">
        <v>294</v>
      </c>
      <c r="D22" s="102"/>
      <c r="E22" s="102"/>
      <c r="F22" s="102"/>
      <c r="G22" s="102"/>
      <c r="H22" s="102"/>
      <c r="I22" s="102"/>
      <c r="J22" s="102"/>
      <c r="K22" s="102"/>
      <c r="L22" s="102"/>
      <c r="M22" s="102"/>
      <c r="N22" s="102"/>
      <c r="O22" s="102"/>
      <c r="P22" s="102"/>
      <c r="Q22" s="102"/>
      <c r="R22" s="102"/>
      <c r="S22" s="102"/>
      <c r="T22" s="102"/>
      <c r="U22" s="102"/>
      <c r="V22" s="102"/>
    </row>
    <row r="23" spans="1:25" s="103" customFormat="1" ht="14.1" customHeight="1" x14ac:dyDescent="0.3">
      <c r="A23" s="100"/>
      <c r="B23" s="101"/>
      <c r="C23" s="102" t="s">
        <v>295</v>
      </c>
      <c r="D23" s="102"/>
      <c r="E23" s="102"/>
      <c r="F23" s="102"/>
      <c r="G23" s="102"/>
      <c r="H23" s="102"/>
      <c r="I23" s="102"/>
      <c r="J23" s="102"/>
      <c r="K23" s="102"/>
      <c r="L23" s="102"/>
      <c r="M23" s="102"/>
      <c r="N23" s="102"/>
      <c r="O23" s="102"/>
      <c r="P23" s="102"/>
      <c r="Q23" s="102"/>
      <c r="R23" s="102"/>
      <c r="S23" s="102"/>
      <c r="T23" s="102"/>
      <c r="U23" s="102"/>
      <c r="V23" s="102"/>
    </row>
    <row r="24" spans="1:25" s="103" customFormat="1" ht="14.1" customHeight="1" x14ac:dyDescent="0.3">
      <c r="A24" s="100"/>
      <c r="B24" s="101"/>
      <c r="C24" s="102" t="s">
        <v>296</v>
      </c>
      <c r="D24" s="102"/>
      <c r="E24" s="102"/>
      <c r="F24" s="102"/>
      <c r="G24" s="102"/>
      <c r="H24" s="102"/>
      <c r="I24" s="102"/>
      <c r="J24" s="102"/>
      <c r="K24" s="102"/>
      <c r="L24" s="102"/>
      <c r="M24" s="102"/>
      <c r="N24" s="102"/>
      <c r="O24" s="102"/>
      <c r="P24" s="102"/>
      <c r="Q24" s="102"/>
      <c r="R24" s="102"/>
      <c r="S24" s="102"/>
      <c r="T24" s="102"/>
      <c r="U24" s="102"/>
      <c r="V24" s="102"/>
    </row>
    <row r="25" spans="1:25" ht="14.1" customHeight="1" x14ac:dyDescent="0.3">
      <c r="A25" s="15">
        <v>1</v>
      </c>
      <c r="B25" s="21" t="s">
        <v>48</v>
      </c>
      <c r="P25" s="1" t="s">
        <v>0</v>
      </c>
      <c r="Q25" s="1" t="s">
        <v>342</v>
      </c>
    </row>
    <row r="26" spans="1:25" ht="14.1" customHeight="1" x14ac:dyDescent="0.3">
      <c r="A26" s="15">
        <v>1</v>
      </c>
      <c r="B26" s="22" t="s">
        <v>47</v>
      </c>
      <c r="P26" s="166">
        <f>SUM(P7:P17)/1000000</f>
        <v>25.083995890948255</v>
      </c>
      <c r="Q26" s="166">
        <f>SUM(Q7:Q17)/1000000</f>
        <v>1.1938218718623894</v>
      </c>
      <c r="T26" s="4"/>
      <c r="U26" s="4"/>
      <c r="V26" s="4"/>
    </row>
    <row r="27" spans="1:25" ht="14.1" customHeight="1" x14ac:dyDescent="0.3">
      <c r="A27" s="15"/>
      <c r="B27" s="22"/>
      <c r="P27" s="96"/>
      <c r="Q27" s="96"/>
      <c r="T27" s="4"/>
      <c r="U27" s="4"/>
      <c r="V27" s="4"/>
    </row>
    <row r="28" spans="1:25" ht="14.1" customHeight="1" x14ac:dyDescent="0.3">
      <c r="A28" s="15"/>
      <c r="B28" s="22"/>
      <c r="C28" s="136" t="s">
        <v>392</v>
      </c>
      <c r="P28" s="96"/>
      <c r="Q28" s="96"/>
      <c r="T28" s="4"/>
      <c r="U28" s="4"/>
      <c r="V28" s="4"/>
    </row>
    <row r="29" spans="1:25" ht="14.1" customHeight="1" x14ac:dyDescent="0.3">
      <c r="A29" s="15"/>
      <c r="B29" s="22"/>
      <c r="C29" s="136"/>
      <c r="P29" s="96"/>
      <c r="Q29" s="96"/>
      <c r="T29" s="4"/>
      <c r="U29" s="4"/>
      <c r="V29" s="4"/>
    </row>
    <row r="30" spans="1:25" ht="14.1" customHeight="1" x14ac:dyDescent="0.3">
      <c r="A30" s="15">
        <v>1</v>
      </c>
      <c r="B30" s="23" t="s">
        <v>49</v>
      </c>
      <c r="C30" t="s">
        <v>302</v>
      </c>
      <c r="F30" s="4"/>
      <c r="G30" s="4"/>
      <c r="H30" s="4"/>
      <c r="I30" s="4"/>
      <c r="J30" s="4"/>
      <c r="K30" s="4"/>
      <c r="L30" s="4"/>
      <c r="M30" s="4"/>
      <c r="N30" s="4"/>
      <c r="O30" s="4"/>
      <c r="P30" s="4"/>
      <c r="Q30" s="4"/>
      <c r="R30" s="4"/>
      <c r="S30" s="4"/>
      <c r="T30" s="4"/>
      <c r="U30" s="4"/>
      <c r="V30" s="4"/>
    </row>
    <row r="31" spans="1:25" ht="14.1" customHeight="1" x14ac:dyDescent="0.3">
      <c r="A31" s="15">
        <v>1</v>
      </c>
      <c r="B31" s="22" t="s">
        <v>48</v>
      </c>
      <c r="C31" t="s">
        <v>303</v>
      </c>
      <c r="F31" s="4"/>
      <c r="G31" s="4"/>
      <c r="H31" s="4"/>
      <c r="I31" s="4"/>
      <c r="J31" s="4"/>
      <c r="K31" s="4"/>
      <c r="L31" s="4"/>
      <c r="M31" s="4"/>
      <c r="N31" s="4"/>
      <c r="O31" s="4"/>
      <c r="P31" s="4"/>
      <c r="Q31" s="4"/>
      <c r="R31" s="4"/>
      <c r="S31" s="4"/>
      <c r="T31" s="4"/>
      <c r="U31" s="4"/>
      <c r="V31" s="4"/>
    </row>
    <row r="32" spans="1:25" ht="14.1" customHeight="1" x14ac:dyDescent="0.3">
      <c r="A32" s="15">
        <v>1</v>
      </c>
      <c r="B32" s="23" t="s">
        <v>49</v>
      </c>
      <c r="C32" t="s">
        <v>304</v>
      </c>
      <c r="F32" s="4"/>
      <c r="G32" s="4"/>
      <c r="H32" s="4"/>
      <c r="I32" s="4"/>
      <c r="J32" s="4"/>
      <c r="K32" s="4"/>
      <c r="L32" s="4"/>
      <c r="M32" s="4"/>
      <c r="N32" s="4"/>
      <c r="O32" s="4"/>
      <c r="P32" s="4"/>
      <c r="Q32" s="4"/>
      <c r="R32" s="4"/>
      <c r="S32" s="4"/>
      <c r="T32" s="4"/>
      <c r="U32" s="4"/>
      <c r="V32" s="4"/>
    </row>
    <row r="33" spans="3:22" x14ac:dyDescent="0.3">
      <c r="C33" t="s">
        <v>305</v>
      </c>
      <c r="F33" s="4"/>
      <c r="G33" s="4"/>
      <c r="H33" s="4"/>
      <c r="I33" s="4"/>
      <c r="J33" s="4"/>
      <c r="K33" s="4"/>
      <c r="L33" s="4"/>
      <c r="M33" s="4"/>
      <c r="N33" s="4"/>
      <c r="O33" s="4"/>
      <c r="P33" s="4"/>
      <c r="Q33" s="4"/>
      <c r="R33" s="4"/>
      <c r="S33" s="4"/>
      <c r="T33" s="4"/>
      <c r="U33" s="4"/>
      <c r="V33" s="4"/>
    </row>
    <row r="34" spans="3:22" x14ac:dyDescent="0.3">
      <c r="C34" t="s">
        <v>343</v>
      </c>
      <c r="F34" s="4"/>
      <c r="G34" s="4"/>
      <c r="H34" s="4"/>
      <c r="I34" s="4"/>
      <c r="J34" s="4"/>
      <c r="K34" s="4"/>
      <c r="L34" s="4"/>
      <c r="M34" s="4"/>
      <c r="N34" s="4"/>
      <c r="O34" s="4"/>
      <c r="P34" s="4"/>
      <c r="Q34" s="4"/>
      <c r="R34" s="4"/>
      <c r="S34" s="4"/>
      <c r="T34" s="4"/>
      <c r="U34" s="4"/>
      <c r="V34" s="4"/>
    </row>
    <row r="35" spans="3:22" ht="14.1" customHeight="1" x14ac:dyDescent="0.3">
      <c r="C35" t="s">
        <v>318</v>
      </c>
      <c r="F35" s="4"/>
      <c r="G35" s="4"/>
      <c r="H35" s="4"/>
      <c r="I35" s="4"/>
      <c r="J35" s="4"/>
      <c r="K35" s="4"/>
      <c r="L35" s="4"/>
      <c r="M35" s="4"/>
      <c r="N35" s="4"/>
      <c r="O35" s="4"/>
      <c r="P35" s="4"/>
      <c r="Q35" s="4"/>
      <c r="R35" s="4"/>
      <c r="S35" s="4"/>
      <c r="T35" s="4"/>
      <c r="U35" s="4"/>
      <c r="V35" s="4"/>
    </row>
    <row r="36" spans="3:22" ht="14.1" customHeight="1" x14ac:dyDescent="0.3">
      <c r="C36" t="s">
        <v>319</v>
      </c>
      <c r="F36" s="4"/>
      <c r="G36" s="4"/>
      <c r="H36" s="4"/>
      <c r="I36" s="4"/>
      <c r="J36" s="4"/>
      <c r="K36" s="4"/>
      <c r="L36" s="4"/>
      <c r="M36" t="s">
        <v>228</v>
      </c>
      <c r="N36" s="4"/>
      <c r="O36" s="4"/>
      <c r="P36" s="4"/>
      <c r="Q36" s="4"/>
      <c r="R36" s="4"/>
      <c r="S36" s="4"/>
      <c r="T36" s="4"/>
      <c r="U36" s="4"/>
      <c r="V36" s="4"/>
    </row>
    <row r="37" spans="3:22" ht="14.1" customHeight="1" x14ac:dyDescent="0.3">
      <c r="C37" t="s">
        <v>320</v>
      </c>
      <c r="F37" s="4"/>
      <c r="G37" s="4"/>
      <c r="H37" s="4"/>
      <c r="I37" s="4"/>
      <c r="J37" s="4"/>
      <c r="K37" s="4"/>
      <c r="L37" s="4"/>
      <c r="M37" s="127">
        <v>0.2</v>
      </c>
      <c r="N37" s="4"/>
      <c r="O37" s="4"/>
      <c r="P37" s="4"/>
      <c r="Q37" s="4"/>
      <c r="R37" s="4"/>
      <c r="S37" s="4"/>
      <c r="T37" s="4"/>
      <c r="U37" s="4"/>
      <c r="V37" s="4"/>
    </row>
    <row r="38" spans="3:22" ht="14.1" customHeight="1" x14ac:dyDescent="0.3">
      <c r="F38" s="4"/>
      <c r="G38" s="4"/>
      <c r="H38" s="4"/>
      <c r="I38" s="4"/>
      <c r="J38" s="4"/>
      <c r="K38" s="4"/>
      <c r="L38" s="4"/>
      <c r="M38" s="127">
        <v>0.33</v>
      </c>
      <c r="N38" s="4"/>
      <c r="O38" s="4"/>
      <c r="P38" s="4"/>
      <c r="Q38" s="4"/>
      <c r="R38" s="4"/>
      <c r="S38" s="4"/>
      <c r="T38" s="4"/>
      <c r="U38" s="4"/>
      <c r="V38" s="4"/>
    </row>
    <row r="39" spans="3:22" ht="14.1" customHeight="1" x14ac:dyDescent="0.3">
      <c r="F39" s="4"/>
      <c r="G39" s="4"/>
      <c r="H39" s="4"/>
      <c r="I39" s="4"/>
      <c r="J39" s="4"/>
      <c r="K39" s="4"/>
      <c r="L39" s="4"/>
      <c r="M39" s="127">
        <v>0.33</v>
      </c>
      <c r="N39" s="4"/>
      <c r="O39" s="4"/>
      <c r="P39" s="4"/>
      <c r="Q39" s="4"/>
      <c r="R39" s="4"/>
      <c r="S39" s="4"/>
      <c r="T39" s="4"/>
      <c r="U39" s="4"/>
      <c r="V39" s="4"/>
    </row>
    <row r="40" spans="3:22" ht="14.1" customHeight="1" x14ac:dyDescent="0.3">
      <c r="C40" s="1" t="s">
        <v>387</v>
      </c>
      <c r="F40" s="4"/>
      <c r="G40" s="4"/>
      <c r="H40" s="4"/>
      <c r="I40" s="4"/>
      <c r="J40" s="4"/>
      <c r="K40" s="4"/>
      <c r="L40" s="4"/>
      <c r="M40" s="127">
        <v>0.33</v>
      </c>
      <c r="N40" s="4"/>
      <c r="O40" s="4"/>
      <c r="P40" s="4"/>
      <c r="Q40" s="4"/>
      <c r="R40" s="4"/>
      <c r="S40" s="4"/>
      <c r="T40" s="4"/>
      <c r="U40" s="4"/>
      <c r="V40" s="4"/>
    </row>
    <row r="41" spans="3:22" ht="14.1" customHeight="1" x14ac:dyDescent="0.3">
      <c r="C41" s="136" t="s">
        <v>375</v>
      </c>
      <c r="F41" s="4"/>
      <c r="G41" s="4"/>
      <c r="H41" s="4"/>
      <c r="I41" s="4"/>
      <c r="J41" s="4"/>
      <c r="K41" s="4"/>
      <c r="L41" s="4"/>
      <c r="M41" s="127">
        <v>0.33</v>
      </c>
      <c r="N41" s="4"/>
      <c r="O41" s="4"/>
      <c r="P41" s="4"/>
      <c r="Q41" s="4"/>
      <c r="R41" s="4"/>
      <c r="S41" s="4"/>
      <c r="T41" s="4"/>
      <c r="U41" s="4"/>
      <c r="V41" s="4"/>
    </row>
    <row r="42" spans="3:22" ht="14.1" customHeight="1" x14ac:dyDescent="0.3">
      <c r="C42" s="2" t="s">
        <v>376</v>
      </c>
      <c r="F42" s="4"/>
      <c r="G42" s="4"/>
      <c r="H42" s="4"/>
      <c r="I42" s="4"/>
      <c r="J42" s="4"/>
      <c r="K42" s="4"/>
      <c r="L42" s="4"/>
      <c r="M42" s="154">
        <v>0</v>
      </c>
      <c r="N42" s="4"/>
      <c r="O42" s="4"/>
      <c r="P42" s="4"/>
      <c r="Q42" s="4"/>
      <c r="R42" s="4"/>
      <c r="S42" s="4"/>
      <c r="T42" s="4"/>
      <c r="U42" s="4"/>
      <c r="V42" s="4"/>
    </row>
    <row r="43" spans="3:22" ht="14.1" customHeight="1" x14ac:dyDescent="0.3">
      <c r="C43" s="2" t="s">
        <v>377</v>
      </c>
      <c r="F43" s="4"/>
      <c r="G43" s="4"/>
      <c r="H43" s="4"/>
      <c r="I43" s="4"/>
      <c r="J43" s="4"/>
      <c r="K43" s="4"/>
      <c r="L43" s="4"/>
      <c r="M43" s="154">
        <v>0</v>
      </c>
      <c r="N43" s="4"/>
      <c r="O43" s="4"/>
      <c r="P43" s="4"/>
      <c r="Q43" s="4"/>
      <c r="R43" s="4"/>
      <c r="S43" s="4"/>
      <c r="T43" s="4"/>
      <c r="U43" s="4"/>
      <c r="V43" s="4"/>
    </row>
    <row r="44" spans="3:22" ht="14.1" customHeight="1" x14ac:dyDescent="0.3">
      <c r="C44" s="2" t="s">
        <v>378</v>
      </c>
      <c r="F44" s="4"/>
      <c r="G44" s="4"/>
      <c r="H44" s="4"/>
      <c r="I44" s="4"/>
      <c r="J44" s="4"/>
      <c r="K44" s="4"/>
      <c r="L44" s="4"/>
      <c r="M44" s="127">
        <v>0.53</v>
      </c>
      <c r="N44" s="4"/>
      <c r="O44" s="4"/>
      <c r="P44" s="4"/>
      <c r="Q44" s="4"/>
      <c r="R44" s="4"/>
      <c r="S44" s="4"/>
      <c r="T44" s="4"/>
      <c r="U44" s="4"/>
      <c r="V44" s="4"/>
    </row>
    <row r="45" spans="3:22" ht="14.1" customHeight="1" x14ac:dyDescent="0.3">
      <c r="C45" s="2" t="s">
        <v>379</v>
      </c>
      <c r="F45" s="4"/>
      <c r="G45" s="4"/>
      <c r="H45" s="4"/>
      <c r="I45" s="4"/>
      <c r="J45" s="4"/>
      <c r="K45" s="4"/>
      <c r="L45" s="4"/>
      <c r="M45" s="127">
        <v>0.33</v>
      </c>
      <c r="N45" s="4"/>
      <c r="O45" s="4"/>
      <c r="P45" s="4"/>
      <c r="Q45" s="4"/>
      <c r="R45" s="4"/>
      <c r="S45" s="4"/>
      <c r="T45" s="4"/>
      <c r="U45" s="4"/>
      <c r="V45" s="4"/>
    </row>
    <row r="46" spans="3:22" ht="14.1" customHeight="1" x14ac:dyDescent="0.3">
      <c r="C46" s="2"/>
      <c r="F46" s="4"/>
      <c r="G46" s="4"/>
      <c r="H46" s="4"/>
      <c r="I46" s="4"/>
      <c r="J46" s="4"/>
      <c r="K46" s="4"/>
      <c r="L46" s="4"/>
      <c r="M46" s="160" t="s">
        <v>236</v>
      </c>
      <c r="N46" s="4"/>
      <c r="O46" s="4"/>
      <c r="P46" s="4"/>
      <c r="Q46" s="4"/>
      <c r="R46" s="4"/>
      <c r="S46" s="4"/>
      <c r="T46" s="4"/>
      <c r="U46" s="4"/>
      <c r="V46" s="4"/>
    </row>
    <row r="47" spans="3:22" ht="14.1" customHeight="1" x14ac:dyDescent="0.3">
      <c r="C47" t="s">
        <v>63</v>
      </c>
      <c r="F47" s="4"/>
      <c r="G47" s="4"/>
      <c r="H47" s="4"/>
      <c r="I47" s="4"/>
      <c r="J47" s="4"/>
      <c r="K47" s="4"/>
      <c r="L47" s="4"/>
      <c r="M47" s="127">
        <v>0.33</v>
      </c>
      <c r="N47" s="4"/>
      <c r="O47" s="4"/>
      <c r="P47" s="4"/>
      <c r="Q47" s="4"/>
      <c r="R47" s="4"/>
      <c r="S47" s="4"/>
      <c r="T47" s="4"/>
      <c r="U47" s="4"/>
      <c r="V47" s="4"/>
    </row>
    <row r="48" spans="3:22" ht="14.1" customHeight="1" x14ac:dyDescent="0.3">
      <c r="C48" t="s">
        <v>326</v>
      </c>
      <c r="D48" t="s">
        <v>330</v>
      </c>
      <c r="F48" s="4"/>
      <c r="G48" s="4"/>
      <c r="H48" s="4"/>
      <c r="I48" s="4"/>
      <c r="J48" s="4"/>
      <c r="K48" s="4"/>
      <c r="L48" s="4"/>
      <c r="M48" s="4"/>
      <c r="N48" s="4"/>
      <c r="O48" s="4"/>
      <c r="P48" s="4"/>
      <c r="Q48" s="4"/>
      <c r="R48" s="4"/>
      <c r="S48" s="4"/>
      <c r="T48" s="4"/>
      <c r="U48" s="4"/>
      <c r="V48" s="4"/>
    </row>
    <row r="49" spans="1:22" ht="14.1" customHeight="1" x14ac:dyDescent="0.3">
      <c r="C49" t="s">
        <v>327</v>
      </c>
      <c r="D49">
        <v>7286</v>
      </c>
      <c r="E49" t="s">
        <v>351</v>
      </c>
      <c r="F49" s="4">
        <v>43712</v>
      </c>
      <c r="G49" s="4"/>
      <c r="H49" s="4"/>
      <c r="I49" s="4"/>
      <c r="J49" s="4"/>
      <c r="K49" s="4"/>
      <c r="L49" s="4"/>
      <c r="M49" s="4"/>
      <c r="N49" s="4"/>
      <c r="O49" s="4"/>
      <c r="P49" s="4"/>
      <c r="Q49" s="4"/>
      <c r="R49" s="4"/>
      <c r="S49" s="4"/>
      <c r="T49" s="4"/>
      <c r="U49" s="4"/>
      <c r="V49" s="4"/>
    </row>
    <row r="50" spans="1:22" ht="14.1" customHeight="1" x14ac:dyDescent="0.3">
      <c r="C50" t="s">
        <v>328</v>
      </c>
      <c r="D50">
        <v>1295</v>
      </c>
      <c r="E50" t="s">
        <v>352</v>
      </c>
      <c r="F50" s="4">
        <v>109592</v>
      </c>
      <c r="G50" s="4"/>
      <c r="H50" s="4"/>
      <c r="I50" s="4"/>
      <c r="J50" s="4"/>
      <c r="K50" s="4"/>
      <c r="L50" s="4"/>
      <c r="M50" s="4"/>
      <c r="N50" s="4"/>
      <c r="O50" s="4"/>
      <c r="P50" s="4"/>
      <c r="Q50" s="4"/>
      <c r="R50" s="4"/>
      <c r="S50" s="4"/>
      <c r="T50" s="4"/>
      <c r="U50" s="4"/>
      <c r="V50" s="4"/>
    </row>
    <row r="51" spans="1:22" ht="14.1" customHeight="1" x14ac:dyDescent="0.3">
      <c r="C51" t="s">
        <v>329</v>
      </c>
      <c r="D51">
        <v>2336</v>
      </c>
      <c r="E51" t="s">
        <v>353</v>
      </c>
      <c r="F51" s="4">
        <v>36481</v>
      </c>
      <c r="G51" s="4"/>
      <c r="H51" s="4"/>
      <c r="I51" s="4"/>
      <c r="J51" s="4"/>
      <c r="K51" s="4"/>
      <c r="L51" s="4"/>
      <c r="M51" s="4"/>
      <c r="N51" s="4"/>
      <c r="O51" s="4"/>
      <c r="P51" s="4"/>
      <c r="Q51" s="4"/>
      <c r="R51" s="4"/>
      <c r="S51" s="4"/>
      <c r="T51" s="4"/>
      <c r="U51" s="4"/>
      <c r="V51" s="4"/>
    </row>
    <row r="52" spans="1:22" ht="13.5" customHeight="1" x14ac:dyDescent="0.3">
      <c r="A52" s="15">
        <v>2</v>
      </c>
      <c r="B52" s="15" t="s">
        <v>42</v>
      </c>
      <c r="C52" t="s">
        <v>331</v>
      </c>
      <c r="D52" s="1">
        <f>SUM(D49:D51)</f>
        <v>10917</v>
      </c>
      <c r="E52" t="s">
        <v>354</v>
      </c>
      <c r="F52" s="4">
        <v>128888</v>
      </c>
      <c r="G52" s="4"/>
      <c r="H52" s="4"/>
      <c r="I52" s="4"/>
      <c r="J52" s="4"/>
      <c r="K52" s="4"/>
      <c r="L52" s="4"/>
      <c r="M52" s="4"/>
      <c r="N52" s="4"/>
      <c r="O52" s="4"/>
      <c r="P52" s="4"/>
      <c r="Q52" s="4"/>
      <c r="R52" s="4"/>
      <c r="S52" s="4"/>
      <c r="T52" s="4"/>
      <c r="U52" s="4"/>
      <c r="V52" s="4"/>
    </row>
    <row r="53" spans="1:22" ht="14.1" customHeight="1" x14ac:dyDescent="0.3">
      <c r="A53" s="15">
        <v>1</v>
      </c>
      <c r="B53" s="21" t="s">
        <v>49</v>
      </c>
      <c r="C53" t="s">
        <v>332</v>
      </c>
      <c r="D53">
        <v>282000</v>
      </c>
      <c r="F53">
        <v>282000</v>
      </c>
      <c r="G53" s="4"/>
      <c r="H53" s="4"/>
      <c r="I53" s="4"/>
      <c r="J53" s="4"/>
      <c r="K53" s="4"/>
      <c r="L53" s="4"/>
      <c r="M53" s="4"/>
      <c r="N53" s="4"/>
      <c r="O53" s="4"/>
      <c r="P53" s="4"/>
      <c r="Q53" s="4"/>
      <c r="R53" s="4"/>
      <c r="S53" s="4"/>
      <c r="T53" s="4"/>
      <c r="U53" s="4"/>
      <c r="V53" s="4"/>
    </row>
    <row r="54" spans="1:22" ht="14.1" customHeight="1" x14ac:dyDescent="0.3">
      <c r="A54" s="15">
        <v>2</v>
      </c>
      <c r="B54" s="15" t="s">
        <v>42</v>
      </c>
      <c r="C54" t="s">
        <v>341</v>
      </c>
      <c r="D54" s="1">
        <f>D53*0.25</f>
        <v>70500</v>
      </c>
      <c r="F54" s="4"/>
      <c r="G54" s="4"/>
      <c r="H54" s="4"/>
      <c r="I54" s="4"/>
      <c r="J54" s="4"/>
      <c r="K54" s="4"/>
      <c r="L54" s="4"/>
      <c r="M54" s="4"/>
      <c r="N54" s="4"/>
      <c r="O54" s="4"/>
      <c r="P54" s="4"/>
      <c r="Q54" s="4"/>
      <c r="R54" s="4"/>
      <c r="S54" s="4"/>
      <c r="T54" s="4"/>
      <c r="U54" s="4"/>
      <c r="V54" s="4"/>
    </row>
    <row r="55" spans="1:22" ht="14.1" customHeight="1" x14ac:dyDescent="0.3">
      <c r="A55" s="15">
        <v>2</v>
      </c>
      <c r="B55" s="15" t="s">
        <v>42</v>
      </c>
      <c r="C55" t="s">
        <v>380</v>
      </c>
      <c r="D55">
        <f>D54*0.25</f>
        <v>17625</v>
      </c>
      <c r="F55" s="4"/>
      <c r="G55" s="4"/>
      <c r="H55" s="4"/>
      <c r="I55" s="4"/>
      <c r="J55" s="4"/>
      <c r="K55" s="4"/>
      <c r="L55" s="4"/>
      <c r="M55" s="4"/>
      <c r="N55" s="4"/>
      <c r="O55" s="4"/>
      <c r="P55" s="4"/>
      <c r="Q55" s="4"/>
      <c r="R55" s="4"/>
      <c r="S55" s="4"/>
      <c r="T55" s="4"/>
      <c r="U55" s="4"/>
      <c r="V55" s="4"/>
    </row>
    <row r="56" spans="1:22" ht="14.1" customHeight="1" x14ac:dyDescent="0.3">
      <c r="A56" s="15">
        <v>2</v>
      </c>
      <c r="B56" s="20" t="s">
        <v>42</v>
      </c>
      <c r="C56" t="s">
        <v>333</v>
      </c>
      <c r="F56" s="4"/>
      <c r="G56" s="4"/>
      <c r="H56" s="4"/>
      <c r="I56" s="4"/>
      <c r="J56" s="4"/>
      <c r="K56" s="4"/>
      <c r="L56" s="4"/>
      <c r="M56" s="4"/>
      <c r="N56" s="4"/>
      <c r="O56" s="4"/>
      <c r="P56" s="4"/>
      <c r="Q56" s="4"/>
      <c r="R56" s="4"/>
      <c r="S56" s="4"/>
      <c r="T56" s="4"/>
      <c r="U56" s="4"/>
      <c r="V56" s="4"/>
    </row>
    <row r="57" spans="1:22" ht="14.1" customHeight="1" x14ac:dyDescent="0.3">
      <c r="A57" s="15">
        <v>1</v>
      </c>
      <c r="B57" s="23" t="s">
        <v>46</v>
      </c>
      <c r="C57">
        <f>60000000</f>
        <v>60000000</v>
      </c>
      <c r="D57" t="s">
        <v>334</v>
      </c>
      <c r="F57" s="4"/>
      <c r="G57" s="4"/>
      <c r="H57" s="4"/>
      <c r="I57" s="4"/>
      <c r="J57" s="4"/>
      <c r="K57" s="4"/>
      <c r="L57" s="4"/>
      <c r="M57" s="4"/>
      <c r="N57" s="4"/>
      <c r="O57" s="4"/>
      <c r="P57" s="4"/>
      <c r="Q57" s="4"/>
      <c r="R57" s="4"/>
      <c r="S57" s="4"/>
      <c r="T57" s="4"/>
      <c r="U57" s="4"/>
      <c r="V57" s="4"/>
    </row>
    <row r="58" spans="1:22" ht="14.1" customHeight="1" x14ac:dyDescent="0.3">
      <c r="A58" s="15">
        <v>3</v>
      </c>
      <c r="B58" s="15" t="s">
        <v>50</v>
      </c>
      <c r="C58" s="91">
        <f>C57/(1000*1583)</f>
        <v>37.90271636133923</v>
      </c>
      <c r="D58" t="s">
        <v>335</v>
      </c>
      <c r="F58" s="4"/>
      <c r="G58" s="4"/>
      <c r="H58" s="4"/>
      <c r="I58" s="4"/>
      <c r="J58" s="4"/>
      <c r="K58" s="4"/>
      <c r="L58" s="4"/>
      <c r="M58" s="4"/>
      <c r="N58" s="4"/>
      <c r="O58" s="4"/>
      <c r="P58" s="4"/>
      <c r="Q58" s="4"/>
      <c r="R58" s="4"/>
      <c r="S58" s="4"/>
      <c r="T58" s="4"/>
      <c r="U58" s="4"/>
      <c r="V58" s="4"/>
    </row>
    <row r="59" spans="1:22" ht="14.1" customHeight="1" x14ac:dyDescent="0.3">
      <c r="A59" s="15">
        <v>2</v>
      </c>
      <c r="B59" s="18" t="s">
        <v>49</v>
      </c>
      <c r="C59" s="91">
        <f>C58*0.8/3.412</f>
        <v>8.8869206005484713</v>
      </c>
      <c r="D59" t="s">
        <v>336</v>
      </c>
      <c r="F59" s="4"/>
      <c r="G59" s="4"/>
      <c r="H59" s="4"/>
      <c r="I59" s="4"/>
      <c r="J59" s="4"/>
      <c r="K59" s="4"/>
      <c r="L59" s="4"/>
      <c r="M59" s="4"/>
      <c r="N59" s="4"/>
      <c r="O59" s="4"/>
      <c r="P59" s="4"/>
      <c r="Q59" s="4"/>
      <c r="R59" s="4"/>
      <c r="S59" s="4"/>
      <c r="T59" s="4"/>
      <c r="U59" s="4"/>
      <c r="V59" s="4"/>
    </row>
    <row r="60" spans="1:22" ht="14.1" customHeight="1" x14ac:dyDescent="0.3">
      <c r="A60" s="15">
        <v>2</v>
      </c>
      <c r="B60" s="21" t="s">
        <v>51</v>
      </c>
      <c r="C60" s="91">
        <f>C58*0.2</f>
        <v>7.5805432722678461</v>
      </c>
      <c r="D60" t="s">
        <v>338</v>
      </c>
      <c r="F60" s="4"/>
      <c r="G60" s="4"/>
      <c r="H60" s="4"/>
      <c r="I60" s="4"/>
      <c r="J60" s="4"/>
      <c r="K60" s="4"/>
      <c r="L60" s="4"/>
      <c r="M60" s="4"/>
      <c r="N60" s="4"/>
      <c r="O60" s="4"/>
      <c r="P60" s="4"/>
      <c r="Q60" s="4"/>
      <c r="R60" s="4"/>
      <c r="S60" s="4"/>
      <c r="T60" s="4"/>
      <c r="U60" s="4"/>
      <c r="V60" s="4"/>
    </row>
    <row r="61" spans="1:22" ht="14.1" customHeight="1" x14ac:dyDescent="0.3">
      <c r="A61" s="15"/>
      <c r="B61" s="21"/>
      <c r="C61" t="s">
        <v>337</v>
      </c>
      <c r="D61">
        <v>1583</v>
      </c>
      <c r="E61" t="s">
        <v>339</v>
      </c>
      <c r="F61" s="4"/>
      <c r="G61" s="4"/>
      <c r="H61" s="4"/>
      <c r="I61" s="4"/>
      <c r="J61" s="4"/>
      <c r="K61" s="4"/>
      <c r="L61" s="4"/>
      <c r="M61" s="4"/>
      <c r="N61" s="4"/>
      <c r="O61" s="4"/>
      <c r="P61" s="4"/>
      <c r="Q61" s="4"/>
      <c r="R61" s="4"/>
      <c r="S61" s="4"/>
      <c r="T61" s="4"/>
      <c r="U61" s="4"/>
      <c r="V61" s="4"/>
    </row>
    <row r="62" spans="1:22" ht="14.1" customHeight="1" x14ac:dyDescent="0.3">
      <c r="A62" s="15">
        <v>1</v>
      </c>
      <c r="B62" s="15" t="s">
        <v>52</v>
      </c>
      <c r="C62" t="s">
        <v>222</v>
      </c>
      <c r="D62">
        <f>D55*D61</f>
        <v>27900375</v>
      </c>
      <c r="E62" t="s">
        <v>339</v>
      </c>
      <c r="F62" s="4"/>
      <c r="G62" s="4"/>
      <c r="H62" s="4"/>
      <c r="I62" s="4"/>
      <c r="J62" s="4"/>
      <c r="K62" s="4"/>
      <c r="L62" s="4"/>
      <c r="M62" s="4"/>
      <c r="N62" s="4"/>
      <c r="O62" s="4"/>
      <c r="P62" s="4"/>
      <c r="Q62" s="4"/>
      <c r="R62" s="4"/>
      <c r="S62" s="4"/>
      <c r="T62" s="4"/>
      <c r="U62" s="4"/>
      <c r="V62" s="4"/>
    </row>
    <row r="63" spans="1:22" ht="14.1" customHeight="1" x14ac:dyDescent="0.3">
      <c r="A63" s="15">
        <v>1</v>
      </c>
      <c r="B63" s="137" t="s">
        <v>49</v>
      </c>
      <c r="C63" s="138" t="s">
        <v>381</v>
      </c>
      <c r="D63" s="139">
        <f>C59*D62</f>
        <v>247948417.35052755</v>
      </c>
      <c r="E63" s="140" t="s">
        <v>290</v>
      </c>
      <c r="F63" s="4">
        <f>D63/1000000</f>
        <v>247.94841735052756</v>
      </c>
      <c r="G63" s="4"/>
      <c r="H63" s="4"/>
      <c r="I63" s="4"/>
      <c r="J63" s="4"/>
      <c r="K63" s="4"/>
      <c r="L63" s="4"/>
      <c r="M63" s="4"/>
      <c r="N63" s="4"/>
      <c r="O63" s="4"/>
      <c r="P63" s="4"/>
      <c r="Q63" s="4"/>
      <c r="R63" s="4"/>
      <c r="S63" s="4"/>
      <c r="T63" s="4"/>
      <c r="U63" s="4"/>
      <c r="V63" s="4"/>
    </row>
    <row r="64" spans="1:22" ht="14.1" customHeight="1" x14ac:dyDescent="0.3">
      <c r="C64" s="141" t="s">
        <v>382</v>
      </c>
      <c r="D64" s="142">
        <f>C60*D62/100</f>
        <v>2115000</v>
      </c>
      <c r="E64" s="143" t="s">
        <v>340</v>
      </c>
      <c r="F64" s="4"/>
      <c r="G64" s="4"/>
      <c r="H64" s="4"/>
      <c r="I64" s="4"/>
      <c r="J64" s="4"/>
      <c r="K64" s="4"/>
      <c r="L64" s="4"/>
      <c r="M64" s="4"/>
      <c r="N64" s="4"/>
      <c r="O64" s="4"/>
      <c r="P64" s="4"/>
      <c r="Q64" s="4"/>
      <c r="R64" s="4"/>
      <c r="S64" s="4"/>
      <c r="T64" s="4"/>
      <c r="U64" s="4"/>
      <c r="V64" s="4"/>
    </row>
    <row r="65" spans="1:22" ht="14.1" customHeight="1" x14ac:dyDescent="0.3">
      <c r="C65" s="4"/>
      <c r="D65" s="4"/>
      <c r="E65" s="4"/>
      <c r="F65" s="4"/>
      <c r="G65" s="4"/>
      <c r="H65" s="4"/>
      <c r="I65" s="4"/>
      <c r="J65" s="4"/>
      <c r="K65" s="4"/>
      <c r="L65" s="4"/>
      <c r="M65" s="4"/>
      <c r="N65" s="4"/>
      <c r="O65" s="4"/>
      <c r="P65" s="4"/>
      <c r="Q65" s="4"/>
      <c r="R65" s="4"/>
      <c r="S65" s="4"/>
      <c r="T65" s="4"/>
      <c r="U65" s="4"/>
      <c r="V65" s="4"/>
    </row>
    <row r="66" spans="1:22" ht="14.1" customHeight="1" x14ac:dyDescent="0.3">
      <c r="C66" s="4"/>
      <c r="D66" s="4"/>
      <c r="E66" s="4"/>
      <c r="F66" s="4"/>
      <c r="G66" s="4"/>
      <c r="H66" s="4"/>
      <c r="I66" s="4"/>
      <c r="J66" s="4"/>
      <c r="K66" s="4"/>
      <c r="L66" s="4"/>
      <c r="M66" s="4"/>
      <c r="N66" s="4"/>
      <c r="O66" s="4"/>
      <c r="P66" s="4"/>
      <c r="Q66" s="4"/>
      <c r="R66" s="4"/>
      <c r="S66" s="4"/>
      <c r="T66" s="4"/>
      <c r="U66" s="4"/>
      <c r="V66" s="4"/>
    </row>
    <row r="67" spans="1:22" ht="14.1" customHeight="1" x14ac:dyDescent="0.3">
      <c r="A67" s="15">
        <v>1</v>
      </c>
      <c r="B67" s="21" t="s">
        <v>53</v>
      </c>
      <c r="C67" s="4"/>
      <c r="D67" s="4"/>
      <c r="E67" s="4"/>
      <c r="F67" s="4"/>
      <c r="G67" s="4"/>
      <c r="H67" s="4"/>
      <c r="I67" s="4"/>
      <c r="J67" s="4"/>
      <c r="K67" s="4"/>
      <c r="L67" s="4"/>
      <c r="M67" s="4"/>
      <c r="N67" s="4"/>
      <c r="O67" s="4"/>
      <c r="P67" s="4"/>
      <c r="Q67" s="4"/>
      <c r="R67" s="4"/>
      <c r="S67" s="4"/>
      <c r="T67" s="4"/>
      <c r="U67" s="4"/>
      <c r="V67" s="4"/>
    </row>
    <row r="68" spans="1:22" ht="14.1" customHeight="1" x14ac:dyDescent="0.3">
      <c r="A68" s="15">
        <v>1</v>
      </c>
      <c r="B68" s="21" t="s">
        <v>44</v>
      </c>
      <c r="R68" s="4"/>
      <c r="S68" s="4"/>
      <c r="T68" s="4"/>
      <c r="U68" s="4"/>
      <c r="V68" s="4"/>
    </row>
    <row r="69" spans="1:22" ht="14.1" customHeight="1" x14ac:dyDescent="0.3">
      <c r="A69" s="15">
        <v>2</v>
      </c>
      <c r="B69" s="15" t="s">
        <v>48</v>
      </c>
      <c r="R69" s="4"/>
      <c r="S69" s="4"/>
      <c r="T69" s="4"/>
      <c r="U69" s="4"/>
      <c r="V69" s="4"/>
    </row>
    <row r="70" spans="1:22" ht="14.1" customHeight="1" x14ac:dyDescent="0.3">
      <c r="A70" s="15">
        <v>1</v>
      </c>
      <c r="B70" s="15" t="s">
        <v>44</v>
      </c>
      <c r="C70" s="1" t="s">
        <v>386</v>
      </c>
    </row>
    <row r="71" spans="1:22" ht="14.1" customHeight="1" x14ac:dyDescent="0.3">
      <c r="A71" s="15">
        <v>1</v>
      </c>
      <c r="B71" s="15" t="s">
        <v>42</v>
      </c>
      <c r="C71" t="s">
        <v>384</v>
      </c>
    </row>
    <row r="72" spans="1:22" ht="14.1" customHeight="1" x14ac:dyDescent="0.3">
      <c r="A72" s="10"/>
      <c r="B72" s="10"/>
      <c r="C72" t="s">
        <v>385</v>
      </c>
    </row>
    <row r="73" spans="1:22" ht="14.1" customHeight="1" x14ac:dyDescent="0.3"/>
    <row r="74" spans="1:22" ht="14.1" customHeight="1" x14ac:dyDescent="0.3">
      <c r="C74" s="2" t="s">
        <v>268</v>
      </c>
      <c r="D74" s="112">
        <f>'GHG Assumptions'!F32</f>
        <v>0.53346136406070788</v>
      </c>
      <c r="E74" s="113" t="s">
        <v>269</v>
      </c>
      <c r="F74" s="114"/>
      <c r="G74" s="2"/>
      <c r="H74" s="2"/>
      <c r="I74" s="2"/>
    </row>
    <row r="75" spans="1:22" ht="14.1" customHeight="1" x14ac:dyDescent="0.3">
      <c r="C75" s="2"/>
      <c r="D75" s="2"/>
      <c r="E75" s="2"/>
      <c r="F75" s="2"/>
      <c r="G75" s="2"/>
      <c r="H75" s="2"/>
      <c r="I75" s="2"/>
    </row>
    <row r="76" spans="1:22" ht="14.1" customHeight="1" x14ac:dyDescent="0.3">
      <c r="A76" s="15">
        <v>2</v>
      </c>
      <c r="B76" s="21" t="s">
        <v>48</v>
      </c>
      <c r="C76" s="2" t="s">
        <v>270</v>
      </c>
      <c r="D76" s="2">
        <v>353</v>
      </c>
      <c r="E76" s="2" t="s">
        <v>277</v>
      </c>
      <c r="F76" s="2"/>
      <c r="G76" s="2"/>
      <c r="H76" s="115">
        <v>1000000</v>
      </c>
      <c r="I76" s="2" t="s">
        <v>290</v>
      </c>
    </row>
    <row r="77" spans="1:22" ht="14.1" customHeight="1" x14ac:dyDescent="0.3">
      <c r="A77" s="25">
        <v>2</v>
      </c>
      <c r="B77" s="18" t="s">
        <v>49</v>
      </c>
      <c r="C77" s="2" t="s">
        <v>271</v>
      </c>
      <c r="D77" s="2">
        <v>5303</v>
      </c>
      <c r="E77" s="2" t="s">
        <v>273</v>
      </c>
      <c r="F77" s="2"/>
      <c r="G77" s="2"/>
      <c r="H77" s="115">
        <v>1000000</v>
      </c>
      <c r="I77" s="2" t="s">
        <v>289</v>
      </c>
    </row>
    <row r="78" spans="1:22" ht="14.1" customHeight="1" x14ac:dyDescent="0.3">
      <c r="A78" s="15">
        <v>1</v>
      </c>
      <c r="B78" s="15" t="s">
        <v>48</v>
      </c>
      <c r="C78" s="2"/>
      <c r="D78" s="2"/>
      <c r="E78" s="2"/>
      <c r="F78" s="2"/>
      <c r="G78" s="2"/>
      <c r="H78" s="2"/>
      <c r="I78" s="2"/>
    </row>
    <row r="79" spans="1:22" ht="14.1" customHeight="1" x14ac:dyDescent="0.3">
      <c r="A79" s="15">
        <v>1</v>
      </c>
      <c r="B79" s="15" t="s">
        <v>49</v>
      </c>
      <c r="C79" s="2" t="s">
        <v>278</v>
      </c>
      <c r="D79" s="2">
        <f>D76*3.412</f>
        <v>1204.4359999999999</v>
      </c>
      <c r="E79" s="2"/>
      <c r="F79" s="2"/>
      <c r="G79" s="2"/>
      <c r="H79" s="2"/>
      <c r="I79" s="2"/>
    </row>
    <row r="80" spans="1:22" ht="14.1" customHeight="1" x14ac:dyDescent="0.3">
      <c r="A80" s="15">
        <v>2</v>
      </c>
      <c r="B80" s="21" t="s">
        <v>53</v>
      </c>
      <c r="C80" s="2" t="s">
        <v>279</v>
      </c>
      <c r="D80" s="2">
        <f>D77/100</f>
        <v>53.03</v>
      </c>
      <c r="E80" s="2"/>
      <c r="F80" s="2"/>
      <c r="G80" s="2"/>
      <c r="H80" s="2"/>
      <c r="I80" s="2"/>
    </row>
    <row r="81" spans="1:9" ht="14.1" customHeight="1" x14ac:dyDescent="0.3">
      <c r="A81" s="15">
        <v>2</v>
      </c>
      <c r="B81" s="20" t="s">
        <v>52</v>
      </c>
      <c r="C81" s="2" t="s">
        <v>280</v>
      </c>
      <c r="D81" s="2">
        <f>(D79*D83+D80*D84)/1000000</f>
        <v>9.7415480000000003E-4</v>
      </c>
      <c r="E81" s="2" t="s">
        <v>281</v>
      </c>
      <c r="F81" s="2"/>
      <c r="G81" s="2"/>
      <c r="H81" s="2"/>
      <c r="I81" s="2"/>
    </row>
    <row r="82" spans="1:9" ht="14.1" customHeight="1" x14ac:dyDescent="0.3">
      <c r="A82" s="15">
        <v>2</v>
      </c>
      <c r="B82" s="15" t="s">
        <v>52</v>
      </c>
      <c r="C82" s="2"/>
      <c r="D82" s="2"/>
      <c r="E82" s="2"/>
      <c r="F82" s="2"/>
      <c r="G82" s="2"/>
      <c r="H82" s="2"/>
      <c r="I82" s="2"/>
    </row>
    <row r="83" spans="1:9" ht="14.1" customHeight="1" x14ac:dyDescent="0.3">
      <c r="A83" s="15">
        <v>2</v>
      </c>
      <c r="B83" s="21" t="s">
        <v>45</v>
      </c>
      <c r="C83" s="2" t="s">
        <v>274</v>
      </c>
      <c r="D83" s="116">
        <v>0.8</v>
      </c>
      <c r="E83" s="2" t="s">
        <v>275</v>
      </c>
      <c r="F83" s="2"/>
      <c r="G83" s="2"/>
      <c r="H83" s="2"/>
      <c r="I83" s="2"/>
    </row>
    <row r="84" spans="1:9" ht="14.1" customHeight="1" x14ac:dyDescent="0.3">
      <c r="A84" s="15">
        <v>1</v>
      </c>
      <c r="B84" s="15" t="s">
        <v>51</v>
      </c>
      <c r="C84" s="2" t="s">
        <v>276</v>
      </c>
      <c r="D84" s="116">
        <v>0.2</v>
      </c>
      <c r="E84" s="2" t="s">
        <v>275</v>
      </c>
      <c r="F84" s="2"/>
      <c r="G84" s="2"/>
      <c r="H84" s="2"/>
      <c r="I84" s="2"/>
    </row>
    <row r="85" spans="1:9" ht="14.1" customHeight="1" x14ac:dyDescent="0.3"/>
    <row r="86" spans="1:9" ht="14.1" customHeight="1" x14ac:dyDescent="0.3"/>
    <row r="87" spans="1:9" ht="14.1" customHeight="1" x14ac:dyDescent="0.3"/>
    <row r="88" spans="1:9" ht="14.1" customHeight="1" x14ac:dyDescent="0.3">
      <c r="A88" s="15">
        <v>1</v>
      </c>
      <c r="B88" s="15" t="s">
        <v>47</v>
      </c>
    </row>
    <row r="89" spans="1:9" ht="14.1" customHeight="1" x14ac:dyDescent="0.3">
      <c r="A89" s="15">
        <v>1</v>
      </c>
      <c r="B89" s="18" t="s">
        <v>47</v>
      </c>
    </row>
    <row r="90" spans="1:9" ht="14.1" customHeight="1" x14ac:dyDescent="0.3">
      <c r="A90" s="15">
        <v>1</v>
      </c>
      <c r="B90" s="20" t="s">
        <v>43</v>
      </c>
    </row>
    <row r="91" spans="1:9" ht="14.1" customHeight="1" x14ac:dyDescent="0.3"/>
    <row r="92" spans="1:9" ht="14.1" customHeight="1" x14ac:dyDescent="0.3"/>
    <row r="93" spans="1:9" ht="14.1" customHeight="1" x14ac:dyDescent="0.3"/>
    <row r="94" spans="1:9" ht="14.1" customHeight="1" x14ac:dyDescent="0.3">
      <c r="A94" s="15">
        <v>1</v>
      </c>
      <c r="B94" s="22" t="s">
        <v>53</v>
      </c>
    </row>
    <row r="95" spans="1:9" ht="14.1" customHeight="1" x14ac:dyDescent="0.3">
      <c r="A95" s="26">
        <v>1</v>
      </c>
      <c r="B95" s="27" t="s">
        <v>44</v>
      </c>
    </row>
    <row r="96" spans="1:9" ht="14.1" customHeight="1" x14ac:dyDescent="0.3">
      <c r="A96" s="26">
        <v>2</v>
      </c>
      <c r="B96" s="28" t="s">
        <v>43</v>
      </c>
    </row>
    <row r="97" spans="1:2" ht="14.1" customHeight="1" x14ac:dyDescent="0.3">
      <c r="A97" s="26">
        <v>2</v>
      </c>
      <c r="B97" s="27" t="s">
        <v>49</v>
      </c>
    </row>
    <row r="98" spans="1:2" ht="14.1" customHeight="1" x14ac:dyDescent="0.3">
      <c r="A98" s="26">
        <v>1</v>
      </c>
      <c r="B98" s="29" t="s">
        <v>42</v>
      </c>
    </row>
    <row r="99" spans="1:2" ht="14.1" customHeight="1" x14ac:dyDescent="0.3">
      <c r="A99" s="26">
        <v>1</v>
      </c>
      <c r="B99" s="26" t="s">
        <v>48</v>
      </c>
    </row>
    <row r="100" spans="1:2" ht="14.1" customHeight="1" x14ac:dyDescent="0.3">
      <c r="A100" s="31"/>
      <c r="B100" s="31"/>
    </row>
    <row r="101" spans="1:2" ht="14.1" customHeight="1" x14ac:dyDescent="0.3">
      <c r="A101" s="26">
        <v>2</v>
      </c>
      <c r="B101" s="26" t="s">
        <v>43</v>
      </c>
    </row>
    <row r="102" spans="1:2" ht="14.1" customHeight="1" x14ac:dyDescent="0.3">
      <c r="A102" s="32">
        <v>2</v>
      </c>
      <c r="B102" s="32" t="s">
        <v>47</v>
      </c>
    </row>
    <row r="103" spans="1:2" ht="14.1" customHeight="1" x14ac:dyDescent="0.3">
      <c r="A103" s="26">
        <v>1</v>
      </c>
      <c r="B103" s="26" t="s">
        <v>47</v>
      </c>
    </row>
    <row r="104" spans="1:2" ht="14.1" customHeight="1" x14ac:dyDescent="0.3">
      <c r="A104" s="26">
        <v>1</v>
      </c>
      <c r="B104" s="28" t="s">
        <v>44</v>
      </c>
    </row>
    <row r="105" spans="1:2" ht="14.1" customHeight="1" x14ac:dyDescent="0.3">
      <c r="A105" s="26">
        <v>2</v>
      </c>
      <c r="B105" s="26" t="s">
        <v>54</v>
      </c>
    </row>
    <row r="106" spans="1:2" ht="14.1" customHeight="1" x14ac:dyDescent="0.3">
      <c r="A106" s="26">
        <v>2</v>
      </c>
      <c r="B106" s="27" t="s">
        <v>47</v>
      </c>
    </row>
    <row r="107" spans="1:2" ht="14.1" customHeight="1" x14ac:dyDescent="0.3">
      <c r="A107" s="26">
        <v>1</v>
      </c>
      <c r="B107" s="26" t="s">
        <v>44</v>
      </c>
    </row>
    <row r="108" spans="1:2" ht="14.1" customHeight="1" x14ac:dyDescent="0.3">
      <c r="A108" s="26">
        <v>1</v>
      </c>
      <c r="B108" s="26" t="s">
        <v>47</v>
      </c>
    </row>
    <row r="109" spans="1:2" ht="14.1" customHeight="1" x14ac:dyDescent="0.3">
      <c r="A109" s="26">
        <v>1</v>
      </c>
      <c r="B109" s="33" t="s">
        <v>44</v>
      </c>
    </row>
    <row r="110" spans="1:2" ht="14.1" customHeight="1" x14ac:dyDescent="0.3">
      <c r="A110" s="26">
        <v>1</v>
      </c>
      <c r="B110" s="34" t="s">
        <v>44</v>
      </c>
    </row>
    <row r="111" spans="1:2" ht="14.1" customHeight="1" x14ac:dyDescent="0.3">
      <c r="A111" s="26">
        <v>1</v>
      </c>
      <c r="B111" s="34" t="s">
        <v>45</v>
      </c>
    </row>
    <row r="112" spans="1:2" ht="14.1" customHeight="1" x14ac:dyDescent="0.3">
      <c r="A112" s="31"/>
      <c r="B112" s="31"/>
    </row>
    <row r="113" spans="1:2" ht="14.1" customHeight="1" x14ac:dyDescent="0.3">
      <c r="A113" s="26">
        <v>2</v>
      </c>
      <c r="B113" s="28" t="s">
        <v>48</v>
      </c>
    </row>
    <row r="114" spans="1:2" ht="14.1" customHeight="1" x14ac:dyDescent="0.3">
      <c r="A114" s="26">
        <v>2</v>
      </c>
      <c r="B114" s="27" t="s">
        <v>44</v>
      </c>
    </row>
    <row r="115" spans="1:2" ht="14.1" customHeight="1" x14ac:dyDescent="0.3">
      <c r="A115" s="35">
        <v>1</v>
      </c>
      <c r="B115" s="35" t="s">
        <v>44</v>
      </c>
    </row>
    <row r="116" spans="1:2" ht="14.1" customHeight="1" x14ac:dyDescent="0.3">
      <c r="A116" s="26">
        <v>1</v>
      </c>
      <c r="B116" s="26" t="s">
        <v>48</v>
      </c>
    </row>
    <row r="117" spans="1:2" ht="14.1" customHeight="1" x14ac:dyDescent="0.3">
      <c r="A117" s="31"/>
      <c r="B117" s="31"/>
    </row>
    <row r="118" spans="1:2" ht="14.1" customHeight="1" x14ac:dyDescent="0.3">
      <c r="A118" s="31"/>
      <c r="B118" s="31"/>
    </row>
    <row r="119" spans="1:2" ht="14.1" customHeight="1" x14ac:dyDescent="0.3">
      <c r="A119" s="26">
        <v>2</v>
      </c>
      <c r="B119" s="28" t="s">
        <v>44</v>
      </c>
    </row>
    <row r="120" spans="1:2" ht="14.1" customHeight="1" x14ac:dyDescent="0.3">
      <c r="A120" s="26">
        <v>2</v>
      </c>
      <c r="B120" s="26" t="s">
        <v>49</v>
      </c>
    </row>
    <row r="121" spans="1:2" ht="14.1" customHeight="1" x14ac:dyDescent="0.3">
      <c r="A121" s="26">
        <v>2</v>
      </c>
      <c r="B121" s="27" t="s">
        <v>49</v>
      </c>
    </row>
    <row r="122" spans="1:2" ht="14.1" customHeight="1" x14ac:dyDescent="0.3">
      <c r="A122" s="26">
        <v>2</v>
      </c>
      <c r="B122" s="28" t="s">
        <v>45</v>
      </c>
    </row>
    <row r="123" spans="1:2" ht="14.1" customHeight="1" x14ac:dyDescent="0.3">
      <c r="A123" s="26">
        <v>1</v>
      </c>
      <c r="B123" s="26" t="s">
        <v>53</v>
      </c>
    </row>
    <row r="124" spans="1:2" ht="14.1" customHeight="1" x14ac:dyDescent="0.3">
      <c r="A124" s="31"/>
      <c r="B124" s="31"/>
    </row>
    <row r="125" spans="1:2" ht="14.1" customHeight="1" x14ac:dyDescent="0.3">
      <c r="A125" s="26">
        <v>1</v>
      </c>
      <c r="B125" s="34" t="s">
        <v>48</v>
      </c>
    </row>
    <row r="126" spans="1:2" ht="14.1" customHeight="1" x14ac:dyDescent="0.3">
      <c r="A126" s="26">
        <v>1</v>
      </c>
      <c r="B126" s="33" t="s">
        <v>42</v>
      </c>
    </row>
    <row r="127" spans="1:2" ht="14.1" customHeight="1" x14ac:dyDescent="0.3">
      <c r="A127" s="31"/>
      <c r="B127" s="31"/>
    </row>
    <row r="128" spans="1:2" ht="14.1" customHeight="1" x14ac:dyDescent="0.3">
      <c r="A128" s="26">
        <v>1</v>
      </c>
      <c r="B128" s="28" t="s">
        <v>53</v>
      </c>
    </row>
    <row r="129" spans="1:2" ht="14.1" customHeight="1" x14ac:dyDescent="0.3">
      <c r="A129" s="35">
        <v>1</v>
      </c>
      <c r="B129" s="36" t="s">
        <v>42</v>
      </c>
    </row>
    <row r="130" spans="1:2" ht="14.1" customHeight="1" x14ac:dyDescent="0.3">
      <c r="A130" s="26">
        <v>1</v>
      </c>
      <c r="B130" s="34" t="s">
        <v>42</v>
      </c>
    </row>
    <row r="131" spans="1:2" ht="14.1" customHeight="1" x14ac:dyDescent="0.3">
      <c r="A131" s="26">
        <v>1</v>
      </c>
      <c r="B131" s="34" t="s">
        <v>55</v>
      </c>
    </row>
    <row r="132" spans="1:2" ht="14.1" customHeight="1" x14ac:dyDescent="0.3">
      <c r="A132" s="26">
        <v>1</v>
      </c>
      <c r="B132" s="26" t="s">
        <v>50</v>
      </c>
    </row>
    <row r="133" spans="1:2" ht="14.1" customHeight="1" x14ac:dyDescent="0.3">
      <c r="A133" s="26">
        <v>1</v>
      </c>
      <c r="B133" s="26" t="s">
        <v>50</v>
      </c>
    </row>
    <row r="134" spans="1:2" ht="14.1" customHeight="1" x14ac:dyDescent="0.3">
      <c r="A134" s="26">
        <v>1</v>
      </c>
      <c r="B134" s="26" t="s">
        <v>50</v>
      </c>
    </row>
    <row r="135" spans="1:2" ht="14.1" customHeight="1" x14ac:dyDescent="0.3">
      <c r="A135" s="26">
        <v>1</v>
      </c>
      <c r="B135" s="26" t="s">
        <v>50</v>
      </c>
    </row>
    <row r="136" spans="1:2" ht="14.1" customHeight="1" x14ac:dyDescent="0.3">
      <c r="A136" s="26">
        <v>1</v>
      </c>
      <c r="B136" s="26" t="s">
        <v>50</v>
      </c>
    </row>
    <row r="137" spans="1:2" ht="14.1" customHeight="1" x14ac:dyDescent="0.3">
      <c r="A137" s="26">
        <v>1</v>
      </c>
      <c r="B137" s="26" t="s">
        <v>50</v>
      </c>
    </row>
    <row r="138" spans="1:2" ht="45" customHeight="1" x14ac:dyDescent="0.3">
      <c r="A138" s="26">
        <v>1</v>
      </c>
      <c r="B138" s="26" t="s">
        <v>50</v>
      </c>
    </row>
    <row r="139" spans="1:2" ht="45" customHeight="1" x14ac:dyDescent="0.3">
      <c r="A139" s="26">
        <v>1</v>
      </c>
      <c r="B139" s="26" t="s">
        <v>50</v>
      </c>
    </row>
    <row r="140" spans="1:2" ht="45" customHeight="1" x14ac:dyDescent="0.3">
      <c r="A140" s="26">
        <v>1</v>
      </c>
      <c r="B140" s="26" t="s">
        <v>50</v>
      </c>
    </row>
    <row r="141" spans="1:2" ht="45" customHeight="1" x14ac:dyDescent="0.3">
      <c r="A141" s="26">
        <v>1</v>
      </c>
      <c r="B141" s="26" t="s">
        <v>50</v>
      </c>
    </row>
    <row r="142" spans="1:2" ht="45" customHeight="1" x14ac:dyDescent="0.3">
      <c r="A142" s="26">
        <v>1</v>
      </c>
      <c r="B142" s="26" t="s">
        <v>50</v>
      </c>
    </row>
    <row r="143" spans="1:2" ht="45" customHeight="1" x14ac:dyDescent="0.3">
      <c r="A143" s="26">
        <v>1</v>
      </c>
      <c r="B143" s="27" t="s">
        <v>54</v>
      </c>
    </row>
    <row r="144" spans="1:2" ht="45" customHeight="1" x14ac:dyDescent="0.3">
      <c r="A144" s="26">
        <v>1</v>
      </c>
      <c r="B144" s="28" t="s">
        <v>48</v>
      </c>
    </row>
    <row r="145" spans="1:2" ht="45" customHeight="1" x14ac:dyDescent="0.3">
      <c r="A145" s="26">
        <v>1</v>
      </c>
      <c r="B145" s="34" t="s">
        <v>47</v>
      </c>
    </row>
    <row r="146" spans="1:2" ht="45" customHeight="1" x14ac:dyDescent="0.3">
      <c r="A146" s="37"/>
      <c r="B146" s="31"/>
    </row>
    <row r="147" spans="1:2" ht="45" customHeight="1" x14ac:dyDescent="0.3">
      <c r="A147" s="26">
        <v>1</v>
      </c>
      <c r="B147" s="27" t="s">
        <v>51</v>
      </c>
    </row>
    <row r="148" spans="1:2" ht="45" customHeight="1" x14ac:dyDescent="0.3">
      <c r="A148" s="26">
        <v>1</v>
      </c>
      <c r="B148" s="38" t="s">
        <v>54</v>
      </c>
    </row>
    <row r="149" spans="1:2" ht="45" customHeight="1" x14ac:dyDescent="0.3">
      <c r="A149" s="31"/>
      <c r="B149" s="31"/>
    </row>
    <row r="150" spans="1:2" ht="45" customHeight="1" x14ac:dyDescent="0.3">
      <c r="A150" s="26">
        <v>1</v>
      </c>
      <c r="B150" s="28" t="s">
        <v>54</v>
      </c>
    </row>
    <row r="151" spans="1:2" ht="45" customHeight="1" x14ac:dyDescent="0.3">
      <c r="A151" s="26">
        <v>2</v>
      </c>
      <c r="B151" s="27" t="s">
        <v>54</v>
      </c>
    </row>
    <row r="152" spans="1:2" ht="45" customHeight="1" x14ac:dyDescent="0.3">
      <c r="A152" s="26">
        <v>1</v>
      </c>
      <c r="B152" s="34" t="s">
        <v>48</v>
      </c>
    </row>
    <row r="153" spans="1:2" ht="45" customHeight="1" x14ac:dyDescent="0.3">
      <c r="A153" s="31"/>
      <c r="B153" s="31"/>
    </row>
    <row r="154" spans="1:2" ht="45" customHeight="1" x14ac:dyDescent="0.3">
      <c r="A154" s="26">
        <v>2</v>
      </c>
      <c r="B154" s="28" t="s">
        <v>48</v>
      </c>
    </row>
    <row r="155" spans="1:2" ht="45" customHeight="1" x14ac:dyDescent="0.3">
      <c r="A155" s="26">
        <v>1</v>
      </c>
      <c r="B155" s="33" t="s">
        <v>48</v>
      </c>
    </row>
    <row r="156" spans="1:2" ht="45" customHeight="1" x14ac:dyDescent="0.3">
      <c r="A156" s="31"/>
      <c r="B156" s="31"/>
    </row>
    <row r="157" spans="1:2" ht="45" customHeight="1" x14ac:dyDescent="0.3">
      <c r="A157" s="26">
        <v>1</v>
      </c>
      <c r="B157" s="28" t="s">
        <v>53</v>
      </c>
    </row>
    <row r="158" spans="1:2" ht="45" customHeight="1" x14ac:dyDescent="0.3">
      <c r="A158" s="26">
        <v>2</v>
      </c>
      <c r="B158" s="28" t="s">
        <v>53</v>
      </c>
    </row>
    <row r="159" spans="1:2" ht="45" customHeight="1" x14ac:dyDescent="0.3">
      <c r="A159" s="26">
        <v>1</v>
      </c>
      <c r="B159" s="33" t="s">
        <v>45</v>
      </c>
    </row>
    <row r="160" spans="1:2" ht="45" customHeight="1" x14ac:dyDescent="0.3">
      <c r="A160" s="26">
        <v>1</v>
      </c>
      <c r="B160" s="33" t="s">
        <v>45</v>
      </c>
    </row>
    <row r="161" spans="1:2" ht="45" customHeight="1" x14ac:dyDescent="0.3">
      <c r="A161" s="30" t="s">
        <v>56</v>
      </c>
      <c r="B161" s="30" t="s">
        <v>56</v>
      </c>
    </row>
    <row r="162" spans="1:2" ht="45" customHeight="1" x14ac:dyDescent="0.3">
      <c r="A162" s="31"/>
      <c r="B162" s="31"/>
    </row>
    <row r="163" spans="1:2" ht="45" customHeight="1" x14ac:dyDescent="0.3">
      <c r="A163" s="31"/>
      <c r="B163" s="31"/>
    </row>
    <row r="164" spans="1:2" ht="45" customHeight="1" x14ac:dyDescent="0.3">
      <c r="A164" s="31"/>
      <c r="B164" s="31"/>
    </row>
    <row r="165" spans="1:2" ht="45" customHeight="1" x14ac:dyDescent="0.3">
      <c r="A165" s="31"/>
      <c r="B165" s="31"/>
    </row>
    <row r="166" spans="1:2" ht="45" customHeight="1" x14ac:dyDescent="0.3">
      <c r="A166" s="26">
        <v>1</v>
      </c>
      <c r="B166" s="26" t="s">
        <v>46</v>
      </c>
    </row>
    <row r="167" spans="1:2" ht="45" customHeight="1" x14ac:dyDescent="0.3">
      <c r="A167" s="26">
        <v>2</v>
      </c>
      <c r="B167" s="27" t="s">
        <v>51</v>
      </c>
    </row>
    <row r="168" spans="1:2" ht="45" customHeight="1" x14ac:dyDescent="0.3">
      <c r="A168" s="26">
        <v>1</v>
      </c>
      <c r="B168" s="34" t="s">
        <v>47</v>
      </c>
    </row>
    <row r="169" spans="1:2" ht="45" customHeight="1" x14ac:dyDescent="0.3">
      <c r="A169" s="31"/>
      <c r="B169" s="31"/>
    </row>
    <row r="170" spans="1:2" ht="45" customHeight="1" x14ac:dyDescent="0.3">
      <c r="A170" s="31"/>
      <c r="B170" s="31"/>
    </row>
    <row r="171" spans="1:2" ht="45" customHeight="1" x14ac:dyDescent="0.3">
      <c r="A171" s="31"/>
      <c r="B171" s="31"/>
    </row>
    <row r="172" spans="1:2" ht="45" customHeight="1" x14ac:dyDescent="0.3">
      <c r="A172" s="26">
        <v>2</v>
      </c>
      <c r="B172" s="28" t="s">
        <v>42</v>
      </c>
    </row>
    <row r="173" spans="1:2" ht="45" customHeight="1" x14ac:dyDescent="0.3">
      <c r="A173" s="26">
        <v>1</v>
      </c>
      <c r="B173" s="28" t="s">
        <v>44</v>
      </c>
    </row>
    <row r="174" spans="1:2" ht="45" customHeight="1" x14ac:dyDescent="0.3">
      <c r="A174" s="26">
        <v>1</v>
      </c>
      <c r="B174" s="26" t="s">
        <v>53</v>
      </c>
    </row>
    <row r="175" spans="1:2" ht="45" customHeight="1" x14ac:dyDescent="0.3">
      <c r="A175" s="31"/>
      <c r="B175" s="31"/>
    </row>
    <row r="176" spans="1:2" ht="45" customHeight="1" x14ac:dyDescent="0.3">
      <c r="A176" s="31"/>
      <c r="B176" s="31"/>
    </row>
    <row r="177" spans="1:2" ht="45" customHeight="1" x14ac:dyDescent="0.3">
      <c r="A177" s="26">
        <v>1</v>
      </c>
      <c r="B177" s="33" t="s">
        <v>42</v>
      </c>
    </row>
    <row r="178" spans="1:2" ht="45" customHeight="1" x14ac:dyDescent="0.3">
      <c r="A178" s="31"/>
      <c r="B178" s="31"/>
    </row>
  </sheetData>
  <mergeCells count="1">
    <mergeCell ref="H5:I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17-IEPR-06</Docket_x0020_Number>
    <TaxCatchAll xmlns="8eef3743-c7b3-4cbe-8837-b6e805be353c">
      <Value>152</Value>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2017-11-08 Business Meeting to Consider Adoption of SB350 EE Savings Doubling Targets</TermName>
          <TermId xmlns="http://schemas.microsoft.com/office/infopath/2007/PartnerControls">74f01be4-107e-42d8-b496-c1d5352d8635</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Z5JXHV6S7NA6-3-113410</_dlc_DocId>
    <_dlc_DocIdUrl xmlns="8eef3743-c7b3-4cbe-8837-b6e805be353c">
      <Url>http://efilingspinternal/_layouts/DocIdRedir.aspx?ID=Z5JXHV6S7NA6-3-113410</Url>
      <Description>Z5JXHV6S7NA6-3-113410</Description>
    </_dlc_DocIdUrl>
  </documentManagement>
</p:properties>
</file>

<file path=customXml/itemProps1.xml><?xml version="1.0" encoding="utf-8"?>
<ds:datastoreItem xmlns:ds="http://schemas.openxmlformats.org/officeDocument/2006/customXml" ds:itemID="{759BF728-F81D-4EF3-8A32-DBFC4DF0CB15}"/>
</file>

<file path=customXml/itemProps2.xml><?xml version="1.0" encoding="utf-8"?>
<ds:datastoreItem xmlns:ds="http://schemas.openxmlformats.org/officeDocument/2006/customXml" ds:itemID="{A68CBA51-303F-4D68-B695-6B5816E2BEF5}"/>
</file>

<file path=customXml/itemProps3.xml><?xml version="1.0" encoding="utf-8"?>
<ds:datastoreItem xmlns:ds="http://schemas.openxmlformats.org/officeDocument/2006/customXml" ds:itemID="{2F134538-AF3A-4867-A52D-A7ED823180C3}"/>
</file>

<file path=customXml/itemProps4.xml><?xml version="1.0" encoding="utf-8"?>
<ds:datastoreItem xmlns:ds="http://schemas.openxmlformats.org/officeDocument/2006/customXml" ds:itemID="{F5A774AD-8ABB-471B-BC07-253CC492AD7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11</vt:i4>
      </vt:variant>
      <vt:variant>
        <vt:lpstr>Charts</vt:lpstr>
      </vt:variant>
      <vt:variant>
        <vt:i4>2</vt:i4>
      </vt:variant>
      <vt:variant>
        <vt:lpstr>Named Ranges</vt:lpstr>
      </vt:variant>
      <vt:variant>
        <vt:i4>15</vt:i4>
      </vt:variant>
    </vt:vector>
  </HeadingPairs>
  <TitlesOfParts>
    <vt:vector size="28" baseType="lpstr">
      <vt:lpstr>Home</vt:lpstr>
      <vt:lpstr>Program Analysis</vt:lpstr>
      <vt:lpstr>SB 350 Potential</vt:lpstr>
      <vt:lpstr>Reference</vt:lpstr>
      <vt:lpstr>Conservative</vt:lpstr>
      <vt:lpstr>Aggressive</vt:lpstr>
      <vt:lpstr>BEARS Worksheet</vt:lpstr>
      <vt:lpstr>LGC Worksheet</vt:lpstr>
      <vt:lpstr>LGC Conservative</vt:lpstr>
      <vt:lpstr>GHG Assumptions</vt:lpstr>
      <vt:lpstr>Look-up</vt:lpstr>
      <vt:lpstr>Graph (electricity)</vt:lpstr>
      <vt:lpstr>Graph (gas)</vt:lpstr>
      <vt:lpstr>'Program Analysis'!_ftn1</vt:lpstr>
      <vt:lpstr>'Program Analysis'!_ftn2</vt:lpstr>
      <vt:lpstr>'Program Analysis'!_ftn3</vt:lpstr>
      <vt:lpstr>'Program Analysis'!_ftn4</vt:lpstr>
      <vt:lpstr>'Program Analysis'!_ftnref1</vt:lpstr>
      <vt:lpstr>'Program Analysis'!_ftnref2</vt:lpstr>
      <vt:lpstr>'Program Analysis'!_ftnref3</vt:lpstr>
      <vt:lpstr>'Program Analysis'!_ftnref4</vt:lpstr>
      <vt:lpstr>ACTION_FRACTION</vt:lpstr>
      <vt:lpstr>Bldg_Sectors</vt:lpstr>
      <vt:lpstr>Non_Residential</vt:lpstr>
      <vt:lpstr>NR_BldgTypes</vt:lpstr>
      <vt:lpstr>Programs</vt:lpstr>
      <vt:lpstr>RES_BldgTypes</vt:lpstr>
      <vt:lpstr>Residential</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Workbook - Appendix A6 - Local Government Challenge</dc:title>
  <dc:creator>CEC</dc:creator>
  <cp:lastModifiedBy>Skye Lei</cp:lastModifiedBy>
  <cp:lastPrinted>2016-12-13T19:21:36Z</cp:lastPrinted>
  <dcterms:created xsi:type="dcterms:W3CDTF">2016-08-03T20:53:52Z</dcterms:created>
  <dcterms:modified xsi:type="dcterms:W3CDTF">2017-08-21T20:21:57Z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e580f6f0-eb6a-4b9c-a9c6-6f3dce531a54</vt:lpwstr>
  </property>
  <property fmtid="{D5CDD505-2E9C-101B-9397-08002B2CF9AE}" pid="4" name="Subject_x0020_Areas">
    <vt:lpwstr>152;#IEPR 2017-11-08 Business Meeting to Consider Adoption of SB350 EE Savings Doubling Targets|74f01be4-107e-42d8-b496-c1d5352d8635</vt:lpwstr>
  </property>
  <property fmtid="{D5CDD505-2E9C-101B-9397-08002B2CF9AE}" pid="5" name="_CopySource">
    <vt:lpwstr>http://efilingspinternal/PendingDocuments/17-IEPR-06/20171025T135719_Program_Workbook_A6_LGC.xlsx</vt:lpwstr>
  </property>
  <property fmtid="{D5CDD505-2E9C-101B-9397-08002B2CF9AE}" pid="6" name="Subject Areas">
    <vt:lpwstr>152;#IEPR 2017-11-08 Business Meeting to Consider Adoption of SB350 EE Savings Doubling Targets|74f01be4-107e-42d8-b496-c1d5352d8635</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2492400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