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13.xml" ContentType="application/vnd.openxmlformats-officedocument.drawingml.chart+xml"/>
  <Override PartName="/xl/worksheets/sheet3.xml" ContentType="application/vnd.openxmlformats-officedocument.spreadsheetml.worksheet+xml"/>
  <Override PartName="/xl/charts/chart12.xml" ContentType="application/vnd.openxmlformats-officedocument.drawingml.chart+xml"/>
  <Override PartName="/xl/charts/chart11.xml" ContentType="application/vnd.openxmlformats-officedocument.drawingml.char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worksheets/sheet2.xml" ContentType="application/vnd.openxmlformats-officedocument.spreadsheetml.worksheet+xml"/>
  <Override PartName="/xl/charts/chart6.xml" ContentType="application/vnd.openxmlformats-officedocument.drawingml.chart+xml"/>
  <Override PartName="/xl/worksheets/sheet1.xml" ContentType="application/vnd.openxmlformats-officedocument.spreadsheetml.worksheet+xml"/>
  <Override PartName="/xl/charts/chart4.xml" ContentType="application/vnd.openxmlformats-officedocument.drawingml.char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charts/chart5.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charts/chart3.xml" ContentType="application/vnd.openxmlformats-officedocument.drawingml.chart+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0" yWindow="456" windowWidth="25596" windowHeight="12504" tabRatio="791" firstSheet="3" activeTab="9"/>
  </bookViews>
  <sheets>
    <sheet name="Introduction" sheetId="5" r:id="rId1"/>
    <sheet name="Summary by EC" sheetId="6" r:id="rId2"/>
    <sheet name="Summary by Family" sheetId="21" r:id="rId3"/>
    <sheet name="LCC results" sheetId="25" r:id="rId4"/>
    <sheet name="LCC Sample" sheetId="1" r:id="rId5"/>
    <sheet name="Example Calculation" sheetId="19" r:id="rId6"/>
    <sheet name="Sectors and Applications" sheetId="8" r:id="rId7"/>
    <sheet name="Lifetime" sheetId="10" r:id="rId8"/>
    <sheet name="Markups &amp; Distribution Channels" sheetId="12" r:id="rId9"/>
    <sheet name="Equipment Price" sheetId="13" r:id="rId10"/>
    <sheet name="Revised Equipment Price" sheetId="26" r:id="rId11"/>
    <sheet name="Electricity Prices &amp; Trends" sheetId="14" r:id="rId12"/>
    <sheet name="Discount Rate" sheetId="15" r:id="rId13"/>
    <sheet name="Default Losses " sheetId="16" r:id="rId14"/>
  </sheets>
  <definedNames>
    <definedName name="_DuctedWt">'LCC Sample'!$AD$16</definedName>
    <definedName name="_xlnm._FilterDatabase" localSheetId="3" hidden="1">'LCC results'!$A$1:$L$877</definedName>
    <definedName name="_UnDuctedWt">'LCC Sample'!$AE$16</definedName>
    <definedName name="Axial_Housed_Emb_weight">'LCC Sample'!$AJ$44</definedName>
    <definedName name="Axial_Housed_Stdalone_weight">'LCC Sample'!$AJ$30</definedName>
    <definedName name="Axial_housed_weight">'LCC Sample'!$AJ$16</definedName>
    <definedName name="Axial_unhoused_weight">'LCC Sample'!$AK$16</definedName>
    <definedName name="CBWorkbookPriority" hidden="1">-1985642600</definedName>
    <definedName name="Centrifugal_Housed_Emb_weight">'LCC Sample'!$AL$44</definedName>
    <definedName name="Centrifugal_Housed_Stdalone_weight">'LCC Sample'!$AL$30</definedName>
    <definedName name="Centrifugal_housed_weight">'LCC Sample'!$AL$16</definedName>
    <definedName name="Centrifugal_Unh_Emb_weight">'LCC Sample'!$AM$44</definedName>
    <definedName name="Centrifugal_Unh_Stdalone_weight">'LCC Sample'!$AM$30</definedName>
    <definedName name="Centrifugal_unhoused_weight">'LCC Sample'!$AM$16</definedName>
    <definedName name="Inline_Mixed_Stdalone_weight">'LCC Sample'!$AN$30</definedName>
    <definedName name="Inline_Mixed_weight">'LCC Sample'!$AN$16</definedName>
    <definedName name="MSP_A">'Equipment Price'!$J$9</definedName>
    <definedName name="MSP_B">'Equipment Price'!$J$10</definedName>
    <definedName name="MSP_MM">'Equipment Price'!$J$8</definedName>
    <definedName name="Panel_Emb_weight">'LCC Sample'!$AK$44</definedName>
    <definedName name="Panel_Stdalone_weight">'LCC Sample'!$AK$30</definedName>
    <definedName name="PRV_Stdalone_weight">'LCC Sample'!$AP$30</definedName>
    <definedName name="PRV_weight">'LCC Sample'!$AP$16</definedName>
    <definedName name="Radial_Stdalone_weight">'LCC Sample'!$AO$30</definedName>
    <definedName name="Radial_weight">'LCC Sample'!$AO$16</definedName>
    <definedName name="RandRow" localSheetId="5">'Example Calculation'!$A$17</definedName>
  </definedNames>
  <calcPr calcId="145621" iterate="1" iterateCount="1000" concurrentCalc="0"/>
  <extLst>
    <ext xmlns:mx="http://schemas.microsoft.com/office/mac/excel/2008/main" uri="{7523E5D3-25F3-A5E0-1632-64F254C22452}">
      <mx:ArchID Flags="2"/>
    </ext>
  </extLst>
</workbook>
</file>

<file path=xl/calcChain.xml><?xml version="1.0" encoding="utf-8"?>
<calcChain xmlns="http://schemas.openxmlformats.org/spreadsheetml/2006/main">
  <c r="N20" i="26" l="1"/>
  <c r="N19" i="26"/>
  <c r="N18" i="26"/>
  <c r="N17" i="26"/>
  <c r="N16" i="26"/>
  <c r="N15" i="26"/>
  <c r="N14" i="26"/>
  <c r="Z20" i="26"/>
  <c r="Y20" i="26"/>
  <c r="X20" i="26"/>
  <c r="Z19" i="26"/>
  <c r="Y19" i="26"/>
  <c r="X19" i="26"/>
  <c r="Z18" i="26"/>
  <c r="Y18" i="26"/>
  <c r="X18" i="26"/>
  <c r="Z17" i="26"/>
  <c r="Y17" i="26"/>
  <c r="X17" i="26"/>
  <c r="Z16" i="26"/>
  <c r="Y16" i="26"/>
  <c r="X16" i="26"/>
  <c r="Z15" i="26"/>
  <c r="Y15" i="26"/>
  <c r="X15" i="26"/>
  <c r="Z14" i="26"/>
  <c r="Y14" i="26"/>
  <c r="X14" i="26"/>
  <c r="Q20" i="26"/>
  <c r="R20" i="26"/>
  <c r="V20" i="26"/>
  <c r="U20" i="26"/>
  <c r="T20" i="26"/>
  <c r="Q19" i="26"/>
  <c r="R19" i="26"/>
  <c r="V19" i="26"/>
  <c r="U19" i="26"/>
  <c r="T19" i="26"/>
  <c r="Q18" i="26"/>
  <c r="R18" i="26"/>
  <c r="V18" i="26"/>
  <c r="U18" i="26"/>
  <c r="T18" i="26"/>
  <c r="Q17" i="26"/>
  <c r="R17" i="26"/>
  <c r="V17" i="26"/>
  <c r="U17" i="26"/>
  <c r="T17" i="26"/>
  <c r="Q16" i="26"/>
  <c r="R16" i="26"/>
  <c r="V16" i="26"/>
  <c r="U16" i="26"/>
  <c r="T16" i="26"/>
  <c r="Q15" i="26"/>
  <c r="R15" i="26"/>
  <c r="V15" i="26"/>
  <c r="U15" i="26"/>
  <c r="T15" i="26"/>
  <c r="Q14" i="26"/>
  <c r="R14" i="26"/>
  <c r="V14" i="26"/>
  <c r="U14" i="26"/>
  <c r="T14" i="26"/>
  <c r="P15" i="26"/>
  <c r="P16" i="26"/>
  <c r="P17" i="26"/>
  <c r="P18" i="26"/>
  <c r="P19" i="26"/>
  <c r="P20" i="26"/>
  <c r="P14" i="26"/>
  <c r="L20" i="26"/>
  <c r="M20" i="26"/>
  <c r="L19" i="26"/>
  <c r="M19" i="26"/>
  <c r="L18" i="26"/>
  <c r="M18" i="26"/>
  <c r="L17" i="26"/>
  <c r="M17" i="26"/>
  <c r="L16" i="26"/>
  <c r="M16" i="26"/>
  <c r="L15" i="26"/>
  <c r="M15" i="26"/>
  <c r="L14" i="26"/>
  <c r="M14" i="26"/>
  <c r="J20" i="26"/>
  <c r="K20" i="26"/>
  <c r="J19" i="26"/>
  <c r="K19" i="26"/>
  <c r="J18" i="26"/>
  <c r="K18" i="26"/>
  <c r="J17" i="26"/>
  <c r="K17" i="26"/>
  <c r="J16" i="26"/>
  <c r="K16" i="26"/>
  <c r="J15" i="26"/>
  <c r="K15" i="26"/>
  <c r="J14" i="26"/>
  <c r="K14" i="26"/>
  <c r="I20" i="26"/>
  <c r="H20" i="26"/>
  <c r="I19" i="26"/>
  <c r="H19" i="26"/>
  <c r="I18" i="26"/>
  <c r="H18" i="26"/>
  <c r="I17" i="26"/>
  <c r="H17" i="26"/>
  <c r="I16" i="26"/>
  <c r="H16" i="26"/>
  <c r="I15" i="26"/>
  <c r="H15" i="26"/>
  <c r="I14" i="26"/>
  <c r="H14" i="26"/>
  <c r="E20" i="26"/>
  <c r="F20" i="26"/>
  <c r="E19" i="26"/>
  <c r="F19" i="26"/>
  <c r="E18" i="26"/>
  <c r="F18" i="26"/>
  <c r="E17" i="26"/>
  <c r="F17" i="26"/>
  <c r="E16" i="26"/>
  <c r="F16" i="26"/>
  <c r="E15" i="26"/>
  <c r="F15" i="26"/>
  <c r="E14" i="26"/>
  <c r="F14" i="26"/>
  <c r="E6" i="26"/>
  <c r="E7" i="26"/>
  <c r="E8" i="26"/>
  <c r="E9" i="26"/>
  <c r="E10" i="26"/>
  <c r="E11" i="26"/>
  <c r="D20" i="26"/>
  <c r="D19" i="26"/>
  <c r="D18" i="26"/>
  <c r="D17" i="26"/>
  <c r="D16" i="26"/>
  <c r="D15" i="26"/>
  <c r="D14" i="26"/>
  <c r="C20" i="26"/>
  <c r="C19" i="26"/>
  <c r="C18" i="26"/>
  <c r="C17" i="26"/>
  <c r="C16" i="26"/>
  <c r="C15" i="26"/>
  <c r="C14" i="26"/>
  <c r="B15" i="26"/>
  <c r="B16" i="26"/>
  <c r="B17" i="26"/>
  <c r="B18" i="26"/>
  <c r="B19" i="26"/>
  <c r="B20" i="26"/>
  <c r="B14" i="26"/>
  <c r="P10" i="26"/>
  <c r="Q4" i="26"/>
  <c r="Q10" i="26"/>
  <c r="Q36" i="26"/>
  <c r="R10" i="26"/>
  <c r="R36" i="26"/>
  <c r="B10" i="26"/>
  <c r="C10" i="26"/>
  <c r="D10" i="26"/>
  <c r="F10" i="26"/>
  <c r="H10" i="26"/>
  <c r="I10" i="26"/>
  <c r="J10" i="26"/>
  <c r="K10" i="26"/>
  <c r="L10" i="26"/>
  <c r="T10" i="26"/>
  <c r="T36" i="26"/>
  <c r="U10" i="26"/>
  <c r="U36" i="26"/>
  <c r="V10" i="26"/>
  <c r="V36" i="26"/>
  <c r="P5" i="26"/>
  <c r="B5" i="26"/>
  <c r="C5" i="26"/>
  <c r="D5" i="26"/>
  <c r="E5" i="26"/>
  <c r="F5" i="26"/>
  <c r="H5" i="26"/>
  <c r="I5" i="26"/>
  <c r="J5" i="26"/>
  <c r="K5" i="26"/>
  <c r="L5" i="26"/>
  <c r="T5" i="26"/>
  <c r="X10" i="26"/>
  <c r="X36" i="26"/>
  <c r="Q5" i="26"/>
  <c r="U5" i="26"/>
  <c r="Y10" i="26"/>
  <c r="Y36" i="26"/>
  <c r="R5" i="26"/>
  <c r="V5" i="26"/>
  <c r="Z10" i="26"/>
  <c r="Z36" i="26"/>
  <c r="P36" i="26"/>
  <c r="R35" i="26"/>
  <c r="T35" i="26"/>
  <c r="U35" i="26"/>
  <c r="V35" i="26"/>
  <c r="Q35" i="26"/>
  <c r="P35" i="26"/>
  <c r="N36" i="26"/>
  <c r="N35" i="26"/>
  <c r="B25" i="26"/>
  <c r="C25" i="26"/>
  <c r="D25" i="26"/>
  <c r="E25" i="26"/>
  <c r="F25" i="26"/>
  <c r="H25" i="26"/>
  <c r="I25" i="26"/>
  <c r="J25" i="26"/>
  <c r="K25" i="26"/>
  <c r="L25" i="26"/>
  <c r="B24" i="26"/>
  <c r="C24" i="26"/>
  <c r="D24" i="26"/>
  <c r="E24" i="26"/>
  <c r="F24" i="26"/>
  <c r="H24" i="26"/>
  <c r="I24" i="26"/>
  <c r="J24" i="26"/>
  <c r="K24" i="26"/>
  <c r="L24" i="26"/>
  <c r="N25" i="26"/>
  <c r="B26" i="26"/>
  <c r="C26" i="26"/>
  <c r="D26" i="26"/>
  <c r="E26" i="26"/>
  <c r="F26" i="26"/>
  <c r="H26" i="26"/>
  <c r="I26" i="26"/>
  <c r="J26" i="26"/>
  <c r="K26" i="26"/>
  <c r="L26" i="26"/>
  <c r="N26" i="26"/>
  <c r="B27" i="26"/>
  <c r="C27" i="26"/>
  <c r="D27" i="26"/>
  <c r="E27" i="26"/>
  <c r="F27" i="26"/>
  <c r="H27" i="26"/>
  <c r="I27" i="26"/>
  <c r="J27" i="26"/>
  <c r="K27" i="26"/>
  <c r="L27" i="26"/>
  <c r="N27" i="26"/>
  <c r="B28" i="26"/>
  <c r="C28" i="26"/>
  <c r="D28" i="26"/>
  <c r="E28" i="26"/>
  <c r="F28" i="26"/>
  <c r="H28" i="26"/>
  <c r="I28" i="26"/>
  <c r="J28" i="26"/>
  <c r="K28" i="26"/>
  <c r="L28" i="26"/>
  <c r="N28" i="26"/>
  <c r="B29" i="26"/>
  <c r="C29" i="26"/>
  <c r="D29" i="26"/>
  <c r="E29" i="26"/>
  <c r="F29" i="26"/>
  <c r="H29" i="26"/>
  <c r="I29" i="26"/>
  <c r="J29" i="26"/>
  <c r="K29" i="26"/>
  <c r="L29" i="26"/>
  <c r="N29" i="26"/>
  <c r="B30" i="26"/>
  <c r="C30" i="26"/>
  <c r="D30" i="26"/>
  <c r="E30" i="26"/>
  <c r="F30" i="26"/>
  <c r="H30" i="26"/>
  <c r="I30" i="26"/>
  <c r="J30" i="26"/>
  <c r="K30" i="26"/>
  <c r="L30" i="26"/>
  <c r="N30" i="26"/>
  <c r="N24" i="26"/>
  <c r="B6" i="26"/>
  <c r="C6" i="26"/>
  <c r="D6" i="26"/>
  <c r="F6" i="26"/>
  <c r="H6" i="26"/>
  <c r="I6" i="26"/>
  <c r="J6" i="26"/>
  <c r="K6" i="26"/>
  <c r="L6" i="26"/>
  <c r="N6" i="26"/>
  <c r="B7" i="26"/>
  <c r="C7" i="26"/>
  <c r="D7" i="26"/>
  <c r="F7" i="26"/>
  <c r="H7" i="26"/>
  <c r="I7" i="26"/>
  <c r="J7" i="26"/>
  <c r="K7" i="26"/>
  <c r="L7" i="26"/>
  <c r="N7" i="26"/>
  <c r="B8" i="26"/>
  <c r="C8" i="26"/>
  <c r="D8" i="26"/>
  <c r="F8" i="26"/>
  <c r="H8" i="26"/>
  <c r="I8" i="26"/>
  <c r="J8" i="26"/>
  <c r="K8" i="26"/>
  <c r="L8" i="26"/>
  <c r="N8" i="26"/>
  <c r="B9" i="26"/>
  <c r="C9" i="26"/>
  <c r="D9" i="26"/>
  <c r="F9" i="26"/>
  <c r="H9" i="26"/>
  <c r="I9" i="26"/>
  <c r="J9" i="26"/>
  <c r="K9" i="26"/>
  <c r="L9" i="26"/>
  <c r="N9" i="26"/>
  <c r="N10" i="26"/>
  <c r="B11" i="26"/>
  <c r="C11" i="26"/>
  <c r="D11" i="26"/>
  <c r="F11" i="26"/>
  <c r="H11" i="26"/>
  <c r="I11" i="26"/>
  <c r="J11" i="26"/>
  <c r="K11" i="26"/>
  <c r="L11" i="26"/>
  <c r="N11" i="26"/>
  <c r="N5" i="26"/>
  <c r="P25" i="26"/>
  <c r="T25" i="26"/>
  <c r="P24" i="26"/>
  <c r="T24" i="26"/>
  <c r="X25" i="26"/>
  <c r="Q25" i="26"/>
  <c r="U25" i="26"/>
  <c r="Q24" i="26"/>
  <c r="U24" i="26"/>
  <c r="Y25" i="26"/>
  <c r="R25" i="26"/>
  <c r="V25" i="26"/>
  <c r="R24" i="26"/>
  <c r="V24" i="26"/>
  <c r="Z25" i="26"/>
  <c r="P26" i="26"/>
  <c r="T26" i="26"/>
  <c r="X26" i="26"/>
  <c r="Q26" i="26"/>
  <c r="U26" i="26"/>
  <c r="Y26" i="26"/>
  <c r="R26" i="26"/>
  <c r="V26" i="26"/>
  <c r="Z26" i="26"/>
  <c r="P27" i="26"/>
  <c r="T27" i="26"/>
  <c r="X27" i="26"/>
  <c r="Q27" i="26"/>
  <c r="U27" i="26"/>
  <c r="Y27" i="26"/>
  <c r="R27" i="26"/>
  <c r="V27" i="26"/>
  <c r="Z27" i="26"/>
  <c r="P28" i="26"/>
  <c r="T28" i="26"/>
  <c r="X28" i="26"/>
  <c r="Q28" i="26"/>
  <c r="U28" i="26"/>
  <c r="Y28" i="26"/>
  <c r="R28" i="26"/>
  <c r="V28" i="26"/>
  <c r="Z28" i="26"/>
  <c r="P29" i="26"/>
  <c r="T29" i="26"/>
  <c r="X29" i="26"/>
  <c r="Q29" i="26"/>
  <c r="U29" i="26"/>
  <c r="Y29" i="26"/>
  <c r="R29" i="26"/>
  <c r="V29" i="26"/>
  <c r="Z29" i="26"/>
  <c r="P30" i="26"/>
  <c r="T30" i="26"/>
  <c r="X30" i="26"/>
  <c r="Q30" i="26"/>
  <c r="U30" i="26"/>
  <c r="Y30" i="26"/>
  <c r="R30" i="26"/>
  <c r="V30" i="26"/>
  <c r="Z30" i="26"/>
  <c r="Y24" i="26"/>
  <c r="Z24" i="26"/>
  <c r="X24" i="26"/>
  <c r="P6" i="26"/>
  <c r="T6" i="26"/>
  <c r="X6" i="26"/>
  <c r="Q6" i="26"/>
  <c r="U6" i="26"/>
  <c r="Y6" i="26"/>
  <c r="R6" i="26"/>
  <c r="V6" i="26"/>
  <c r="Z6" i="26"/>
  <c r="P7" i="26"/>
  <c r="T7" i="26"/>
  <c r="X7" i="26"/>
  <c r="Q7" i="26"/>
  <c r="U7" i="26"/>
  <c r="Y7" i="26"/>
  <c r="R7" i="26"/>
  <c r="V7" i="26"/>
  <c r="Z7" i="26"/>
  <c r="P8" i="26"/>
  <c r="T8" i="26"/>
  <c r="X8" i="26"/>
  <c r="Q8" i="26"/>
  <c r="U8" i="26"/>
  <c r="Y8" i="26"/>
  <c r="R8" i="26"/>
  <c r="V8" i="26"/>
  <c r="Z8" i="26"/>
  <c r="P9" i="26"/>
  <c r="T9" i="26"/>
  <c r="X9" i="26"/>
  <c r="Q9" i="26"/>
  <c r="U9" i="26"/>
  <c r="Y9" i="26"/>
  <c r="R9" i="26"/>
  <c r="V9" i="26"/>
  <c r="Z9" i="26"/>
  <c r="P11" i="26"/>
  <c r="T11" i="26"/>
  <c r="X11" i="26"/>
  <c r="Q11" i="26"/>
  <c r="U11" i="26"/>
  <c r="Y11" i="26"/>
  <c r="R11" i="26"/>
  <c r="V11" i="26"/>
  <c r="Z11" i="26"/>
  <c r="Y5" i="26"/>
  <c r="Z5" i="26"/>
  <c r="X5" i="26"/>
  <c r="M6" i="26"/>
  <c r="M7" i="26"/>
  <c r="M8" i="26"/>
  <c r="M9" i="26"/>
  <c r="M10" i="26"/>
  <c r="M11" i="26"/>
  <c r="M24" i="26"/>
  <c r="M25" i="26"/>
  <c r="M26" i="26"/>
  <c r="M27" i="26"/>
  <c r="M28" i="26"/>
  <c r="M29" i="26"/>
  <c r="M30" i="26"/>
  <c r="M5" i="26"/>
  <c r="U186" i="25"/>
  <c r="U187" i="25"/>
  <c r="U188" i="25"/>
  <c r="U189" i="25"/>
  <c r="U190" i="25"/>
  <c r="U185" i="25"/>
  <c r="T185" i="25"/>
  <c r="T186" i="25"/>
  <c r="T187" i="25"/>
  <c r="T188" i="25"/>
  <c r="T189" i="25"/>
  <c r="T190" i="25"/>
  <c r="R190" i="25"/>
  <c r="S190" i="25"/>
  <c r="R189" i="25"/>
  <c r="S189" i="25"/>
  <c r="R188" i="25"/>
  <c r="S188" i="25"/>
  <c r="R187" i="25"/>
  <c r="S187" i="25"/>
  <c r="R186" i="25"/>
  <c r="S186" i="25"/>
  <c r="R185" i="25"/>
  <c r="S185" i="25"/>
  <c r="R184" i="25"/>
  <c r="S184" i="25"/>
  <c r="U60" i="25"/>
  <c r="U61" i="25"/>
  <c r="U62" i="25"/>
  <c r="U63" i="25"/>
  <c r="U64" i="25"/>
  <c r="U59" i="25"/>
  <c r="T59" i="25"/>
  <c r="T60" i="25"/>
  <c r="T61" i="25"/>
  <c r="T62" i="25"/>
  <c r="T63" i="25"/>
  <c r="T64" i="25"/>
  <c r="S59" i="25"/>
  <c r="S60" i="25"/>
  <c r="S61" i="25"/>
  <c r="S62" i="25"/>
  <c r="S63" i="25"/>
  <c r="S64" i="25"/>
  <c r="S58" i="25"/>
  <c r="R59" i="25"/>
  <c r="R60" i="25"/>
  <c r="R61" i="25"/>
  <c r="R62" i="25"/>
  <c r="R63" i="25"/>
  <c r="R64" i="25"/>
  <c r="R58" i="25"/>
  <c r="X178" i="25"/>
  <c r="D13" i="14"/>
  <c r="D12" i="14"/>
  <c r="Q95" i="25"/>
  <c r="Q96" i="25"/>
  <c r="Q97" i="25"/>
  <c r="Q98" i="25"/>
  <c r="Q99" i="25"/>
  <c r="Q94" i="25"/>
  <c r="Q102" i="25"/>
  <c r="Q103" i="25"/>
  <c r="Q104" i="25"/>
  <c r="Q105" i="25"/>
  <c r="Q106" i="25"/>
  <c r="Q101" i="25"/>
  <c r="Q25" i="19"/>
  <c r="R25" i="19"/>
  <c r="R26" i="19"/>
  <c r="R17" i="19"/>
  <c r="N25" i="19"/>
  <c r="N24" i="19"/>
  <c r="O25" i="19"/>
  <c r="O26" i="19"/>
  <c r="O24" i="19"/>
  <c r="O21" i="19"/>
  <c r="O18" i="19"/>
  <c r="P25" i="19"/>
  <c r="P26" i="19"/>
  <c r="P24" i="19"/>
  <c r="P21" i="19"/>
  <c r="P18" i="19"/>
  <c r="Q26" i="19"/>
  <c r="Q24" i="19"/>
  <c r="Q21" i="19"/>
  <c r="Q18" i="19"/>
  <c r="R24" i="19"/>
  <c r="R21" i="19"/>
  <c r="R18" i="19"/>
  <c r="N21" i="19"/>
  <c r="N18" i="19"/>
  <c r="Q60" i="25"/>
  <c r="Q61" i="25"/>
  <c r="Q62" i="25"/>
  <c r="Q63" i="25"/>
  <c r="Q64" i="25"/>
  <c r="Q59" i="25"/>
  <c r="AA186" i="25"/>
  <c r="AA185" i="25"/>
  <c r="O297" i="25"/>
  <c r="N184" i="25"/>
  <c r="N189" i="25"/>
  <c r="O189" i="25"/>
  <c r="P189" i="25"/>
  <c r="N177" i="25"/>
  <c r="N182" i="25"/>
  <c r="O182" i="25"/>
  <c r="P182" i="25"/>
  <c r="Q189" i="25"/>
  <c r="N179" i="25"/>
  <c r="O179" i="25"/>
  <c r="P179" i="25"/>
  <c r="N180" i="25"/>
  <c r="O180" i="25"/>
  <c r="P180" i="25"/>
  <c r="N181" i="25"/>
  <c r="O181" i="25"/>
  <c r="P181" i="25"/>
  <c r="N183" i="25"/>
  <c r="O183" i="25"/>
  <c r="P183" i="25"/>
  <c r="N178" i="25"/>
  <c r="O178" i="25"/>
  <c r="P178" i="25"/>
  <c r="N186" i="25"/>
  <c r="O186" i="25"/>
  <c r="P186" i="25"/>
  <c r="N187" i="25"/>
  <c r="O187" i="25"/>
  <c r="P187" i="25"/>
  <c r="N188" i="25"/>
  <c r="O188" i="25"/>
  <c r="P188" i="25"/>
  <c r="N190" i="25"/>
  <c r="O190" i="25"/>
  <c r="P190" i="25"/>
  <c r="N185" i="25"/>
  <c r="O185" i="25"/>
  <c r="P185" i="25"/>
  <c r="AA184" i="25" a="1"/>
  <c r="AA184" i="25"/>
  <c r="AB184" i="25"/>
  <c r="AC184" i="25"/>
  <c r="AD184" i="25"/>
  <c r="AE184" i="25"/>
  <c r="AF184" i="25"/>
  <c r="N282" i="25"/>
  <c r="N288" i="25"/>
  <c r="O288" i="25"/>
  <c r="N287" i="25"/>
  <c r="O287" i="25"/>
  <c r="N286" i="25"/>
  <c r="O286" i="25"/>
  <c r="N285" i="25"/>
  <c r="O285" i="25"/>
  <c r="N284" i="25"/>
  <c r="O284" i="25"/>
  <c r="N283" i="25"/>
  <c r="O283" i="25"/>
  <c r="O282" i="25"/>
  <c r="N275" i="25"/>
  <c r="N281" i="25"/>
  <c r="O281" i="25"/>
  <c r="N280" i="25"/>
  <c r="O280" i="25"/>
  <c r="N279" i="25"/>
  <c r="O279" i="25"/>
  <c r="N278" i="25"/>
  <c r="O278" i="25"/>
  <c r="N277" i="25"/>
  <c r="O277" i="25"/>
  <c r="N276" i="25"/>
  <c r="O276" i="25"/>
  <c r="O275" i="25"/>
  <c r="N261" i="25"/>
  <c r="N267" i="25"/>
  <c r="O267" i="25"/>
  <c r="N266" i="25"/>
  <c r="O266" i="25"/>
  <c r="N265" i="25"/>
  <c r="O265" i="25"/>
  <c r="N264" i="25"/>
  <c r="O264" i="25"/>
  <c r="N263" i="25"/>
  <c r="O263" i="25"/>
  <c r="N262" i="25"/>
  <c r="O262" i="25"/>
  <c r="O261" i="25"/>
  <c r="N254" i="25"/>
  <c r="N260" i="25"/>
  <c r="O260" i="25"/>
  <c r="N259" i="25"/>
  <c r="O259" i="25"/>
  <c r="N258" i="25"/>
  <c r="O258" i="25"/>
  <c r="N257" i="25"/>
  <c r="O257" i="25"/>
  <c r="N256" i="25"/>
  <c r="O256" i="25"/>
  <c r="N255" i="25"/>
  <c r="O255" i="25"/>
  <c r="O254" i="25"/>
  <c r="N240" i="25"/>
  <c r="N246" i="25"/>
  <c r="O246" i="25"/>
  <c r="N245" i="25"/>
  <c r="O245" i="25"/>
  <c r="N244" i="25"/>
  <c r="O244" i="25"/>
  <c r="N243" i="25"/>
  <c r="O243" i="25"/>
  <c r="N242" i="25"/>
  <c r="O242" i="25"/>
  <c r="N241" i="25"/>
  <c r="O241" i="25"/>
  <c r="O240" i="25"/>
  <c r="N233" i="25"/>
  <c r="N239" i="25"/>
  <c r="O239" i="25"/>
  <c r="N238" i="25"/>
  <c r="O238" i="25"/>
  <c r="N237" i="25"/>
  <c r="O237" i="25"/>
  <c r="N236" i="25"/>
  <c r="O236" i="25"/>
  <c r="N235" i="25"/>
  <c r="O235" i="25"/>
  <c r="N234" i="25"/>
  <c r="O234" i="25"/>
  <c r="O233" i="25"/>
  <c r="N219" i="25"/>
  <c r="N225" i="25"/>
  <c r="O225" i="25"/>
  <c r="N224" i="25"/>
  <c r="O224" i="25"/>
  <c r="N223" i="25"/>
  <c r="O223" i="25"/>
  <c r="N222" i="25"/>
  <c r="O222" i="25"/>
  <c r="N221" i="25"/>
  <c r="O221" i="25"/>
  <c r="N220" i="25"/>
  <c r="O220" i="25"/>
  <c r="O219" i="25"/>
  <c r="N212" i="25"/>
  <c r="N218" i="25"/>
  <c r="O218" i="25"/>
  <c r="N217" i="25"/>
  <c r="O217" i="25"/>
  <c r="N216" i="25"/>
  <c r="O216" i="25"/>
  <c r="N215" i="25"/>
  <c r="O215" i="25"/>
  <c r="N214" i="25"/>
  <c r="O214" i="25"/>
  <c r="N213" i="25"/>
  <c r="O213" i="25"/>
  <c r="O212" i="25"/>
  <c r="N205" i="25"/>
  <c r="N211" i="25"/>
  <c r="O211" i="25"/>
  <c r="N210" i="25"/>
  <c r="O210" i="25"/>
  <c r="N209" i="25"/>
  <c r="O209" i="25"/>
  <c r="N208" i="25"/>
  <c r="O208" i="25"/>
  <c r="N207" i="25"/>
  <c r="O207" i="25"/>
  <c r="N206" i="25"/>
  <c r="O206" i="25"/>
  <c r="O205" i="25"/>
  <c r="N198" i="25"/>
  <c r="N204" i="25"/>
  <c r="O204" i="25"/>
  <c r="N203" i="25"/>
  <c r="O203" i="25"/>
  <c r="N202" i="25"/>
  <c r="O202" i="25"/>
  <c r="N201" i="25"/>
  <c r="O201" i="25"/>
  <c r="N200" i="25"/>
  <c r="O200" i="25"/>
  <c r="N199" i="25"/>
  <c r="O199" i="25"/>
  <c r="O198" i="25"/>
  <c r="N191" i="25"/>
  <c r="N197" i="25"/>
  <c r="O197" i="25"/>
  <c r="N196" i="25"/>
  <c r="O196" i="25"/>
  <c r="N195" i="25"/>
  <c r="O195" i="25"/>
  <c r="N194" i="25"/>
  <c r="O194" i="25"/>
  <c r="N193" i="25"/>
  <c r="O193" i="25"/>
  <c r="N192" i="25"/>
  <c r="O192" i="25"/>
  <c r="O191" i="25"/>
  <c r="O184" i="25"/>
  <c r="O177" i="25"/>
  <c r="N170" i="25"/>
  <c r="N176" i="25"/>
  <c r="O176" i="25"/>
  <c r="N175" i="25"/>
  <c r="O175" i="25"/>
  <c r="N174" i="25"/>
  <c r="O174" i="25"/>
  <c r="N173" i="25"/>
  <c r="O173" i="25"/>
  <c r="N172" i="25"/>
  <c r="O172" i="25"/>
  <c r="N171" i="25"/>
  <c r="O171" i="25"/>
  <c r="O170" i="25"/>
  <c r="N156" i="25"/>
  <c r="N162" i="25"/>
  <c r="O162" i="25"/>
  <c r="N161" i="25"/>
  <c r="O161" i="25"/>
  <c r="N160" i="25"/>
  <c r="O160" i="25"/>
  <c r="N159" i="25"/>
  <c r="O159" i="25"/>
  <c r="N158" i="25"/>
  <c r="O158" i="25"/>
  <c r="N157" i="25"/>
  <c r="O157" i="25"/>
  <c r="O156" i="25"/>
  <c r="N149" i="25"/>
  <c r="N155" i="25"/>
  <c r="O155" i="25"/>
  <c r="N154" i="25"/>
  <c r="O154" i="25"/>
  <c r="N153" i="25"/>
  <c r="O153" i="25"/>
  <c r="N152" i="25"/>
  <c r="O152" i="25"/>
  <c r="N151" i="25"/>
  <c r="O151" i="25"/>
  <c r="N150" i="25"/>
  <c r="O150" i="25"/>
  <c r="O149" i="25"/>
  <c r="N135" i="25"/>
  <c r="N141" i="25"/>
  <c r="O141" i="25"/>
  <c r="N140" i="25"/>
  <c r="O140" i="25"/>
  <c r="N139" i="25"/>
  <c r="O139" i="25"/>
  <c r="N138" i="25"/>
  <c r="O138" i="25"/>
  <c r="N137" i="25"/>
  <c r="O137" i="25"/>
  <c r="N136" i="25"/>
  <c r="O136" i="25"/>
  <c r="O135" i="25"/>
  <c r="N128" i="25"/>
  <c r="N134" i="25"/>
  <c r="O134" i="25"/>
  <c r="N133" i="25"/>
  <c r="O133" i="25"/>
  <c r="N132" i="25"/>
  <c r="O132" i="25"/>
  <c r="N131" i="25"/>
  <c r="O131" i="25"/>
  <c r="N130" i="25"/>
  <c r="O130" i="25"/>
  <c r="N129" i="25"/>
  <c r="O129" i="25"/>
  <c r="O128" i="25"/>
  <c r="N121" i="25"/>
  <c r="N127" i="25"/>
  <c r="O127" i="25"/>
  <c r="N126" i="25"/>
  <c r="O126" i="25"/>
  <c r="N125" i="25"/>
  <c r="O125" i="25"/>
  <c r="N124" i="25"/>
  <c r="O124" i="25"/>
  <c r="N123" i="25"/>
  <c r="O123" i="25"/>
  <c r="N122" i="25"/>
  <c r="O122" i="25"/>
  <c r="O121" i="25"/>
  <c r="N114" i="25"/>
  <c r="N120" i="25"/>
  <c r="O120" i="25"/>
  <c r="N119" i="25"/>
  <c r="O119" i="25"/>
  <c r="N118" i="25"/>
  <c r="O118" i="25"/>
  <c r="N117" i="25"/>
  <c r="O117" i="25"/>
  <c r="N116" i="25"/>
  <c r="O116" i="25"/>
  <c r="N115" i="25"/>
  <c r="O115" i="25"/>
  <c r="O114" i="25"/>
  <c r="N107" i="25"/>
  <c r="N113" i="25"/>
  <c r="O113" i="25"/>
  <c r="N112" i="25"/>
  <c r="O112" i="25"/>
  <c r="N111" i="25"/>
  <c r="O111" i="25"/>
  <c r="N110" i="25"/>
  <c r="O110" i="25"/>
  <c r="N109" i="25"/>
  <c r="O109" i="25"/>
  <c r="N108" i="25"/>
  <c r="O108" i="25"/>
  <c r="O107" i="25"/>
  <c r="N100" i="25"/>
  <c r="N106" i="25"/>
  <c r="O106" i="25"/>
  <c r="N105" i="25"/>
  <c r="O105" i="25"/>
  <c r="N104" i="25"/>
  <c r="O104" i="25"/>
  <c r="N103" i="25"/>
  <c r="O103" i="25"/>
  <c r="N102" i="25"/>
  <c r="O102" i="25"/>
  <c r="N101" i="25"/>
  <c r="O101" i="25"/>
  <c r="O100" i="25"/>
  <c r="N93" i="25"/>
  <c r="N99" i="25"/>
  <c r="O99" i="25"/>
  <c r="N98" i="25"/>
  <c r="O98" i="25"/>
  <c r="N97" i="25"/>
  <c r="O97" i="25"/>
  <c r="N96" i="25"/>
  <c r="O96" i="25"/>
  <c r="N95" i="25"/>
  <c r="O95" i="25"/>
  <c r="N94" i="25"/>
  <c r="O94" i="25"/>
  <c r="O93" i="25"/>
  <c r="N86" i="25"/>
  <c r="N92" i="25"/>
  <c r="O92" i="25"/>
  <c r="N91" i="25"/>
  <c r="O91" i="25"/>
  <c r="N90" i="25"/>
  <c r="O90" i="25"/>
  <c r="N89" i="25"/>
  <c r="O89" i="25"/>
  <c r="N88" i="25"/>
  <c r="O88" i="25"/>
  <c r="N87" i="25"/>
  <c r="O87" i="25"/>
  <c r="O86" i="25"/>
  <c r="N79" i="25"/>
  <c r="N85" i="25"/>
  <c r="O85" i="25"/>
  <c r="N84" i="25"/>
  <c r="O84" i="25"/>
  <c r="N83" i="25"/>
  <c r="O83" i="25"/>
  <c r="N82" i="25"/>
  <c r="O82" i="25"/>
  <c r="N81" i="25"/>
  <c r="O81" i="25"/>
  <c r="N80" i="25"/>
  <c r="O80" i="25"/>
  <c r="O79" i="25"/>
  <c r="N72" i="25"/>
  <c r="N78" i="25"/>
  <c r="O78" i="25"/>
  <c r="N77" i="25"/>
  <c r="O77" i="25"/>
  <c r="N76" i="25"/>
  <c r="O76" i="25"/>
  <c r="N75" i="25"/>
  <c r="O75" i="25"/>
  <c r="N74" i="25"/>
  <c r="O74" i="25"/>
  <c r="N73" i="25"/>
  <c r="O73" i="25"/>
  <c r="O72" i="25"/>
  <c r="N65" i="25"/>
  <c r="N71" i="25"/>
  <c r="O71" i="25"/>
  <c r="N70" i="25"/>
  <c r="O70" i="25"/>
  <c r="N69" i="25"/>
  <c r="O69" i="25"/>
  <c r="N68" i="25"/>
  <c r="O68" i="25"/>
  <c r="N67" i="25"/>
  <c r="O67" i="25"/>
  <c r="N66" i="25"/>
  <c r="O66" i="25"/>
  <c r="O65" i="25"/>
  <c r="N58" i="25"/>
  <c r="N64" i="25"/>
  <c r="O64" i="25"/>
  <c r="N63" i="25"/>
  <c r="O63" i="25"/>
  <c r="N62" i="25"/>
  <c r="O62" i="25"/>
  <c r="N61" i="25"/>
  <c r="O61" i="25"/>
  <c r="N60" i="25"/>
  <c r="O60" i="25"/>
  <c r="N59" i="25"/>
  <c r="O59" i="25"/>
  <c r="O58" i="25"/>
  <c r="N51" i="25"/>
  <c r="N57" i="25"/>
  <c r="O57" i="25"/>
  <c r="N56" i="25"/>
  <c r="O56" i="25"/>
  <c r="N55" i="25"/>
  <c r="O55" i="25"/>
  <c r="N54" i="25"/>
  <c r="O54" i="25"/>
  <c r="N53" i="25"/>
  <c r="O53" i="25"/>
  <c r="N52" i="25"/>
  <c r="O52" i="25"/>
  <c r="O51" i="25"/>
  <c r="N44" i="25"/>
  <c r="N50" i="25"/>
  <c r="O50" i="25"/>
  <c r="N49" i="25"/>
  <c r="O49" i="25"/>
  <c r="N48" i="25"/>
  <c r="O48" i="25"/>
  <c r="N47" i="25"/>
  <c r="O47" i="25"/>
  <c r="N46" i="25"/>
  <c r="O46" i="25"/>
  <c r="N45" i="25"/>
  <c r="O45" i="25"/>
  <c r="O44" i="25"/>
  <c r="N37" i="25"/>
  <c r="N43" i="25"/>
  <c r="O43" i="25"/>
  <c r="N42" i="25"/>
  <c r="O42" i="25"/>
  <c r="N41" i="25"/>
  <c r="O41" i="25"/>
  <c r="N40" i="25"/>
  <c r="O40" i="25"/>
  <c r="N39" i="25"/>
  <c r="O39" i="25"/>
  <c r="N38" i="25"/>
  <c r="O38" i="25"/>
  <c r="N23" i="25"/>
  <c r="O23" i="25"/>
  <c r="N24" i="25"/>
  <c r="O24" i="25"/>
  <c r="N25" i="25"/>
  <c r="O25" i="25"/>
  <c r="N26" i="25"/>
  <c r="O26" i="25"/>
  <c r="N27" i="25"/>
  <c r="O27" i="25"/>
  <c r="N28" i="25"/>
  <c r="O28" i="25"/>
  <c r="N29" i="25"/>
  <c r="O29" i="25"/>
  <c r="N30" i="25"/>
  <c r="O30" i="25"/>
  <c r="N31" i="25"/>
  <c r="O31" i="25"/>
  <c r="N32" i="25"/>
  <c r="O32" i="25"/>
  <c r="N33" i="25"/>
  <c r="O33" i="25"/>
  <c r="N34" i="25"/>
  <c r="O34" i="25"/>
  <c r="N35" i="25"/>
  <c r="O35" i="25"/>
  <c r="N36" i="25"/>
  <c r="O36" i="25"/>
  <c r="O37" i="25"/>
  <c r="N16" i="25"/>
  <c r="O16" i="25"/>
  <c r="N17" i="25"/>
  <c r="O17" i="25"/>
  <c r="N18" i="25"/>
  <c r="O18" i="25"/>
  <c r="N19" i="25"/>
  <c r="O19" i="25"/>
  <c r="N20" i="25"/>
  <c r="O20" i="25"/>
  <c r="N21" i="25"/>
  <c r="O21" i="25"/>
  <c r="N22" i="25"/>
  <c r="O22" i="25"/>
  <c r="N9" i="25"/>
  <c r="N15" i="25"/>
  <c r="O15" i="25"/>
  <c r="N14" i="25"/>
  <c r="O14" i="25"/>
  <c r="N13" i="25"/>
  <c r="O13" i="25"/>
  <c r="N12" i="25"/>
  <c r="O12" i="25"/>
  <c r="N11" i="25"/>
  <c r="O11" i="25"/>
  <c r="N10" i="25"/>
  <c r="O10" i="25"/>
  <c r="O9" i="25"/>
  <c r="N2" i="25"/>
  <c r="N4" i="25"/>
  <c r="O4" i="25"/>
  <c r="N5" i="25"/>
  <c r="O5" i="25"/>
  <c r="N6" i="25"/>
  <c r="O6" i="25"/>
  <c r="N7" i="25"/>
  <c r="O7" i="25"/>
  <c r="N8" i="25"/>
  <c r="O8" i="25"/>
  <c r="O2" i="25"/>
  <c r="N3" i="25"/>
  <c r="O3" i="25"/>
  <c r="E98" i="19"/>
  <c r="E99" i="19"/>
  <c r="E100" i="19"/>
  <c r="E101" i="19"/>
  <c r="E102" i="19"/>
  <c r="E103" i="19"/>
  <c r="E97" i="19"/>
  <c r="E3" i="6"/>
  <c r="N41" i="6"/>
  <c r="Q38" i="19"/>
  <c r="T38" i="19"/>
  <c r="S38" i="19"/>
  <c r="R38" i="19"/>
  <c r="P38" i="19"/>
  <c r="O38" i="19"/>
  <c r="N38" i="19"/>
  <c r="AF57" i="1"/>
  <c r="AF56" i="1"/>
  <c r="AF55" i="1"/>
  <c r="AF54" i="1"/>
  <c r="AF53" i="1"/>
  <c r="AF52" i="1"/>
  <c r="CB86" i="1"/>
  <c r="CB73" i="1"/>
  <c r="CA73" i="1"/>
  <c r="AQ78" i="1"/>
  <c r="AQ79" i="1"/>
  <c r="AQ80" i="1"/>
  <c r="AQ81" i="1"/>
  <c r="AQ82" i="1"/>
  <c r="AQ83" i="1"/>
  <c r="AQ84" i="1"/>
  <c r="AQ65" i="1"/>
  <c r="AQ66" i="1"/>
  <c r="AQ67" i="1"/>
  <c r="AQ68" i="1"/>
  <c r="AQ69" i="1"/>
  <c r="AQ70" i="1"/>
  <c r="AQ71" i="1"/>
  <c r="AQ52" i="1"/>
  <c r="AQ53" i="1"/>
  <c r="AQ54" i="1"/>
  <c r="AQ55" i="1"/>
  <c r="AQ56" i="1"/>
  <c r="AQ57" i="1"/>
  <c r="AQ58" i="1"/>
  <c r="G3" i="25"/>
  <c r="G2" i="25"/>
  <c r="G4" i="25"/>
  <c r="G5" i="25"/>
  <c r="G6" i="25"/>
  <c r="G7" i="25"/>
  <c r="G8" i="25"/>
  <c r="G9" i="25"/>
  <c r="G10" i="25"/>
  <c r="G11" i="25"/>
  <c r="G12"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11" i="25"/>
  <c r="G112" i="25"/>
  <c r="G113" i="25"/>
  <c r="G114" i="25"/>
  <c r="G115" i="25"/>
  <c r="G116" i="25"/>
  <c r="G117" i="25"/>
  <c r="G118" i="25"/>
  <c r="G119" i="25"/>
  <c r="G120" i="25"/>
  <c r="G121" i="25"/>
  <c r="G122" i="25"/>
  <c r="G123" i="25"/>
  <c r="G124" i="25"/>
  <c r="G125" i="25"/>
  <c r="G126" i="25"/>
  <c r="G127" i="25"/>
  <c r="G128" i="25"/>
  <c r="G129" i="25"/>
  <c r="G130" i="25"/>
  <c r="G131" i="25"/>
  <c r="G132" i="25"/>
  <c r="G133" i="25"/>
  <c r="G134" i="25"/>
  <c r="G135" i="25"/>
  <c r="G136" i="25"/>
  <c r="G137" i="25"/>
  <c r="G138" i="25"/>
  <c r="G139" i="25"/>
  <c r="G140" i="25"/>
  <c r="G141" i="25"/>
  <c r="G149" i="25"/>
  <c r="G150" i="25"/>
  <c r="G151" i="25"/>
  <c r="G152" i="25"/>
  <c r="G153" i="25"/>
  <c r="G154" i="25"/>
  <c r="G155" i="25"/>
  <c r="G156" i="25"/>
  <c r="G157" i="25"/>
  <c r="G158" i="25"/>
  <c r="G159" i="25"/>
  <c r="G160" i="25"/>
  <c r="G161" i="25"/>
  <c r="G162" i="25"/>
  <c r="G170" i="25"/>
  <c r="G171" i="25"/>
  <c r="G172" i="25"/>
  <c r="G173" i="25"/>
  <c r="G174" i="25"/>
  <c r="G175" i="25"/>
  <c r="G176" i="25"/>
  <c r="G177" i="25"/>
  <c r="G178" i="25"/>
  <c r="G179" i="25"/>
  <c r="G180" i="25"/>
  <c r="G181" i="25"/>
  <c r="G182" i="25"/>
  <c r="G183" i="25"/>
  <c r="G184" i="25"/>
  <c r="G185" i="25"/>
  <c r="G186" i="25"/>
  <c r="G187" i="25"/>
  <c r="G188" i="25"/>
  <c r="G189" i="25"/>
  <c r="G190" i="25"/>
  <c r="G191" i="25"/>
  <c r="G192" i="25"/>
  <c r="G193" i="25"/>
  <c r="G194" i="25"/>
  <c r="G195" i="25"/>
  <c r="G196" i="25"/>
  <c r="G197" i="25"/>
  <c r="G198" i="25"/>
  <c r="G199" i="25"/>
  <c r="G200" i="25"/>
  <c r="G201" i="25"/>
  <c r="G202" i="25"/>
  <c r="G203" i="25"/>
  <c r="G204" i="25"/>
  <c r="G205" i="25"/>
  <c r="G206" i="25"/>
  <c r="G207" i="25"/>
  <c r="G208" i="25"/>
  <c r="G209" i="25"/>
  <c r="G210" i="25"/>
  <c r="G211" i="25"/>
  <c r="G212" i="25"/>
  <c r="G213" i="25"/>
  <c r="G214" i="25"/>
  <c r="G215" i="25"/>
  <c r="G216" i="25"/>
  <c r="G217" i="25"/>
  <c r="G218" i="25"/>
  <c r="G219" i="25"/>
  <c r="G220" i="25"/>
  <c r="G221" i="25"/>
  <c r="G222" i="25"/>
  <c r="G223" i="25"/>
  <c r="G224" i="25"/>
  <c r="G225" i="25"/>
  <c r="G233" i="25"/>
  <c r="G234" i="25"/>
  <c r="G235" i="25"/>
  <c r="G236" i="25"/>
  <c r="G237" i="25"/>
  <c r="G238" i="25"/>
  <c r="G239" i="25"/>
  <c r="G240" i="25"/>
  <c r="G241" i="25"/>
  <c r="G242" i="25"/>
  <c r="G243" i="25"/>
  <c r="G244" i="25"/>
  <c r="G245" i="25"/>
  <c r="G246" i="25"/>
  <c r="G254" i="25"/>
  <c r="G255" i="25"/>
  <c r="G256" i="25"/>
  <c r="G257" i="25"/>
  <c r="G258" i="25"/>
  <c r="G259" i="25"/>
  <c r="G260" i="25"/>
  <c r="G261" i="25"/>
  <c r="G262" i="25"/>
  <c r="G263" i="25"/>
  <c r="G264" i="25"/>
  <c r="G265" i="25"/>
  <c r="G266" i="25"/>
  <c r="G267" i="25"/>
  <c r="G275" i="25"/>
  <c r="G276" i="25"/>
  <c r="G277" i="25"/>
  <c r="G278" i="25"/>
  <c r="G279" i="25"/>
  <c r="G280" i="25"/>
  <c r="G281" i="25"/>
  <c r="G282" i="25"/>
  <c r="G283" i="25"/>
  <c r="G284" i="25"/>
  <c r="G285" i="25"/>
  <c r="G286" i="25"/>
  <c r="G287" i="25"/>
  <c r="G288" i="25"/>
  <c r="K55" i="13"/>
  <c r="Q46" i="8"/>
  <c r="P46" i="8"/>
  <c r="O46" i="8"/>
  <c r="N46" i="8"/>
  <c r="M46" i="8"/>
  <c r="L46" i="8"/>
  <c r="K46" i="8"/>
  <c r="J46" i="8"/>
  <c r="I46" i="8"/>
  <c r="H46" i="8"/>
  <c r="G46" i="8"/>
  <c r="F46" i="8"/>
  <c r="E46" i="8"/>
  <c r="D46" i="8"/>
  <c r="F11" i="6"/>
  <c r="BG85" i="1"/>
  <c r="BF85" i="1"/>
  <c r="BE85" i="1"/>
  <c r="BD85" i="1"/>
  <c r="BC85" i="1"/>
  <c r="BB85" i="1"/>
  <c r="BA85" i="1"/>
  <c r="AZ85" i="1"/>
  <c r="AY85" i="1"/>
  <c r="AX85" i="1"/>
  <c r="AW85" i="1"/>
  <c r="AV85" i="1"/>
  <c r="AU85" i="1"/>
  <c r="AT85" i="1"/>
  <c r="BG72" i="1"/>
  <c r="BF72" i="1"/>
  <c r="BE72" i="1"/>
  <c r="BD72" i="1"/>
  <c r="BC72" i="1"/>
  <c r="BB72" i="1"/>
  <c r="BA72" i="1"/>
  <c r="AZ72" i="1"/>
  <c r="AY72" i="1"/>
  <c r="AX72" i="1"/>
  <c r="AW72" i="1"/>
  <c r="AV72" i="1"/>
  <c r="AU72" i="1"/>
  <c r="AT72" i="1"/>
  <c r="BG59" i="1"/>
  <c r="BF59" i="1"/>
  <c r="BE59" i="1"/>
  <c r="BD59" i="1"/>
  <c r="BC59" i="1"/>
  <c r="BB59" i="1"/>
  <c r="BA59" i="1"/>
  <c r="AZ59" i="1"/>
  <c r="AY59" i="1"/>
  <c r="AX59" i="1"/>
  <c r="AW59" i="1"/>
  <c r="AV59" i="1"/>
  <c r="AU59" i="1"/>
  <c r="AT59" i="1"/>
  <c r="AD7" i="1"/>
  <c r="N31" i="19"/>
  <c r="P31" i="19"/>
  <c r="P34" i="19"/>
  <c r="Q31" i="19"/>
  <c r="Q34" i="19"/>
  <c r="O31" i="19"/>
  <c r="O34" i="19"/>
  <c r="N34" i="19"/>
  <c r="R31" i="19"/>
  <c r="O29" i="19"/>
  <c r="V68" i="19"/>
  <c r="N28" i="19"/>
  <c r="R34" i="19"/>
  <c r="P28" i="19"/>
  <c r="P32" i="19"/>
  <c r="Q28" i="19"/>
  <c r="Q41" i="19"/>
  <c r="N29" i="19"/>
  <c r="N32" i="19"/>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AD77" i="1"/>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12" i="10"/>
  <c r="J46" i="10"/>
  <c r="J12" i="10"/>
  <c r="C7" i="10"/>
  <c r="P29" i="19"/>
  <c r="Q29" i="19"/>
  <c r="R29" i="19"/>
  <c r="S29" i="19"/>
  <c r="T29" i="19"/>
  <c r="AP84" i="1"/>
  <c r="AO84" i="1"/>
  <c r="CH86" i="1"/>
  <c r="CG86" i="1"/>
  <c r="CF86" i="1"/>
  <c r="CE86" i="1"/>
  <c r="CD86" i="1"/>
  <c r="CC86" i="1"/>
  <c r="CA86" i="1"/>
  <c r="BZ86" i="1"/>
  <c r="BY86" i="1"/>
  <c r="BX86" i="1"/>
  <c r="BW86" i="1"/>
  <c r="BV86" i="1"/>
  <c r="BU86" i="1"/>
  <c r="BT86" i="1"/>
  <c r="BS86" i="1"/>
  <c r="BR86" i="1"/>
  <c r="BQ86" i="1"/>
  <c r="BP86" i="1"/>
  <c r="BO86" i="1"/>
  <c r="BN86" i="1"/>
  <c r="BM86" i="1"/>
  <c r="BL86" i="1"/>
  <c r="BK86" i="1"/>
  <c r="CH73" i="1"/>
  <c r="CG73" i="1"/>
  <c r="CF73" i="1"/>
  <c r="CE73" i="1"/>
  <c r="CD73" i="1"/>
  <c r="CC73" i="1"/>
  <c r="BZ73" i="1"/>
  <c r="BY73" i="1"/>
  <c r="BX73" i="1"/>
  <c r="BW73" i="1"/>
  <c r="BV73" i="1"/>
  <c r="BU73" i="1"/>
  <c r="BT73" i="1"/>
  <c r="BS73" i="1"/>
  <c r="BR73" i="1"/>
  <c r="BQ73" i="1"/>
  <c r="BP73" i="1"/>
  <c r="BO73" i="1"/>
  <c r="BN73" i="1"/>
  <c r="BM73" i="1"/>
  <c r="BL73" i="1"/>
  <c r="BK73" i="1"/>
  <c r="AE83" i="1"/>
  <c r="AD83" i="1"/>
  <c r="AE82" i="1"/>
  <c r="AD82" i="1"/>
  <c r="AE81" i="1"/>
  <c r="AD81" i="1"/>
  <c r="AE80" i="1"/>
  <c r="AD80" i="1"/>
  <c r="AE79" i="1"/>
  <c r="AD79" i="1"/>
  <c r="AE78" i="1"/>
  <c r="AD78" i="1"/>
  <c r="AD84" i="1"/>
  <c r="AE77" i="1"/>
  <c r="AE70" i="1"/>
  <c r="AD70" i="1"/>
  <c r="AE69" i="1"/>
  <c r="AD69" i="1"/>
  <c r="AE68" i="1"/>
  <c r="AD68" i="1"/>
  <c r="AE67" i="1"/>
  <c r="AD67" i="1"/>
  <c r="AE66" i="1"/>
  <c r="AD66" i="1"/>
  <c r="AD71" i="1"/>
  <c r="AE65" i="1"/>
  <c r="AD65" i="1"/>
  <c r="AE64" i="1"/>
  <c r="AD64" i="1"/>
  <c r="AF65" i="1"/>
  <c r="AF66" i="1"/>
  <c r="AF67" i="1"/>
  <c r="AF68" i="1"/>
  <c r="AF69" i="1"/>
  <c r="AF70" i="1"/>
  <c r="AF71" i="1"/>
  <c r="AE57" i="1"/>
  <c r="AD57" i="1"/>
  <c r="AE56" i="1"/>
  <c r="AD56" i="1"/>
  <c r="AE55" i="1"/>
  <c r="AD55" i="1"/>
  <c r="AE54" i="1"/>
  <c r="AD54" i="1"/>
  <c r="AE53" i="1"/>
  <c r="AD53" i="1"/>
  <c r="AE52" i="1"/>
  <c r="AE58" i="1"/>
  <c r="AD52" i="1"/>
  <c r="AE51" i="1"/>
  <c r="AD51" i="1"/>
  <c r="AF58" i="1"/>
  <c r="X85" i="1"/>
  <c r="W85" i="1"/>
  <c r="X72" i="1"/>
  <c r="W72" i="1"/>
  <c r="AE43" i="1"/>
  <c r="AD43" i="1"/>
  <c r="AE42" i="1"/>
  <c r="AD42" i="1"/>
  <c r="AE41" i="1"/>
  <c r="AD41" i="1"/>
  <c r="AE40" i="1"/>
  <c r="AD40" i="1"/>
  <c r="AE39" i="1"/>
  <c r="AD39" i="1"/>
  <c r="AE38" i="1"/>
  <c r="AD38" i="1"/>
  <c r="AE37" i="1"/>
  <c r="AD37" i="1"/>
  <c r="AE36" i="1"/>
  <c r="AD36" i="1"/>
  <c r="AE35" i="1"/>
  <c r="AE44" i="1"/>
  <c r="AD35" i="1"/>
  <c r="AE29" i="1"/>
  <c r="AD29" i="1"/>
  <c r="AE28" i="1"/>
  <c r="AD28" i="1"/>
  <c r="AE27" i="1"/>
  <c r="AD27" i="1"/>
  <c r="AE26" i="1"/>
  <c r="AD26" i="1"/>
  <c r="AE25" i="1"/>
  <c r="AD25" i="1"/>
  <c r="AE24" i="1"/>
  <c r="AD24" i="1"/>
  <c r="AE23" i="1"/>
  <c r="AD23" i="1"/>
  <c r="AE22" i="1"/>
  <c r="AE30" i="1"/>
  <c r="AD22" i="1"/>
  <c r="AE21" i="1"/>
  <c r="AD21" i="1"/>
  <c r="AD8" i="1"/>
  <c r="AE8" i="1"/>
  <c r="AD9" i="1"/>
  <c r="AE9" i="1"/>
  <c r="AE16" i="1"/>
  <c r="AD10" i="1"/>
  <c r="AE10" i="1"/>
  <c r="AD11" i="1"/>
  <c r="AE11" i="1"/>
  <c r="AD12" i="1"/>
  <c r="AE12" i="1"/>
  <c r="AD13" i="1"/>
  <c r="AE13" i="1"/>
  <c r="AD14" i="1"/>
  <c r="AE14" i="1"/>
  <c r="AD15" i="1"/>
  <c r="AE15" i="1"/>
  <c r="AE7" i="1"/>
  <c r="AK16" i="1"/>
  <c r="AL16" i="1"/>
  <c r="AM16" i="1"/>
  <c r="AN16" i="1"/>
  <c r="AO16" i="1"/>
  <c r="AP16" i="1"/>
  <c r="AJ16" i="1"/>
  <c r="X45" i="1"/>
  <c r="W45" i="1"/>
  <c r="U45" i="1"/>
  <c r="T45" i="1"/>
  <c r="Q45" i="1"/>
  <c r="P45" i="1"/>
  <c r="N45" i="1"/>
  <c r="AP44" i="1"/>
  <c r="AO44" i="1"/>
  <c r="AN44" i="1"/>
  <c r="AM44" i="1"/>
  <c r="AL44" i="1"/>
  <c r="AK44" i="1"/>
  <c r="AJ44" i="1"/>
  <c r="X31" i="1"/>
  <c r="W31" i="1"/>
  <c r="U31" i="1"/>
  <c r="T31" i="1"/>
  <c r="Q31" i="1"/>
  <c r="P31" i="1"/>
  <c r="N31" i="1"/>
  <c r="AP30" i="1"/>
  <c r="AO30" i="1"/>
  <c r="AN30" i="1"/>
  <c r="AM30" i="1"/>
  <c r="AL30" i="1"/>
  <c r="AK30" i="1"/>
  <c r="AJ30" i="1"/>
  <c r="C8" i="12"/>
  <c r="C10" i="12"/>
  <c r="F8" i="12"/>
  <c r="F10" i="12"/>
  <c r="L31" i="12"/>
  <c r="K65" i="13"/>
  <c r="P70" i="13"/>
  <c r="O70" i="13"/>
  <c r="N70" i="13"/>
  <c r="M70" i="13"/>
  <c r="L70" i="13"/>
  <c r="K70" i="13"/>
  <c r="P71" i="13"/>
  <c r="O71" i="13"/>
  <c r="N71" i="13"/>
  <c r="M71" i="13"/>
  <c r="L71" i="13"/>
  <c r="K71"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J26" i="13"/>
  <c r="L7" i="16"/>
  <c r="P7" i="16"/>
  <c r="S7" i="16"/>
  <c r="L8" i="16"/>
  <c r="P8" i="16"/>
  <c r="S8" i="16"/>
  <c r="L9" i="16"/>
  <c r="P9" i="16"/>
  <c r="S9" i="16"/>
  <c r="L10" i="16"/>
  <c r="P10" i="16"/>
  <c r="S10" i="16"/>
  <c r="L11" i="16"/>
  <c r="P11" i="16"/>
  <c r="S11" i="16"/>
  <c r="L12" i="16"/>
  <c r="P12" i="16"/>
  <c r="S12" i="16"/>
  <c r="L13" i="16"/>
  <c r="P13" i="16"/>
  <c r="S13" i="16"/>
  <c r="L14" i="16"/>
  <c r="P14" i="16"/>
  <c r="S14" i="16"/>
  <c r="L15" i="16"/>
  <c r="P15" i="16"/>
  <c r="S15" i="16"/>
  <c r="L16" i="16"/>
  <c r="P16" i="16"/>
  <c r="S16" i="16"/>
  <c r="L17" i="16"/>
  <c r="P17" i="16"/>
  <c r="S17" i="16"/>
  <c r="L18" i="16"/>
  <c r="P18" i="16"/>
  <c r="S18" i="16"/>
  <c r="L19" i="16"/>
  <c r="P19" i="16"/>
  <c r="S19" i="16"/>
  <c r="L20" i="16"/>
  <c r="P20" i="16"/>
  <c r="S20" i="16"/>
  <c r="L21" i="16"/>
  <c r="P21" i="16"/>
  <c r="S21" i="16"/>
  <c r="L22" i="16"/>
  <c r="P22" i="16"/>
  <c r="S22" i="16"/>
  <c r="L23" i="16"/>
  <c r="P23" i="16"/>
  <c r="S23" i="16"/>
  <c r="L24" i="16"/>
  <c r="P24" i="16"/>
  <c r="S24" i="16"/>
  <c r="L25" i="16"/>
  <c r="P25" i="16"/>
  <c r="S25" i="16"/>
  <c r="L26" i="16"/>
  <c r="P26" i="16"/>
  <c r="S26" i="16"/>
  <c r="K7" i="16"/>
  <c r="O7" i="16"/>
  <c r="M7" i="16"/>
  <c r="Q7" i="16"/>
  <c r="N7" i="16"/>
  <c r="R7" i="16"/>
  <c r="K8" i="16"/>
  <c r="O8" i="16"/>
  <c r="M8" i="16"/>
  <c r="Q8" i="16"/>
  <c r="N8" i="16"/>
  <c r="R8" i="16"/>
  <c r="K9" i="16"/>
  <c r="O9" i="16"/>
  <c r="M9" i="16"/>
  <c r="Q9" i="16"/>
  <c r="N9" i="16"/>
  <c r="R9" i="16"/>
  <c r="K10" i="16"/>
  <c r="O10" i="16"/>
  <c r="M10" i="16"/>
  <c r="Q10" i="16"/>
  <c r="N10" i="16"/>
  <c r="R10" i="16"/>
  <c r="K11" i="16"/>
  <c r="O11" i="16"/>
  <c r="M11" i="16"/>
  <c r="Q11" i="16"/>
  <c r="N11" i="16"/>
  <c r="R11" i="16"/>
  <c r="K12" i="16"/>
  <c r="O12" i="16"/>
  <c r="M12" i="16"/>
  <c r="Q12" i="16"/>
  <c r="N12" i="16"/>
  <c r="R12" i="16"/>
  <c r="K13" i="16"/>
  <c r="O13" i="16"/>
  <c r="M13" i="16"/>
  <c r="Q13" i="16"/>
  <c r="N13" i="16"/>
  <c r="R13" i="16"/>
  <c r="K14" i="16"/>
  <c r="O14" i="16"/>
  <c r="M14" i="16"/>
  <c r="Q14" i="16"/>
  <c r="N14" i="16"/>
  <c r="R14" i="16"/>
  <c r="K15" i="16"/>
  <c r="M15" i="16"/>
  <c r="N15" i="16"/>
  <c r="R15" i="16"/>
  <c r="K16" i="16"/>
  <c r="O16" i="16"/>
  <c r="M16" i="16"/>
  <c r="Q16" i="16"/>
  <c r="N16" i="16"/>
  <c r="R16" i="16"/>
  <c r="K17" i="16"/>
  <c r="O17" i="16"/>
  <c r="M17" i="16"/>
  <c r="Q17" i="16"/>
  <c r="N17" i="16"/>
  <c r="R17" i="16"/>
  <c r="K18" i="16"/>
  <c r="O18" i="16"/>
  <c r="M18" i="16"/>
  <c r="Q18" i="16"/>
  <c r="N18" i="16"/>
  <c r="R18" i="16"/>
  <c r="K19" i="16"/>
  <c r="O19" i="16"/>
  <c r="M19" i="16"/>
  <c r="Q19" i="16"/>
  <c r="N19" i="16"/>
  <c r="R19" i="16"/>
  <c r="K20" i="16"/>
  <c r="O20" i="16"/>
  <c r="M20" i="16"/>
  <c r="Q20" i="16"/>
  <c r="N20" i="16"/>
  <c r="R20" i="16"/>
  <c r="K21" i="16"/>
  <c r="O21" i="16"/>
  <c r="M21" i="16"/>
  <c r="Q21" i="16"/>
  <c r="N21" i="16"/>
  <c r="R21" i="16"/>
  <c r="K22" i="16"/>
  <c r="O22" i="16"/>
  <c r="M22" i="16"/>
  <c r="Q22" i="16"/>
  <c r="N22" i="16"/>
  <c r="R22" i="16"/>
  <c r="K23" i="16"/>
  <c r="O23" i="16"/>
  <c r="M23" i="16"/>
  <c r="Q23" i="16"/>
  <c r="N23" i="16"/>
  <c r="R23" i="16"/>
  <c r="K24" i="16"/>
  <c r="O24" i="16"/>
  <c r="M24" i="16"/>
  <c r="Q24" i="16"/>
  <c r="N24" i="16"/>
  <c r="R24" i="16"/>
  <c r="K25" i="16"/>
  <c r="O25" i="16"/>
  <c r="M25" i="16"/>
  <c r="Q25" i="16"/>
  <c r="N25" i="16"/>
  <c r="R25" i="16"/>
  <c r="K26" i="16"/>
  <c r="O26" i="16"/>
  <c r="M26" i="16"/>
  <c r="Q26" i="16"/>
  <c r="N26" i="16"/>
  <c r="R26" i="16"/>
  <c r="O15" i="16"/>
  <c r="Q15" i="16"/>
  <c r="T25" i="19"/>
  <c r="T26" i="19"/>
  <c r="T24" i="19"/>
  <c r="T21" i="19"/>
  <c r="P25" i="13"/>
  <c r="P26" i="13"/>
  <c r="P27" i="13"/>
  <c r="P28" i="13"/>
  <c r="P29" i="13"/>
  <c r="P31" i="13"/>
  <c r="P30" i="13"/>
  <c r="K25" i="13"/>
  <c r="L25" i="13"/>
  <c r="M25" i="13"/>
  <c r="N25" i="13"/>
  <c r="O25" i="13"/>
  <c r="K26" i="13"/>
  <c r="L26" i="13"/>
  <c r="M26" i="13"/>
  <c r="N26" i="13"/>
  <c r="O26" i="13"/>
  <c r="K27" i="13"/>
  <c r="L27" i="13"/>
  <c r="M27" i="13"/>
  <c r="N27" i="13"/>
  <c r="O27" i="13"/>
  <c r="K28" i="13"/>
  <c r="L28" i="13"/>
  <c r="M28" i="13"/>
  <c r="N28" i="13"/>
  <c r="O28" i="13"/>
  <c r="K29" i="13"/>
  <c r="L29" i="13"/>
  <c r="M29" i="13"/>
  <c r="N29" i="13"/>
  <c r="O29" i="13"/>
  <c r="K31" i="13"/>
  <c r="L31" i="13"/>
  <c r="M31" i="13"/>
  <c r="N31" i="13"/>
  <c r="O31" i="13"/>
  <c r="K30" i="13"/>
  <c r="L30" i="13"/>
  <c r="M30" i="13"/>
  <c r="N30" i="13"/>
  <c r="O30" i="13"/>
  <c r="J27" i="13"/>
  <c r="J28" i="13"/>
  <c r="J29" i="13"/>
  <c r="J31" i="13"/>
  <c r="J30" i="13"/>
  <c r="J25" i="13"/>
  <c r="K61" i="13"/>
  <c r="L55" i="13"/>
  <c r="M55" i="13"/>
  <c r="N55" i="13"/>
  <c r="O55" i="13"/>
  <c r="P55" i="13"/>
  <c r="L56" i="13"/>
  <c r="M56" i="13"/>
  <c r="N56" i="13"/>
  <c r="O56" i="13"/>
  <c r="P56" i="13"/>
  <c r="L57" i="13"/>
  <c r="M57" i="13"/>
  <c r="N57" i="13"/>
  <c r="O57" i="13"/>
  <c r="P57" i="13"/>
  <c r="L58" i="13"/>
  <c r="M58" i="13"/>
  <c r="N58" i="13"/>
  <c r="O58" i="13"/>
  <c r="P58" i="13"/>
  <c r="L59" i="13"/>
  <c r="M59" i="13"/>
  <c r="N59" i="13"/>
  <c r="O59" i="13"/>
  <c r="P59" i="13"/>
  <c r="L61" i="13"/>
  <c r="M61" i="13"/>
  <c r="N61" i="13"/>
  <c r="O61" i="13"/>
  <c r="P61" i="13"/>
  <c r="L60" i="13"/>
  <c r="M60" i="13"/>
  <c r="N60" i="13"/>
  <c r="O60" i="13"/>
  <c r="P60" i="13"/>
  <c r="K56" i="13"/>
  <c r="K57" i="13"/>
  <c r="K58" i="13"/>
  <c r="K59" i="13"/>
  <c r="K60" i="13"/>
  <c r="C4" i="21"/>
  <c r="C3" i="21"/>
  <c r="X59" i="1"/>
  <c r="W59" i="1"/>
  <c r="S25" i="19"/>
  <c r="S26" i="19"/>
  <c r="X17" i="1"/>
  <c r="W17" i="1"/>
  <c r="U17" i="1"/>
  <c r="T17" i="1"/>
  <c r="Q17" i="1"/>
  <c r="P17" i="1"/>
  <c r="N17" i="1"/>
  <c r="L74" i="19"/>
  <c r="H8" i="12"/>
  <c r="H10" i="12"/>
  <c r="G8" i="12"/>
  <c r="G10" i="12"/>
  <c r="L18" i="12"/>
  <c r="E8" i="12"/>
  <c r="E10" i="12"/>
  <c r="D8" i="12"/>
  <c r="D10" i="12"/>
  <c r="K18" i="12"/>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AD16" i="1"/>
  <c r="AF78" i="1"/>
  <c r="Q18" i="12"/>
  <c r="L15" i="12"/>
  <c r="L30" i="12"/>
  <c r="L29" i="12"/>
  <c r="AD44" i="1"/>
  <c r="Q17" i="12"/>
  <c r="L19" i="12"/>
  <c r="K17" i="12"/>
  <c r="P16" i="12"/>
  <c r="K19" i="12"/>
  <c r="K15" i="12"/>
  <c r="K21" i="12"/>
  <c r="L28" i="12"/>
  <c r="L27" i="12"/>
  <c r="L26" i="12"/>
  <c r="L25" i="12"/>
  <c r="L17" i="12"/>
  <c r="N36" i="19"/>
  <c r="N45" i="19"/>
  <c r="N33" i="19"/>
  <c r="R33" i="19"/>
  <c r="P33" i="19"/>
  <c r="Q33" i="19"/>
  <c r="Q36" i="19"/>
  <c r="Q35" i="19"/>
  <c r="Q37" i="19"/>
  <c r="R36" i="19"/>
  <c r="R68" i="19"/>
  <c r="O68" i="19"/>
  <c r="P41" i="19"/>
  <c r="P68" i="19"/>
  <c r="P70" i="19"/>
  <c r="M68" i="19"/>
  <c r="N68" i="19"/>
  <c r="Q68" i="19"/>
  <c r="S68" i="19"/>
  <c r="T31" i="19"/>
  <c r="S31" i="19"/>
  <c r="Q70" i="19"/>
  <c r="N70" i="19"/>
  <c r="O70" i="19"/>
  <c r="R70" i="19"/>
  <c r="S70" i="19"/>
  <c r="M70" i="19"/>
  <c r="S34" i="19"/>
  <c r="S33" i="19"/>
  <c r="Q43" i="19"/>
  <c r="Q39" i="19"/>
  <c r="Q27" i="19"/>
  <c r="T34" i="19"/>
  <c r="T33" i="19"/>
  <c r="K31" i="12"/>
  <c r="K29" i="12"/>
  <c r="K25" i="12"/>
  <c r="K27" i="12"/>
  <c r="K30" i="12"/>
  <c r="K26" i="12"/>
  <c r="K28" i="12"/>
  <c r="AD58" i="1"/>
  <c r="L20" i="12"/>
  <c r="AF79" i="1"/>
  <c r="AF80" i="1"/>
  <c r="AF81" i="1"/>
  <c r="AF82" i="1"/>
  <c r="AF83" i="1"/>
  <c r="AF84" i="1"/>
  <c r="N37" i="19"/>
  <c r="N35" i="19"/>
  <c r="T36" i="19"/>
  <c r="O36" i="19"/>
  <c r="O33" i="19"/>
  <c r="P47" i="19"/>
  <c r="P18" i="12"/>
  <c r="P15" i="12"/>
  <c r="P17" i="12"/>
  <c r="K20" i="12"/>
  <c r="R28" i="19"/>
  <c r="R41" i="19"/>
  <c r="S28" i="19"/>
  <c r="N41" i="19"/>
  <c r="T28" i="19"/>
  <c r="O28" i="19"/>
  <c r="Q30" i="19"/>
  <c r="R37" i="19"/>
  <c r="R35" i="19"/>
  <c r="Q15" i="12"/>
  <c r="Q16" i="12"/>
  <c r="L16" i="12"/>
  <c r="S36" i="19"/>
  <c r="L21" i="12"/>
  <c r="AE71" i="1"/>
  <c r="Q32" i="19"/>
  <c r="Q47" i="19"/>
  <c r="P43" i="19"/>
  <c r="P42" i="19"/>
  <c r="N46" i="19"/>
  <c r="O45" i="19"/>
  <c r="P36" i="19"/>
  <c r="AD30" i="1"/>
  <c r="AE84" i="1"/>
  <c r="S24" i="19"/>
  <c r="S21" i="19"/>
  <c r="K16" i="12"/>
  <c r="G52" i="6"/>
  <c r="G25" i="6"/>
  <c r="F12" i="6"/>
  <c r="I67" i="6"/>
  <c r="G17" i="6"/>
  <c r="K15" i="6"/>
  <c r="I37" i="6"/>
  <c r="G77" i="6"/>
  <c r="G89" i="6"/>
  <c r="K91" i="6"/>
  <c r="K76" i="6"/>
  <c r="N66" i="6"/>
  <c r="G15" i="6"/>
  <c r="O90" i="6"/>
  <c r="O12" i="6"/>
  <c r="J90" i="6"/>
  <c r="I78" i="6"/>
  <c r="H80" i="6"/>
  <c r="I93" i="6"/>
  <c r="G37" i="6"/>
  <c r="N40" i="6"/>
  <c r="F40" i="6"/>
  <c r="G92" i="6"/>
  <c r="F41" i="6"/>
  <c r="K16" i="6"/>
  <c r="N16" i="6"/>
  <c r="G11" i="6"/>
  <c r="N12" i="6"/>
  <c r="O76" i="6"/>
  <c r="H64" i="6"/>
  <c r="J56" i="6"/>
  <c r="G28" i="6"/>
  <c r="O77" i="6"/>
  <c r="H69" i="6"/>
  <c r="F38" i="6"/>
  <c r="N81" i="6"/>
  <c r="J79" i="6"/>
  <c r="J54" i="6"/>
  <c r="G26" i="6"/>
  <c r="H65" i="6"/>
  <c r="H27" i="6"/>
  <c r="H68" i="6"/>
  <c r="G90" i="6"/>
  <c r="G50" i="6"/>
  <c r="J93" i="6"/>
  <c r="F56" i="6"/>
  <c r="O79" i="6"/>
  <c r="J28" i="6"/>
  <c r="G54" i="6"/>
  <c r="I40" i="6"/>
  <c r="F64" i="6"/>
  <c r="O38" i="6"/>
  <c r="F28" i="6"/>
  <c r="I29" i="6"/>
  <c r="I15" i="6"/>
  <c r="N14" i="6"/>
  <c r="N13" i="6"/>
  <c r="K13" i="6"/>
  <c r="J12" i="6"/>
  <c r="J14" i="6"/>
  <c r="N79" i="6"/>
  <c r="K65" i="6"/>
  <c r="N38" i="6"/>
  <c r="F26" i="6"/>
  <c r="N80" i="6"/>
  <c r="O53" i="6"/>
  <c r="O25" i="6"/>
  <c r="H90" i="6"/>
  <c r="K82" i="6"/>
  <c r="H56" i="6"/>
  <c r="H29" i="6"/>
  <c r="G68" i="6"/>
  <c r="I77" i="6"/>
  <c r="O55" i="6"/>
  <c r="H93" i="6"/>
  <c r="I55" i="6"/>
  <c r="F94" i="6"/>
  <c r="I39" i="6"/>
  <c r="J82" i="6"/>
  <c r="J91" i="6"/>
  <c r="G40" i="6"/>
  <c r="O26" i="6"/>
  <c r="J42" i="6"/>
  <c r="K28" i="6"/>
  <c r="K77" i="6"/>
  <c r="O11" i="6"/>
  <c r="H16" i="6"/>
  <c r="F55" i="6"/>
  <c r="K89" i="6"/>
  <c r="I91" i="6"/>
  <c r="F30" i="6"/>
  <c r="G38" i="6"/>
  <c r="F17" i="6"/>
  <c r="G39" i="6"/>
  <c r="H28" i="6"/>
  <c r="I54" i="6"/>
  <c r="K38" i="6"/>
  <c r="J64" i="6"/>
  <c r="I14" i="6"/>
  <c r="O14" i="6"/>
  <c r="J81" i="6"/>
  <c r="H89" i="6"/>
  <c r="F27" i="6"/>
  <c r="H40" i="6"/>
  <c r="N89" i="6"/>
  <c r="I41" i="6"/>
  <c r="G64" i="6"/>
  <c r="O51" i="6"/>
  <c r="F42" i="6"/>
  <c r="N15" i="6"/>
  <c r="K17" i="6"/>
  <c r="G14" i="6"/>
  <c r="H11" i="6"/>
  <c r="I95" i="6"/>
  <c r="F78" i="6"/>
  <c r="H50" i="6"/>
  <c r="O24" i="6"/>
  <c r="K90" i="6"/>
  <c r="N50" i="6"/>
  <c r="N39" i="6"/>
  <c r="I89" i="6"/>
  <c r="F89" i="6"/>
  <c r="J68" i="6"/>
  <c r="I43" i="6"/>
  <c r="N63" i="6"/>
  <c r="H38" i="6"/>
  <c r="H79" i="6"/>
  <c r="H41" i="6"/>
  <c r="I63" i="6"/>
  <c r="O29" i="6"/>
  <c r="K68" i="6"/>
  <c r="J30" i="6"/>
  <c r="I69" i="6"/>
  <c r="H78" i="6"/>
  <c r="N67" i="6"/>
  <c r="I56" i="6"/>
  <c r="K42" i="6"/>
  <c r="H95" i="6"/>
  <c r="N11" i="6"/>
  <c r="I17" i="6"/>
  <c r="N55" i="6"/>
  <c r="F92" i="6"/>
  <c r="J41" i="6"/>
  <c r="K26" i="6"/>
  <c r="K64" i="6"/>
  <c r="J16" i="6"/>
  <c r="H77" i="6"/>
  <c r="I65" i="6"/>
  <c r="G93" i="6"/>
  <c r="O67" i="6"/>
  <c r="F29" i="6"/>
  <c r="J39" i="6"/>
  <c r="G13" i="6"/>
  <c r="H92" i="6"/>
  <c r="H42" i="6"/>
  <c r="H55" i="6"/>
  <c r="G67" i="6"/>
  <c r="O42" i="6"/>
  <c r="H82" i="6"/>
  <c r="J25" i="6"/>
  <c r="O93" i="6"/>
  <c r="H14" i="6"/>
  <c r="G12" i="6"/>
  <c r="J11" i="6"/>
  <c r="J15" i="6"/>
  <c r="G16" i="6"/>
  <c r="F95" i="6"/>
  <c r="O65" i="6"/>
  <c r="K51" i="6"/>
  <c r="K24" i="6"/>
  <c r="G94" i="6"/>
  <c r="I64" i="6"/>
  <c r="H39" i="6"/>
  <c r="J92" i="6"/>
  <c r="I76" i="6"/>
  <c r="N52" i="6"/>
  <c r="F43" i="6"/>
  <c r="I81" i="6"/>
  <c r="G41" i="6"/>
  <c r="H63" i="6"/>
  <c r="O28" i="6"/>
  <c r="H66" i="6"/>
  <c r="K27" i="6"/>
  <c r="N51" i="6"/>
  <c r="I94" i="6"/>
  <c r="K55" i="6"/>
  <c r="N65" i="6"/>
  <c r="O54" i="6"/>
  <c r="K39" i="6"/>
  <c r="N64" i="6"/>
  <c r="N78" i="6"/>
  <c r="J51" i="6"/>
  <c r="I11" i="6"/>
  <c r="J89" i="6"/>
  <c r="K54" i="6"/>
  <c r="K79" i="6"/>
  <c r="O80" i="6"/>
  <c r="K25" i="6"/>
  <c r="H13" i="6"/>
  <c r="F15" i="6"/>
  <c r="F67" i="6"/>
  <c r="J53" i="6"/>
  <c r="K92" i="6"/>
  <c r="H76" i="6"/>
  <c r="K80" i="6"/>
  <c r="K94" i="6"/>
  <c r="F13" i="6"/>
  <c r="O16" i="6"/>
  <c r="N53" i="6"/>
  <c r="F79" i="6"/>
  <c r="F93" i="6"/>
  <c r="F90" i="6"/>
  <c r="I38" i="6"/>
  <c r="I66" i="6"/>
  <c r="G51" i="6"/>
  <c r="K69" i="6"/>
  <c r="G29" i="6"/>
  <c r="J13" i="6"/>
  <c r="K14" i="6"/>
  <c r="O15" i="6"/>
  <c r="J17" i="6"/>
  <c r="N91" i="6"/>
  <c r="N68" i="6"/>
  <c r="I53" i="6"/>
  <c r="I26" i="6"/>
  <c r="O89" i="6"/>
  <c r="G66" i="6"/>
  <c r="I42" i="6"/>
  <c r="K95" i="6"/>
  <c r="G78" i="6"/>
  <c r="I51" i="6"/>
  <c r="N25" i="6"/>
  <c r="G63" i="6"/>
  <c r="O27" i="6"/>
  <c r="J65" i="6"/>
  <c r="I27" i="6"/>
  <c r="I68" i="6"/>
  <c r="I90" i="6"/>
  <c r="K52" i="6"/>
  <c r="O91" i="6"/>
  <c r="G42" i="6"/>
  <c r="H67" i="6"/>
  <c r="O40" i="6"/>
  <c r="J94" i="6"/>
  <c r="O52" i="6"/>
  <c r="J77" i="6"/>
  <c r="G24" i="6"/>
  <c r="H12" i="6"/>
  <c r="F76" i="6"/>
  <c r="K11" i="6"/>
  <c r="F14" i="6"/>
  <c r="O13" i="6"/>
  <c r="F16" i="6"/>
  <c r="K12" i="6"/>
  <c r="K93" i="6"/>
  <c r="G80" i="6"/>
  <c r="G69" i="6"/>
  <c r="N37" i="6"/>
  <c r="N27" i="6"/>
  <c r="O78" i="6"/>
  <c r="N92" i="6"/>
  <c r="O66" i="6"/>
  <c r="I50" i="6"/>
  <c r="K40" i="6"/>
  <c r="K29" i="6"/>
  <c r="K78" i="6"/>
  <c r="N77" i="6"/>
  <c r="K63" i="6"/>
  <c r="G53" i="6"/>
  <c r="K41" i="6"/>
  <c r="K30" i="6"/>
  <c r="F82" i="6"/>
  <c r="F52" i="6"/>
  <c r="G30" i="6"/>
  <c r="G82" i="6"/>
  <c r="F53" i="6"/>
  <c r="H30" i="6"/>
  <c r="O64" i="6"/>
  <c r="F54" i="6"/>
  <c r="I30" i="6"/>
  <c r="J63" i="6"/>
  <c r="N42" i="6"/>
  <c r="H91" i="6"/>
  <c r="N90" i="6"/>
  <c r="N29" i="6"/>
  <c r="O92" i="6"/>
  <c r="F24" i="6"/>
  <c r="H54" i="6"/>
  <c r="F77" i="6"/>
  <c r="F51" i="6"/>
  <c r="H26" i="6"/>
  <c r="H51" i="6"/>
  <c r="K37" i="6"/>
  <c r="K66" i="6"/>
  <c r="H17" i="6"/>
  <c r="I16" i="6"/>
  <c r="J40" i="6"/>
  <c r="J29" i="6"/>
  <c r="I92" i="6"/>
  <c r="J78" i="6"/>
  <c r="J67" i="6"/>
  <c r="K56" i="6"/>
  <c r="N28" i="6"/>
  <c r="H94" i="6"/>
  <c r="G95" i="6"/>
  <c r="H81" i="6"/>
  <c r="F65" i="6"/>
  <c r="O41" i="6"/>
  <c r="I24" i="6"/>
  <c r="N94" i="6"/>
  <c r="F66" i="6"/>
  <c r="H43" i="6"/>
  <c r="F91" i="6"/>
  <c r="F69" i="6"/>
  <c r="J43" i="6"/>
  <c r="N76" i="6"/>
  <c r="F50" i="6"/>
  <c r="F39" i="6"/>
  <c r="J76" i="6"/>
  <c r="J50" i="6"/>
  <c r="N26" i="6"/>
  <c r="I80" i="6"/>
  <c r="K50" i="6"/>
  <c r="G81" i="6"/>
  <c r="N54" i="6"/>
  <c r="J80" i="6"/>
  <c r="G27" i="6"/>
  <c r="H24" i="6"/>
  <c r="F81" i="6"/>
  <c r="G43" i="6"/>
  <c r="H37" i="6"/>
  <c r="G65" i="6"/>
  <c r="H53" i="6"/>
  <c r="I13" i="6"/>
  <c r="H15" i="6"/>
  <c r="F63" i="6"/>
  <c r="F37" i="6"/>
  <c r="G55" i="6"/>
  <c r="K43" i="6"/>
  <c r="G91" i="6"/>
  <c r="J95" i="6"/>
  <c r="K81" i="6"/>
  <c r="F68" i="6"/>
  <c r="J37" i="6"/>
  <c r="J26" i="6"/>
  <c r="N93" i="6"/>
  <c r="O94" i="6"/>
  <c r="O63" i="6"/>
  <c r="O50" i="6"/>
  <c r="J38" i="6"/>
  <c r="J27" i="6"/>
  <c r="G79" i="6"/>
  <c r="H52" i="6"/>
  <c r="J24" i="6"/>
  <c r="G76" i="6"/>
  <c r="I52" i="6"/>
  <c r="H25" i="6"/>
  <c r="I79" i="6"/>
  <c r="J52" i="6"/>
  <c r="I25" i="6"/>
  <c r="I82" i="6"/>
  <c r="J55" i="6"/>
  <c r="I28" i="6"/>
  <c r="O68" i="6"/>
  <c r="N24" i="6"/>
  <c r="J69" i="6"/>
  <c r="O39" i="6"/>
  <c r="K67" i="6"/>
  <c r="G56" i="6"/>
  <c r="F80" i="6"/>
  <c r="O37" i="6"/>
  <c r="O81" i="6"/>
  <c r="K53" i="6"/>
  <c r="J66" i="6"/>
  <c r="F25" i="6"/>
  <c r="I12" i="6"/>
  <c r="C13" i="21"/>
  <c r="R39" i="19"/>
  <c r="R27" i="19"/>
  <c r="R30" i="19"/>
  <c r="N30" i="19"/>
  <c r="N39" i="19"/>
  <c r="N27" i="19"/>
  <c r="N23" i="19"/>
  <c r="O32" i="19"/>
  <c r="O47" i="19"/>
  <c r="O41" i="19"/>
  <c r="R32" i="19"/>
  <c r="R47" i="19"/>
  <c r="O46" i="19"/>
  <c r="P45" i="19"/>
  <c r="N43" i="19"/>
  <c r="N42" i="19"/>
  <c r="P37" i="19"/>
  <c r="P35" i="19"/>
  <c r="S37" i="19"/>
  <c r="S35" i="19"/>
  <c r="T32" i="19"/>
  <c r="T47" i="19"/>
  <c r="T41" i="19"/>
  <c r="S41" i="19"/>
  <c r="S32" i="19"/>
  <c r="S47" i="19"/>
  <c r="Q42" i="19"/>
  <c r="T37" i="19"/>
  <c r="T35" i="19"/>
  <c r="O37" i="19"/>
  <c r="O35" i="19"/>
  <c r="R43" i="19"/>
  <c r="R42" i="19"/>
  <c r="K31" i="21"/>
  <c r="K28" i="21"/>
  <c r="D32" i="21"/>
  <c r="K26" i="21"/>
  <c r="K29" i="21"/>
  <c r="K27" i="21"/>
  <c r="K30" i="21"/>
  <c r="E27" i="21"/>
  <c r="E32" i="21"/>
  <c r="H28" i="21"/>
  <c r="K16" i="21"/>
  <c r="E28" i="21"/>
  <c r="K15" i="21"/>
  <c r="H30" i="21"/>
  <c r="H31" i="21"/>
  <c r="E19" i="21"/>
  <c r="H32" i="21"/>
  <c r="H29" i="21"/>
  <c r="H27" i="21"/>
  <c r="H19" i="21"/>
  <c r="H26" i="21"/>
  <c r="K17" i="21"/>
  <c r="C32" i="21"/>
  <c r="D29" i="21"/>
  <c r="D27" i="21"/>
  <c r="D17" i="21"/>
  <c r="D14" i="21"/>
  <c r="E14" i="21"/>
  <c r="H18" i="21"/>
  <c r="D19" i="21"/>
  <c r="E16" i="21"/>
  <c r="D31" i="21"/>
  <c r="E29" i="21"/>
  <c r="D26" i="21"/>
  <c r="C31" i="21"/>
  <c r="E30" i="21"/>
  <c r="D30" i="21"/>
  <c r="E26" i="21"/>
  <c r="C17" i="21"/>
  <c r="E31" i="21"/>
  <c r="D28" i="21"/>
  <c r="E15" i="21"/>
  <c r="C30" i="21"/>
  <c r="C27" i="21"/>
  <c r="D15" i="21"/>
  <c r="C29" i="21"/>
  <c r="C28" i="21"/>
  <c r="C26" i="21"/>
  <c r="C14" i="21"/>
  <c r="H14" i="21"/>
  <c r="D16" i="21"/>
  <c r="C15" i="21"/>
  <c r="E17" i="21"/>
  <c r="H15" i="21"/>
  <c r="C19" i="21"/>
  <c r="E18" i="21"/>
  <c r="K14" i="21"/>
  <c r="C16" i="21"/>
  <c r="K18" i="21"/>
  <c r="H17" i="21"/>
  <c r="D13" i="21"/>
  <c r="D18" i="21"/>
  <c r="C18" i="21"/>
  <c r="H16" i="21"/>
  <c r="E13" i="21"/>
  <c r="K13" i="21"/>
  <c r="H13" i="21"/>
  <c r="T39" i="19"/>
  <c r="T27" i="19"/>
  <c r="T48" i="19"/>
  <c r="T30" i="19"/>
  <c r="S39" i="19"/>
  <c r="S27" i="19"/>
  <c r="S48" i="19"/>
  <c r="S30" i="19"/>
  <c r="Q45" i="19"/>
  <c r="P46" i="19"/>
  <c r="P44" i="19"/>
  <c r="P40" i="19"/>
  <c r="P39" i="19"/>
  <c r="P30" i="19"/>
  <c r="P27" i="19"/>
  <c r="P48" i="19"/>
  <c r="Q23" i="19"/>
  <c r="Q22" i="19"/>
  <c r="Q20" i="19"/>
  <c r="S23" i="19"/>
  <c r="S22" i="19"/>
  <c r="S20" i="19"/>
  <c r="N22" i="19"/>
  <c r="N20" i="19"/>
  <c r="T23" i="19"/>
  <c r="T22" i="19"/>
  <c r="T20" i="19"/>
  <c r="R23" i="19"/>
  <c r="R22" i="19"/>
  <c r="R20" i="19"/>
  <c r="Q48" i="19"/>
  <c r="S43" i="19"/>
  <c r="N44" i="19"/>
  <c r="N40" i="19"/>
  <c r="O43" i="19"/>
  <c r="O44" i="19"/>
  <c r="O40" i="19"/>
  <c r="R48" i="19"/>
  <c r="O30" i="19"/>
  <c r="O39" i="19"/>
  <c r="T43" i="19"/>
  <c r="T42" i="19"/>
  <c r="O27" i="19"/>
  <c r="O48" i="19"/>
  <c r="F13" i="21"/>
  <c r="F14" i="21"/>
  <c r="F32" i="21"/>
  <c r="F28" i="21"/>
  <c r="F16" i="21"/>
  <c r="F30" i="21"/>
  <c r="F17" i="21"/>
  <c r="F15" i="21"/>
  <c r="F31" i="21"/>
  <c r="G14" i="21"/>
  <c r="F29" i="21"/>
  <c r="G19" i="21"/>
  <c r="F19" i="21"/>
  <c r="G30" i="21"/>
  <c r="F27" i="21"/>
  <c r="F18" i="21"/>
  <c r="G32" i="21"/>
  <c r="G28" i="21"/>
  <c r="G31" i="21"/>
  <c r="G29" i="21"/>
  <c r="G16" i="21"/>
  <c r="F26" i="21"/>
  <c r="G18" i="21"/>
  <c r="G17" i="21"/>
  <c r="G27" i="21"/>
  <c r="G15" i="21"/>
  <c r="S42" i="19"/>
  <c r="O23" i="19"/>
  <c r="O22" i="19"/>
  <c r="O20" i="19"/>
  <c r="R45" i="19"/>
  <c r="Q44" i="19"/>
  <c r="Q40" i="19"/>
  <c r="Q46" i="19"/>
  <c r="O42" i="19"/>
  <c r="P23" i="19"/>
  <c r="P22" i="19"/>
  <c r="P20" i="19"/>
  <c r="L18" i="21"/>
  <c r="L17" i="21"/>
  <c r="L15" i="21"/>
  <c r="L13" i="21"/>
  <c r="L14" i="21"/>
  <c r="L16" i="21"/>
  <c r="L29" i="21"/>
  <c r="L27" i="21"/>
  <c r="L30" i="21"/>
  <c r="L26" i="21"/>
  <c r="L31" i="21"/>
  <c r="L28" i="21"/>
  <c r="S45" i="19"/>
  <c r="R46" i="19"/>
  <c r="R44" i="19"/>
  <c r="R40" i="19"/>
  <c r="T45" i="19"/>
  <c r="S46" i="19"/>
  <c r="S44" i="19"/>
  <c r="S40" i="19"/>
  <c r="T46" i="19"/>
  <c r="T44" i="19"/>
  <c r="T40" i="19"/>
</calcChain>
</file>

<file path=xl/sharedStrings.xml><?xml version="1.0" encoding="utf-8"?>
<sst xmlns="http://schemas.openxmlformats.org/spreadsheetml/2006/main" count="3611" uniqueCount="669">
  <si>
    <t>Power Bin</t>
  </si>
  <si>
    <t>Sector</t>
  </si>
  <si>
    <t>Application</t>
  </si>
  <si>
    <t>Discount Rate</t>
  </si>
  <si>
    <t>Lifetime</t>
  </si>
  <si>
    <t>Pass/Fail - EL0</t>
  </si>
  <si>
    <t>Pass/Fail - EL1</t>
  </si>
  <si>
    <t>Pass/Fail - EL2</t>
  </si>
  <si>
    <t>Pass/Fail - EL3</t>
  </si>
  <si>
    <t>Pass/Fail - EL4</t>
  </si>
  <si>
    <t>Pass/Fail - EL5</t>
  </si>
  <si>
    <t>Pass/Fail - EL6</t>
  </si>
  <si>
    <t>Clean Air Ventilation</t>
  </si>
  <si>
    <t>Pass</t>
  </si>
  <si>
    <t>P02</t>
  </si>
  <si>
    <t>Combustion</t>
  </si>
  <si>
    <t>Drying</t>
  </si>
  <si>
    <t>Exhaust</t>
  </si>
  <si>
    <t>Other Applications</t>
  </si>
  <si>
    <t>Fail</t>
  </si>
  <si>
    <t>P03</t>
  </si>
  <si>
    <t>P01</t>
  </si>
  <si>
    <t>P04</t>
  </si>
  <si>
    <t>P05</t>
  </si>
  <si>
    <t>P06</t>
  </si>
  <si>
    <t>P07</t>
  </si>
  <si>
    <t>P08</t>
  </si>
  <si>
    <t>P09</t>
  </si>
  <si>
    <t>Process Air</t>
  </si>
  <si>
    <t>Centrifugal Housed</t>
  </si>
  <si>
    <t>Centrifugal Unhoused</t>
  </si>
  <si>
    <t>Inline and Mixed Flow</t>
  </si>
  <si>
    <t>Radial</t>
  </si>
  <si>
    <t>Year</t>
  </si>
  <si>
    <t>Industrial</t>
  </si>
  <si>
    <t>Commercial</t>
  </si>
  <si>
    <t>Introduction</t>
  </si>
  <si>
    <t>Summary</t>
  </si>
  <si>
    <t>Sectors and Applications</t>
  </si>
  <si>
    <t>Inputs used to determine the consumer attributes and usage attributes of each fan installation considered in the LCC and PBP analysis</t>
  </si>
  <si>
    <t>Fan Configuration</t>
  </si>
  <si>
    <t>Fan mechanical lifetime estimate and statistical distributions used in the LCC calculation</t>
  </si>
  <si>
    <t>Markups and Distribution Channels</t>
  </si>
  <si>
    <t>Baseline and Incremental Markups used to convert manufacturer selling price estimates to consumer prices; and the primary fan manufacturer distribution channels</t>
  </si>
  <si>
    <t>Equipment Price</t>
  </si>
  <si>
    <t>Manufacturer production cost (MPC) and total conversion cost data for each EL and fan group</t>
  </si>
  <si>
    <t>Electricity Prices &amp; Trends</t>
  </si>
  <si>
    <t xml:space="preserve">National electricity prices and trends </t>
  </si>
  <si>
    <t>Discount rates used to discount future costs/savings in the LCC calculation</t>
  </si>
  <si>
    <t>Default Losses</t>
  </si>
  <si>
    <t>Default motor full load nominal efficiency &amp; part load losses, and default transmission efficiencies</t>
  </si>
  <si>
    <t>LCC Methodology</t>
  </si>
  <si>
    <t xml:space="preserve">Average LCC and PBP Results </t>
  </si>
  <si>
    <t>Efficiency Level</t>
  </si>
  <si>
    <t>Average Life-Cycle Cost</t>
  </si>
  <si>
    <t>Payback Period</t>
  </si>
  <si>
    <t>Life-Cycle Cost Savings</t>
  </si>
  <si>
    <t>Installed Cost</t>
  </si>
  <si>
    <t>First Year's 
Operating Cost</t>
  </si>
  <si>
    <t>Lifetime Operating 
Cost</t>
  </si>
  <si>
    <t>LCC</t>
  </si>
  <si>
    <t xml:space="preserve">Simple Payback
(years) </t>
  </si>
  <si>
    <t>Average Lifetime 
(years)</t>
  </si>
  <si>
    <t>Notes</t>
  </si>
  <si>
    <t>Power Roof Ventilator</t>
  </si>
  <si>
    <t>Industrial Sector</t>
  </si>
  <si>
    <t>Commercial Sector</t>
  </si>
  <si>
    <t>Bin ranges (HP)</t>
  </si>
  <si>
    <t>1. Clean Air Ventilation</t>
  </si>
  <si>
    <t>n/a</t>
  </si>
  <si>
    <t>Percentage</t>
  </si>
  <si>
    <t>Total</t>
  </si>
  <si>
    <t>1.00 - 1.80</t>
  </si>
  <si>
    <t>1.80 - 3.25</t>
  </si>
  <si>
    <t>3.25 - 5.85</t>
  </si>
  <si>
    <t>5.85 - 10.54</t>
  </si>
  <si>
    <t>10.54 - 18.98</t>
  </si>
  <si>
    <t>Process Heating/Cooling</t>
  </si>
  <si>
    <t>18.98 - 34.20</t>
  </si>
  <si>
    <t>34.20 - 61.62</t>
  </si>
  <si>
    <t>61.62 - 111.01</t>
  </si>
  <si>
    <t>111.01 - 200.0</t>
  </si>
  <si>
    <t>2. Exhaust</t>
  </si>
  <si>
    <t>Inline &amp; Mixed Flow</t>
  </si>
  <si>
    <t>4. Drying</t>
  </si>
  <si>
    <t>5. Process Heating/Cooling</t>
  </si>
  <si>
    <t>6. Combustion</t>
  </si>
  <si>
    <t>Survival Rate</t>
  </si>
  <si>
    <t>shape</t>
  </si>
  <si>
    <t>scale</t>
  </si>
  <si>
    <t>step</t>
  </si>
  <si>
    <t>EL</t>
  </si>
  <si>
    <t>Markups &amp; Distribution Channels</t>
  </si>
  <si>
    <t xml:space="preserve">Distributor -&gt; Contractor -&gt; End-user
</t>
  </si>
  <si>
    <t xml:space="preserve">Distributor -&gt; End-user
</t>
  </si>
  <si>
    <t>Baseline Markup</t>
  </si>
  <si>
    <t>Incremental Markup</t>
  </si>
  <si>
    <t xml:space="preserve">Radial  </t>
  </si>
  <si>
    <t>From Manufacturer to:</t>
  </si>
  <si>
    <t>OEM</t>
  </si>
  <si>
    <t>Distributor</t>
  </si>
  <si>
    <t>Contractor</t>
  </si>
  <si>
    <t>Markup before Tax</t>
  </si>
  <si>
    <t>Sales Tax</t>
  </si>
  <si>
    <t>Overall Markup</t>
  </si>
  <si>
    <t>MPC = C * ( A * D + D ^ B )</t>
  </si>
  <si>
    <t>MSP = MM * MPC</t>
  </si>
  <si>
    <t xml:space="preserve">Where: </t>
  </si>
  <si>
    <t xml:space="preserve">MM </t>
  </si>
  <si>
    <t>EL 1</t>
  </si>
  <si>
    <t>EL 2</t>
  </si>
  <si>
    <t>EL 3</t>
  </si>
  <si>
    <t>EL 4</t>
  </si>
  <si>
    <t>EL 5</t>
  </si>
  <si>
    <t>EL 6</t>
  </si>
  <si>
    <t>EL 0</t>
  </si>
  <si>
    <t>Discount Rate - Mean</t>
  </si>
  <si>
    <t>Discount Rate - 
Standard Deviation</t>
  </si>
  <si>
    <t>Default Motor Full Load Nominal Efficiency &amp; Part Load Losses</t>
  </si>
  <si>
    <t>Transmission Efficiency</t>
  </si>
  <si>
    <t>HP rating</t>
  </si>
  <si>
    <t>Motor Full Load Losses (hp)</t>
  </si>
  <si>
    <t>Motor Losses equation coefficients*</t>
  </si>
  <si>
    <t>Transmission Efficiency =  a*(1-e^-(b*BHP)^c)</t>
  </si>
  <si>
    <t>Where:</t>
  </si>
  <si>
    <t>Poles</t>
  </si>
  <si>
    <t>a</t>
  </si>
  <si>
    <t>b</t>
  </si>
  <si>
    <t>c</t>
  </si>
  <si>
    <t>d</t>
  </si>
  <si>
    <t>BHP</t>
  </si>
  <si>
    <t>Shaft input power to the fan</t>
  </si>
  <si>
    <t>EL1</t>
  </si>
  <si>
    <t>EL2</t>
  </si>
  <si>
    <t>EL3</t>
  </si>
  <si>
    <t>EL4</t>
  </si>
  <si>
    <t>EL5</t>
  </si>
  <si>
    <t>EL6</t>
  </si>
  <si>
    <t>Column Header</t>
  </si>
  <si>
    <t>Values</t>
  </si>
  <si>
    <t>EL0</t>
  </si>
  <si>
    <t>a =</t>
  </si>
  <si>
    <t>b =</t>
  </si>
  <si>
    <t>c =</t>
  </si>
  <si>
    <t>$/kWh</t>
  </si>
  <si>
    <t>Years</t>
  </si>
  <si>
    <t>Units</t>
  </si>
  <si>
    <t>CFM</t>
  </si>
  <si>
    <t>WC</t>
  </si>
  <si>
    <t>Present Worth Factor</t>
  </si>
  <si>
    <t>Annual Energy Use</t>
  </si>
  <si>
    <t>$</t>
  </si>
  <si>
    <t>Annual operating cost</t>
  </si>
  <si>
    <t>Lifetime operating cost</t>
  </si>
  <si>
    <t>kW</t>
  </si>
  <si>
    <t>kWh</t>
  </si>
  <si>
    <t xml:space="preserve">          Purchase price</t>
  </si>
  <si>
    <t xml:space="preserve">          Lifetime operating cost</t>
  </si>
  <si>
    <t>HP</t>
  </si>
  <si>
    <t xml:space="preserve">               Annual operating cost</t>
  </si>
  <si>
    <t>Energy use ratio (EL to base case)</t>
  </si>
  <si>
    <t>=</t>
  </si>
  <si>
    <t>Annual energy use</t>
  </si>
  <si>
    <t>Energy use</t>
  </si>
  <si>
    <t>Purchase price + lifetime operating cost</t>
  </si>
  <si>
    <t>Annual operating cost * present worth factor</t>
  </si>
  <si>
    <t>Annual energy use * electricity price</t>
  </si>
  <si>
    <t>Energy use * hours of operation</t>
  </si>
  <si>
    <t>Efficiency ratio at operating point (base case to EL)</t>
  </si>
  <si>
    <t>Notes:</t>
  </si>
  <si>
    <t>Present worth factor</t>
  </si>
  <si>
    <t>Enclosed Motor Full Load Efficiency</t>
  </si>
  <si>
    <t>Open Motor Full Load efficiency</t>
  </si>
  <si>
    <t>Min Full Load  Efficiency</t>
  </si>
  <si>
    <t>Company ID</t>
  </si>
  <si>
    <t>Description</t>
  </si>
  <si>
    <t>Category Code</t>
  </si>
  <si>
    <t>LCC Sample description</t>
  </si>
  <si>
    <t>ImpellerDiameter</t>
  </si>
  <si>
    <t>Nominal Diameter</t>
  </si>
  <si>
    <t>DesignAirFlow</t>
  </si>
  <si>
    <t>FanBHP</t>
  </si>
  <si>
    <t>MotorHP</t>
  </si>
  <si>
    <t>Redesign/Reselect - EL0</t>
  </si>
  <si>
    <t>Redesign/Reselect - EL1</t>
  </si>
  <si>
    <t>Redesign/Reselect - EL2</t>
  </si>
  <si>
    <t>Redesign/Reselect - EL3</t>
  </si>
  <si>
    <t>Redesign/Reselect - EL4</t>
  </si>
  <si>
    <t>Redesign/Reselect - EL5</t>
  </si>
  <si>
    <t>Redesign/Reselect - EL6</t>
  </si>
  <si>
    <t>Fan model diameter (inches)</t>
  </si>
  <si>
    <t>Shaft input power at the design point (HP)</t>
  </si>
  <si>
    <t>Power Bin ID corresponding to the FanBHP</t>
  </si>
  <si>
    <t>Base-Case Value</t>
  </si>
  <si>
    <t>CI</t>
  </si>
  <si>
    <t>Resel</t>
  </si>
  <si>
    <t>Unit</t>
  </si>
  <si>
    <t>in.</t>
  </si>
  <si>
    <t>cfm</t>
  </si>
  <si>
    <t>in.wg.</t>
  </si>
  <si>
    <t>%</t>
  </si>
  <si>
    <t xml:space="preserve">At each EL: </t>
  </si>
  <si>
    <t>hr/yr</t>
  </si>
  <si>
    <t>Fan Drive</t>
  </si>
  <si>
    <t>Configuration</t>
  </si>
  <si>
    <t>Ducted / Unducted</t>
  </si>
  <si>
    <t xml:space="preserve">FEI </t>
  </si>
  <si>
    <t xml:space="preserve">               Maximum Allowable BHP </t>
  </si>
  <si>
    <t xml:space="preserve">                   Motor Size</t>
  </si>
  <si>
    <t xml:space="preserve">                   Full Load Motor Losses</t>
  </si>
  <si>
    <t xml:space="preserve">               Motor losses @ operating point</t>
  </si>
  <si>
    <t>TA</t>
  </si>
  <si>
    <t>VA</t>
  </si>
  <si>
    <t>P</t>
  </si>
  <si>
    <t>AF</t>
  </si>
  <si>
    <t>FC</t>
  </si>
  <si>
    <t>UC</t>
  </si>
  <si>
    <t>MF</t>
  </si>
  <si>
    <t>APRV</t>
  </si>
  <si>
    <t>CPRV</t>
  </si>
  <si>
    <t>RA</t>
  </si>
  <si>
    <t>Ducted</t>
  </si>
  <si>
    <t>Unducted</t>
  </si>
  <si>
    <t>Summary LCC and PBP results for all Efficiency Levels (EL) and fan family (ducted or unducted)</t>
  </si>
  <si>
    <t>ALL</t>
  </si>
  <si>
    <t>Default</t>
  </si>
  <si>
    <t>LCC Approach Overview</t>
  </si>
  <si>
    <t>4, 5, 6, 7, 8, 9, 10, 11, 13, 14, 15, 17, 18, 20, 22, 24, 27, 30, 33, 36, 39, 43, 48, 52, 58, 63, 70, 77, 84, 93, 102, 112, 124, and 136</t>
  </si>
  <si>
    <t xml:space="preserve">Belt or Direct driven </t>
  </si>
  <si>
    <t>.</t>
  </si>
  <si>
    <t xml:space="preserve"> </t>
  </si>
  <si>
    <t>4. Calculations</t>
  </si>
  <si>
    <t>5. Equations (all Els)</t>
  </si>
  <si>
    <t>1. Selected Row in LCC sample (Base-Case)</t>
  </si>
  <si>
    <t>Distributor -&gt; Contractor -&gt; End-user</t>
  </si>
  <si>
    <t>OEM -&gt; Distributor -&gt;End-user</t>
  </si>
  <si>
    <t>Distributor -&gt; End-user</t>
  </si>
  <si>
    <t>OEM -&gt; Distributor -&gt; End-user</t>
  </si>
  <si>
    <t>Electricity Price Trend Index 
(base year = 2014)</t>
  </si>
  <si>
    <t xml:space="preserve">Industrial </t>
  </si>
  <si>
    <t>Reference</t>
  </si>
  <si>
    <t></t>
  </si>
  <si>
    <t>Example Calculation</t>
  </si>
  <si>
    <t xml:space="preserve">  PWF = (1- x ^L)/(1-x)  ; x = (1+e)/(1+d) (where e = average electricity price growth rate, see "Electricity Prices &amp; Trends";  L = lifetime; and d = discount rate)</t>
  </si>
  <si>
    <t>--</t>
  </si>
  <si>
    <t>Keep</t>
  </si>
  <si>
    <t>Drive Type</t>
  </si>
  <si>
    <t>Purchase Price</t>
  </si>
  <si>
    <t>Added Conversion Costs</t>
  </si>
  <si>
    <t>Calculated purchase price based on the Engineering cost curves, markups, and Conversion costs where appropriate ($)</t>
  </si>
  <si>
    <t>Conversion Markup based on Total Conversion Costs from Engineering Analysis (See Equipment price for calculation details)</t>
  </si>
  <si>
    <t>Sector in which the fan is used based on a Monte Carlo Simulation (See "Sectors and Applications" worksheet)</t>
  </si>
  <si>
    <t>Fan application based on a Monte Carlo Simulation (See "Sectors and Applications" worksheet)</t>
  </si>
  <si>
    <t>Discount rate derived from a Monte Carlo Simulation (See "Discount Rate" worksheet)</t>
  </si>
  <si>
    <t>Operating Hours</t>
  </si>
  <si>
    <t>Annual Operating hours based on a Monte Carlo Simulation (See "Sectors and Applications" worksheet)</t>
  </si>
  <si>
    <t>Lifetime derived from a Monte Carlo Simulation (See "Lifetime" worksheet)</t>
  </si>
  <si>
    <t>Markup - Baseline</t>
  </si>
  <si>
    <t>Overall baseline markup (see "Markups &amp; Distribution Channels" worksheet)</t>
  </si>
  <si>
    <t>Markup - Incremental</t>
  </si>
  <si>
    <t>Overall incremental markup (see "Markups &amp; Distribution Channels" worksheet)</t>
  </si>
  <si>
    <t>Annual Energy Use - EL0</t>
  </si>
  <si>
    <t>Calculated annual energy use (kWh/yr)</t>
  </si>
  <si>
    <t>Annual Energy Use - EL1</t>
  </si>
  <si>
    <t>Annual Energy Use - EL2</t>
  </si>
  <si>
    <t>Annual Energy Use - EL3</t>
  </si>
  <si>
    <t>Annual Energy Use - EL4</t>
  </si>
  <si>
    <t>Annual Energy Use - EL5</t>
  </si>
  <si>
    <t>Annual Energy Use - EL6</t>
  </si>
  <si>
    <t>Annual Operating Cost - EL0</t>
  </si>
  <si>
    <t>Calculated annual operating costs</t>
  </si>
  <si>
    <t>Annual Operating Cost - EL1</t>
  </si>
  <si>
    <t>Annual Operating Cost - EL2</t>
  </si>
  <si>
    <t>Annual Operating Cost - EL3</t>
  </si>
  <si>
    <t>Annual Operating Cost - EL4</t>
  </si>
  <si>
    <t>Annual Operating Cost - EL5</t>
  </si>
  <si>
    <t>Annual Operating Cost - EL6</t>
  </si>
  <si>
    <t>LCC - EL0</t>
  </si>
  <si>
    <t>Calculated Life-Cycle costs at EL0 ($)</t>
  </si>
  <si>
    <t>LCC - EL1</t>
  </si>
  <si>
    <t>Calculated Life-Cycle costs at EL1 ($)</t>
  </si>
  <si>
    <t>LCC - EL2</t>
  </si>
  <si>
    <t>Calculated Life-Cycle costs at EL2 ($)</t>
  </si>
  <si>
    <t>LCC - EL3</t>
  </si>
  <si>
    <t>Calculated Life-Cycle costs at EL3 ($)</t>
  </si>
  <si>
    <t>LCC - EL4</t>
  </si>
  <si>
    <t>Calculated Life-Cycle costs at EL4 ($)</t>
  </si>
  <si>
    <t>LCC - EL5</t>
  </si>
  <si>
    <t>Calculated Life-Cycle costs at EL5 ($)</t>
  </si>
  <si>
    <t>LCC - EL6</t>
  </si>
  <si>
    <t>Calculated Life-Cycle costs at EL6 ($)</t>
  </si>
  <si>
    <t>LCC Saving - EL0</t>
  </si>
  <si>
    <t xml:space="preserve">LCC savings at EL0 ($) </t>
  </si>
  <si>
    <t>LCC Saving - EL1</t>
  </si>
  <si>
    <t>LCC savings at EL1 ($)</t>
  </si>
  <si>
    <t>LCC Saving - EL2</t>
  </si>
  <si>
    <t>LCC savings at EL2 ($)</t>
  </si>
  <si>
    <t>LCC Saving - EL3</t>
  </si>
  <si>
    <t>LCC savings at EL3 ($)</t>
  </si>
  <si>
    <t>LCC Saving - EL4</t>
  </si>
  <si>
    <t>LCC savings at EL4 ($)</t>
  </si>
  <si>
    <t>LCC Saving - EL5</t>
  </si>
  <si>
    <t>LCC savings at EL5 ($)</t>
  </si>
  <si>
    <t>LCC Saving - EL6</t>
  </si>
  <si>
    <t>LCC savings at EL6 ($)</t>
  </si>
  <si>
    <t>kWh/yr</t>
  </si>
  <si>
    <t>Purchase Price - EL0</t>
  </si>
  <si>
    <t>Purchase Price - EL1</t>
  </si>
  <si>
    <t>Purchase Price - EL2</t>
  </si>
  <si>
    <t>Purchase Price - EL3</t>
  </si>
  <si>
    <t>Purchase Price - EL4</t>
  </si>
  <si>
    <t>Purchase Price - EL5</t>
  </si>
  <si>
    <t>Purchase Price - EL6</t>
  </si>
  <si>
    <t>(Manufacturer Markup)</t>
  </si>
  <si>
    <t>A                     =</t>
  </si>
  <si>
    <t>B                     =</t>
  </si>
  <si>
    <t>C                     =</t>
  </si>
  <si>
    <t>D                     =</t>
  </si>
  <si>
    <t>Impeller Diameter (in)</t>
  </si>
  <si>
    <t>MPC multiplier (varies by EL and fan group)</t>
  </si>
  <si>
    <t>(constant)</t>
  </si>
  <si>
    <t>-</t>
  </si>
  <si>
    <t>Calculated based on the fan lifetime and discount rate</t>
  </si>
  <si>
    <t>Operating hours</t>
  </si>
  <si>
    <t xml:space="preserve">Highest Passing EL </t>
  </si>
  <si>
    <t>Redes</t>
  </si>
  <si>
    <t>* The operating pressure is not always equal to the base-case operating pressure because, in the absence of fan performance curves, fan laws were used as a proxy to estimate the energy use of the fan in case of a re-selection.</t>
  </si>
  <si>
    <t>Note: Efficiency Level (EL) and candidate standard level (CSL) are used interchangeably in this spreadsheet</t>
  </si>
  <si>
    <t>Airflow for which the fan was purchased (cfm)</t>
  </si>
  <si>
    <t>Motor horsepower sized using the FanBHP*1.2 - kept constant across ELs</t>
  </si>
  <si>
    <t>Returns the highest EL met by the fan selection</t>
  </si>
  <si>
    <t>Manufacturer Discount Rate</t>
  </si>
  <si>
    <t>Time Period</t>
  </si>
  <si>
    <t>(years)</t>
  </si>
  <si>
    <t>Costs recovery</t>
  </si>
  <si>
    <t>Minimum</t>
  </si>
  <si>
    <t>Maximum</t>
  </si>
  <si>
    <t>*see explanation in notes</t>
  </si>
  <si>
    <t xml:space="preserve">          MSP (no Conversion Costs)</t>
  </si>
  <si>
    <t>MSP  - EL0</t>
  </si>
  <si>
    <t>MSP  - EL1</t>
  </si>
  <si>
    <t>MSP  - EL2</t>
  </si>
  <si>
    <t>MSP  - EL3</t>
  </si>
  <si>
    <t>MSP  - EL4</t>
  </si>
  <si>
    <t>MSP  - EL5</t>
  </si>
  <si>
    <t>MSP  - EL6</t>
  </si>
  <si>
    <t>Description of the complete sample of equipment for all ELs and fan equipment class</t>
  </si>
  <si>
    <t>Allows the user to see the equations used in the LCC calculation for one fan selection taken in the LCC sample</t>
  </si>
  <si>
    <t>Fan Equipment Class</t>
  </si>
  <si>
    <t>Pressure to Use</t>
  </si>
  <si>
    <t>Target FEP - EL0</t>
  </si>
  <si>
    <t>Target FEP - EL1</t>
  </si>
  <si>
    <t>Target FEP - EL2</t>
  </si>
  <si>
    <t>Target FEP - EL3</t>
  </si>
  <si>
    <t>Target FEP - EL4</t>
  </si>
  <si>
    <t>Target FEP - EL5</t>
  </si>
  <si>
    <t>Target FEP - EL6</t>
  </si>
  <si>
    <t>Distribution Channel by Equipment Class (Mfr and Mfr_OEM)</t>
  </si>
  <si>
    <t>Distribution Channel by Equipment Class (OEM)</t>
  </si>
  <si>
    <t>Overall Distribution Channel Markups (Mfr)</t>
  </si>
  <si>
    <t>Overall Distribution Channel Markups (Mfr_OEM)</t>
  </si>
  <si>
    <t>Overall Distribution Channel Markups (OEM)</t>
  </si>
  <si>
    <t>Belt</t>
  </si>
  <si>
    <t>Direct</t>
  </si>
  <si>
    <t>Product ID</t>
  </si>
  <si>
    <t>Market Segment</t>
  </si>
  <si>
    <t>Mfr, Mfr_OEM, or OEM</t>
  </si>
  <si>
    <t>Is OEM</t>
  </si>
  <si>
    <t>Yes or No</t>
  </si>
  <si>
    <t>Pressure to use</t>
  </si>
  <si>
    <t>Equipment Class</t>
  </si>
  <si>
    <t xml:space="preserve">Electricity Price Average </t>
  </si>
  <si>
    <t>Electricity Price (marginal)</t>
  </si>
  <si>
    <t>Keep/Redes/Resel</t>
  </si>
  <si>
    <t xml:space="preserve">          Added Fan Conversion Costs</t>
  </si>
  <si>
    <t>MSP + Conversion costs</t>
  </si>
  <si>
    <t>3. Process Air</t>
  </si>
  <si>
    <t>7. Other Applications</t>
  </si>
  <si>
    <t>3. Return</t>
  </si>
  <si>
    <t>1. Exhaust</t>
  </si>
  <si>
    <t>2. Supply</t>
  </si>
  <si>
    <t>Supply</t>
  </si>
  <si>
    <t>Condenser</t>
  </si>
  <si>
    <t>Axial Cylindrical Housed</t>
  </si>
  <si>
    <t>Panel</t>
  </si>
  <si>
    <t>AEO 2015 Average Annual Electricity Growth Rate 
(2020-2040)</t>
  </si>
  <si>
    <t>Mechanical Lifetime 
(hours)</t>
  </si>
  <si>
    <t>Cumulative Distribution 
Function</t>
  </si>
  <si>
    <t>Weibull Parameters</t>
  </si>
  <si>
    <t>Return</t>
  </si>
  <si>
    <t xml:space="preserve">Power Bin # </t>
  </si>
  <si>
    <t>Percentage of Annual Operating hours</t>
  </si>
  <si>
    <t>Standalone fans (Mfr and Mfr_OEM)</t>
  </si>
  <si>
    <t>Embedded fans (OEM)</t>
  </si>
  <si>
    <t>Load profile: Applied to 20 % of fan selections in the Commercial sector</t>
  </si>
  <si>
    <t>Load profile: Applied to 60 % of fan selections in the Commercial sector</t>
  </si>
  <si>
    <t>Load profile: Applied to 20 % of fan selections in the Industrial sector</t>
  </si>
  <si>
    <t>Load profile: Applied to 10 % of fan selections in the Industrial sector</t>
  </si>
  <si>
    <t>Axial Cylindrical  Housed</t>
  </si>
  <si>
    <t xml:space="preserve">Power Roof Ventilator </t>
  </si>
  <si>
    <t xml:space="preserve">Axial Cylindrical Housed </t>
  </si>
  <si>
    <t xml:space="preserve">Centrifugal Housed </t>
  </si>
  <si>
    <t xml:space="preserve">Ducted Fans </t>
  </si>
  <si>
    <t xml:space="preserve">Unducted Fans </t>
  </si>
  <si>
    <t>Marginal</t>
  </si>
  <si>
    <t>Average</t>
  </si>
  <si>
    <t xml:space="preserve">LCC Savings Relative to the No Standards Case Efficiency Distribution </t>
  </si>
  <si>
    <t>No Standards Case</t>
  </si>
  <si>
    <t>DISTRIBUTION BY POWER BINS</t>
  </si>
  <si>
    <t xml:space="preserve">ALL FANS --- By Sub category in each Equipment Class </t>
  </si>
  <si>
    <t>STANDALONE FANS -- By Sub category in each Equipment Class (Mfr and Mfr_OEM)</t>
  </si>
  <si>
    <t>EMBEDDED FANS -- By Sub category in each Equipment Class (OEM)</t>
  </si>
  <si>
    <t>ALL FANS -- By Sub category in each Equipment Class</t>
  </si>
  <si>
    <t xml:space="preserve">ALL FANS -- By Family </t>
  </si>
  <si>
    <t>STANDALONE FANS -- By Family (Mfr and Mfr_OEM)</t>
  </si>
  <si>
    <t>STANDALONE  -- By Family (Mfr and Mfr_OEM)</t>
  </si>
  <si>
    <t>EMBEDDED -- By Family (OEM)</t>
  </si>
  <si>
    <t>EMBEDDED FANS -- By Family (OEM)</t>
  </si>
  <si>
    <t xml:space="preserve">ALL FANS -- By Equipment Class </t>
  </si>
  <si>
    <t>STANDALONE FANS -- By Equipment Class (Mfr and Mfr_OEM)</t>
  </si>
  <si>
    <t>EMBEDDED FANS  -- By Equipment Class (OEM)</t>
  </si>
  <si>
    <t>EMBEDDED FANS -- By Equipment Class (OEM)</t>
  </si>
  <si>
    <t>ALL FANS -- By Equipment Class and Drive Configuration</t>
  </si>
  <si>
    <t>STANDALONE FANS -- By Equipment Class and Drive Configuration (Mfr and MFr_OEM)</t>
  </si>
  <si>
    <t>EMBEDDED FANS -- By Equipment Class and Drive Configuration (OEM)</t>
  </si>
  <si>
    <t>% Non Compliant</t>
  </si>
  <si>
    <t>EMBEDDED FANS --  Distribution by Sector (OEM)</t>
  </si>
  <si>
    <t>STANDALONE FANS -- Distribution by Sector (Mfr and Mfr_OEM)</t>
  </si>
  <si>
    <t>2.  Fan Data at each Standard-Case</t>
  </si>
  <si>
    <t xml:space="preserve">   - If the fan in the no standards case (Fan 1) meets the EL, the BHP of the fan in the standards case (Fan 2) is equal to the BHP in the no standards case, BHP2 = BHP1</t>
  </si>
  <si>
    <t xml:space="preserve">   - If Fan 1 is redesigned, the BHP in the standards case exactly meets the requirement of the EL, BHP2 = [(Q1 + 250)(P1+0.4)]/(6343*ηtarget)]</t>
  </si>
  <si>
    <t>Static and Total Efficiency Targets by Efficiency Levels</t>
  </si>
  <si>
    <t>Annualized Total  Fan Conversion Costs  (US total Market)</t>
  </si>
  <si>
    <t>Total Fan Conversion Costs (US total Market)</t>
  </si>
  <si>
    <t>Total OEM Conversion Costs  (US total Market)</t>
  </si>
  <si>
    <t>Annualized Total OEM Conversion Costs (US total Market)</t>
  </si>
  <si>
    <t>Case</t>
  </si>
  <si>
    <t>Mfr</t>
  </si>
  <si>
    <t>none</t>
  </si>
  <si>
    <t>Mfr_OEM</t>
  </si>
  <si>
    <t>reselection</t>
  </si>
  <si>
    <t>redesign</t>
  </si>
  <si>
    <t>Scenario</t>
  </si>
  <si>
    <t>TCC_Fan = Annualized fan conversion costs adjusted to the number of fan selections in the LCC sample</t>
  </si>
  <si>
    <t>TCC_OEM = Annualized OEM conversion costs adjusted to the number of fan selections in the LCC sample</t>
  </si>
  <si>
    <t>Step 1: Distribution of  Total Fan Conversion Costs and OEM Conversion Costs (weighted by units in each case)</t>
  </si>
  <si>
    <t>Step 2: Equipment price calculation</t>
  </si>
  <si>
    <t>TCC_1_EL</t>
  </si>
  <si>
    <t>TCC_2_EL</t>
  </si>
  <si>
    <t>TCC_3_EL</t>
  </si>
  <si>
    <t>TCC_4_EL</t>
  </si>
  <si>
    <t>TCC_5_EL</t>
  </si>
  <si>
    <t>TCC_6_EL</t>
  </si>
  <si>
    <t>2014 Electricity Prices (2015$)</t>
  </si>
  <si>
    <t>Design flow % time</t>
  </si>
  <si>
    <t xml:space="preserve">               Transmission losses                                                            HP</t>
  </si>
  <si>
    <t xml:space="preserve">                     Transmission efficiency</t>
  </si>
  <si>
    <t xml:space="preserve">               100% Design Flow  Operating Fan Efficiency</t>
  </si>
  <si>
    <t xml:space="preserve">               100 % Design Flow  fan BHP</t>
  </si>
  <si>
    <t xml:space="preserve">          100 % Design Flow Electrical Input Power </t>
  </si>
  <si>
    <t xml:space="preserve">         100 % Design Flow</t>
  </si>
  <si>
    <t xml:space="preserve">         100 % Design Operating Pressure *</t>
  </si>
  <si>
    <t xml:space="preserve">100% Design Flow Fan BHP </t>
  </si>
  <si>
    <t>Operating fan BHP *Load profile factor / transmission efficiency + motor losses</t>
  </si>
  <si>
    <t>The Load profile factor uses the fan laws to adjust the Design Flow BHP to the other flows. The drive losses are assumed to stay constant.</t>
  </si>
  <si>
    <t xml:space="preserve">        FEP_fan @ Design point </t>
  </si>
  <si>
    <t xml:space="preserve">        FEP_std @ Design point         </t>
  </si>
  <si>
    <t xml:space="preserve">                    Transmission efficiency</t>
  </si>
  <si>
    <t>NO STANDARD CASE EFFICIENCY DISTRIBUTION</t>
  </si>
  <si>
    <t>BELT vs. DIRECT DRIVEN FANS DISTRIBUTION</t>
  </si>
  <si>
    <t>Added to MSP</t>
  </si>
  <si>
    <t>Summary by EC</t>
  </si>
  <si>
    <t>Summary by Family</t>
  </si>
  <si>
    <t>LCC Sample</t>
  </si>
  <si>
    <t>* shows zero due to rounding</t>
  </si>
  <si>
    <t>Ranges (HP)</t>
  </si>
  <si>
    <t>---</t>
  </si>
  <si>
    <t>Average Savings for Impacted Consumers* ($2015)</t>
  </si>
  <si>
    <t>Axial Cylindrical Housed ($2015)</t>
  </si>
  <si>
    <t>Panel ($2015)</t>
  </si>
  <si>
    <t>Centrifugal Housed ($2015)</t>
  </si>
  <si>
    <t>Centrifugal Unhoused ($2015)</t>
  </si>
  <si>
    <t>Inline and Mixed Flow ($2015)</t>
  </si>
  <si>
    <t>Radial ($2015)</t>
  </si>
  <si>
    <t>Power Roof Ventilator ($2015)</t>
  </si>
  <si>
    <t>Ducted Fans ($2015)</t>
  </si>
  <si>
    <t xml:space="preserve">*The calculation does not include consumers with zero LCC savings (no impact).
</t>
  </si>
  <si>
    <t>Note: The results for each EL are calculated considering all consumers. The PBP is measured relative to the no standards case</t>
  </si>
  <si>
    <t>*The calculation does not include consumers with zero LCC savings (no impact)</t>
  </si>
  <si>
    <t>Standalone</t>
  </si>
  <si>
    <t>Embedded</t>
  </si>
  <si>
    <t>Total Installed Cost</t>
  </si>
  <si>
    <t>First Year Operating Cost</t>
  </si>
  <si>
    <t>Simple Payback Period</t>
  </si>
  <si>
    <t>Lifetime Operating Costs</t>
  </si>
  <si>
    <t>% of Consumers that Experience Net Cost</t>
  </si>
  <si>
    <t>Average LCC Saving - Impacted Consumers</t>
  </si>
  <si>
    <t>All</t>
  </si>
  <si>
    <t>Subgroup</t>
  </si>
  <si>
    <t>Not OEM</t>
  </si>
  <si>
    <t>Subgroup:</t>
  </si>
  <si>
    <t>Standalone Fans</t>
  </si>
  <si>
    <t>Embedded Fans</t>
  </si>
  <si>
    <t>Short</t>
  </si>
  <si>
    <r>
      <t>This spreadsheet presents the Life-Cycle Cost (LCC) and Payback Period (PBP) analyses of potential standards for fans. The LCC and PBP analyses evaluate the economic impacts on individual consumers of potential energy conservation standards for fans, in the compliance year (2022). The LCC analyzes each fan equipment class separately, and considers the distribution of end-user characteristics by running a Monte Carlo simulation over a sample of fans for each equipment class.</t>
    </r>
    <r>
      <rPr>
        <sz val="8"/>
        <color rgb="FFFF0000"/>
        <rFont val="Calibri"/>
        <family val="2"/>
        <scheme val="minor"/>
      </rPr>
      <t xml:space="preserve"> </t>
    </r>
    <r>
      <rPr>
        <sz val="8"/>
        <rFont val="Calibri"/>
        <family val="2"/>
        <scheme val="minor"/>
      </rPr>
      <t>The various worksheets are described below.</t>
    </r>
  </si>
  <si>
    <t>Offset</t>
  </si>
  <si>
    <t>Index Tables for Dropdown menus</t>
  </si>
  <si>
    <t>LOAD PROFILES - ALL FANS</t>
  </si>
  <si>
    <t>Embedded Fan Lifetime</t>
  </si>
  <si>
    <t>Summary LCC and PBP results for all Efficiency Levels (EL) and equipment classes - Controls allow the user to display results different subgroups and scenario</t>
  </si>
  <si>
    <t>Industrial sector</t>
  </si>
  <si>
    <t>Distribution by Application</t>
  </si>
  <si>
    <t xml:space="preserve">Mechanical Lifetime Survival Function (Weibull Distribution) </t>
  </si>
  <si>
    <r>
      <t xml:space="preserve">This worksheet presents the average national commercial and industrial electricity prices used in the LCC calculation. 
DOE derived 2014 electricity prices from the Edison Electric Institute (EEI) bill data and used electricity price data projections from the AEO 2015 (up to 2040) to derive future prices. 
</t>
    </r>
    <r>
      <rPr>
        <b/>
        <sz val="8"/>
        <rFont val="Calibri"/>
        <family val="2"/>
        <scheme val="minor"/>
      </rPr>
      <t xml:space="preserve">
Sources:</t>
    </r>
    <r>
      <rPr>
        <sz val="8"/>
        <rFont val="Calibri"/>
        <family val="2"/>
        <scheme val="minor"/>
      </rPr>
      <t xml:space="preserve">
U.S. Energy Information Administration. “Annual Energy Outlook 2015 with Projections to 2040.” DOE/EIA-0383(2015). Washington, D.C., April 2015. http://www.eia.gov/forecasts/aeo/. 
Edison Electric Institute. “Typical Bills and Average Rates Report.” Washington, D.C., October 2015.  http://www.eia.gov/electricity/data/eia861/index.html. 
</t>
    </r>
  </si>
  <si>
    <r>
      <t xml:space="preserve">DOE used the above discount rates to discount future costs/savings in the LCC calculation.
</t>
    </r>
    <r>
      <rPr>
        <b/>
        <sz val="8"/>
        <color theme="1"/>
        <rFont val="Arial"/>
        <family val="2"/>
      </rPr>
      <t>Sources:</t>
    </r>
    <r>
      <rPr>
        <sz val="8"/>
        <color theme="1"/>
        <rFont val="Arial"/>
        <family val="2"/>
      </rPr>
      <t xml:space="preserve">
Damodaran Online, Data Page: Costs of Capital by Industry Sector, 2012. Damodaran. (Last  accessed July, 2013.) &lt;http://pages.stern.nyu.edu/~adamodar/&gt; 
Ibbotson Associates, SBBI Valuation Edition 2009 Yearbook. 2009. Chicago, IL.
Federal Reserve Board, Federal Reserve Bank Services Private Sector Adjustment Factor, 2005, 2005. Washington, D.C. &lt;http://www.federalreserve.gov/boarddocs/Press/other/2005/20051012/attachment.pdf&gt;
Board of Governors of the Federal Reserve System, H.15 Historical Data Selected Interest Rates, 2013. (Last  accessed February, 2013.) &lt;http://www.federalreserve.gov/releases/h15/data.htm&gt; 
Damodaran Online, Data Page: Historical Returns on Stocks, Bonds and Bills-United States, 2012. Damodaran. (Last  accessed July, 2013.) &lt;http://pages.stern.nyu.edu/~adamodar/&gt; </t>
    </r>
  </si>
  <si>
    <t>Note:</t>
  </si>
  <si>
    <t>Next, the TCC_fan and TCC_OEM costs were distributed based on the number of fan selections in each case 1 through 6 as follows:</t>
  </si>
  <si>
    <t>Equipment Price Calculation Methodology</t>
  </si>
  <si>
    <t xml:space="preserve"> Fan Conv.Costs</t>
  </si>
  <si>
    <t>OEM Conv. Costs</t>
  </si>
  <si>
    <t>Manufacturer Production Cost (MPC) as a Function of Impeller Diameter:</t>
  </si>
  <si>
    <t xml:space="preserve">Inputs to Annualized Conversion Costs Calculation: </t>
  </si>
  <si>
    <t>MPC and  MSP Calculation (From Engineering and MIA analysis)</t>
  </si>
  <si>
    <t>LCC sample Data and Output Description (one row)</t>
  </si>
  <si>
    <t>Conversion Markup - EL1</t>
  </si>
  <si>
    <t>Conversion Markup - EL2</t>
  </si>
  <si>
    <t>Conversion Markup - EL3</t>
  </si>
  <si>
    <t>Conversion Markup - EL4</t>
  </si>
  <si>
    <t>Conversion Markup - EL5</t>
  </si>
  <si>
    <t>Conversion Markup - EL6</t>
  </si>
  <si>
    <t>Added Conv. Cost - EL1</t>
  </si>
  <si>
    <t>Added Conv. Cost - EL2</t>
  </si>
  <si>
    <t>Added Conv. Cost - EL3</t>
  </si>
  <si>
    <t>Added Conv. Cost - EL4</t>
  </si>
  <si>
    <t>Added Conv. Cost - EL5</t>
  </si>
  <si>
    <t>Added Conv. Cost - EL6</t>
  </si>
  <si>
    <t>Represents the conversion costs at EL 1</t>
  </si>
  <si>
    <t>Represents the conversion costs at EL 2</t>
  </si>
  <si>
    <t>Represents the conversion costs at EL 3</t>
  </si>
  <si>
    <t>Represents the conversion costs at EL 4</t>
  </si>
  <si>
    <t>Represents the conversion costs at EL 5</t>
  </si>
  <si>
    <t>Represents the conversion costs at EL 6</t>
  </si>
  <si>
    <t>Average Electricity Price derived from a Monte Carlo Simulation (See "Electricity Prices &amp; Trends" worksheet)</t>
  </si>
  <si>
    <t>Marginal Electricity Price derived from a Monte Carlo Simulation (See "Electricity Prices &amp; Trends" worksheet)</t>
  </si>
  <si>
    <t>Fan Selection Data</t>
  </si>
  <si>
    <t>Results of LCC calculations: Pass/Redesign/Reselect</t>
  </si>
  <si>
    <t>Results of LCC calculations: Equipment Price</t>
  </si>
  <si>
    <t>LCC and Energy Use Results</t>
  </si>
  <si>
    <t>Consumer and Usage Attributes</t>
  </si>
  <si>
    <t xml:space="preserve">3. Consumer and Usage Attributes </t>
  </si>
  <si>
    <t>Selected Product ID - EL0</t>
  </si>
  <si>
    <t>Selected Product ID - EL1</t>
  </si>
  <si>
    <t>Selected Product ID - EL2</t>
  </si>
  <si>
    <t>Selected Product ID - EL3</t>
  </si>
  <si>
    <t>Selected Product ID - EL4</t>
  </si>
  <si>
    <t>Selected Product ID - EL5</t>
  </si>
  <si>
    <t>Selected Product ID - EL6</t>
  </si>
  <si>
    <t>Selected product ID - EL0</t>
  </si>
  <si>
    <t>Selected product ID - EL1</t>
  </si>
  <si>
    <t>Selected product ID - EL2</t>
  </si>
  <si>
    <t>Selected product ID - EL3</t>
  </si>
  <si>
    <t>Selected product ID - EL4</t>
  </si>
  <si>
    <t>Selected product ID - EL5</t>
  </si>
  <si>
    <t>Selected product ID - EL6</t>
  </si>
  <si>
    <t xml:space="preserve">Highest Passing  EL </t>
  </si>
  <si>
    <t xml:space="preserve">Average </t>
  </si>
  <si>
    <t>STANDALONE - Annual Operating Hours</t>
  </si>
  <si>
    <t xml:space="preserve">EMBEDDED- Annual Operating Hours </t>
  </si>
  <si>
    <t>Returns the fan ID for which the LCC calculation is performed in the base-case and at each of the considered efficiency levels (standard-cases). If the fan fails a  given EL and is replaced by an existing fan from the LCC sample, then this returns the Fan ID of the re-selected fan. 
Otherwise, if the fan already meets the EL or has not existing substitutes and requires redesign, this returns the original fan ID (same as in the base-case).</t>
  </si>
  <si>
    <t>Indicates the percentage of annual operating hours spent at 25  percent of full design airflow</t>
  </si>
  <si>
    <t>Indicates the percentage of annual operating hours spent at 50 percent of full design airflow</t>
  </si>
  <si>
    <t>Indicates the percentage of annual operating hours spent at 75 percent of full design airflow</t>
  </si>
  <si>
    <t>Indicates the percentage of annual operating hours spent at  100 percent of full design airflow</t>
  </si>
  <si>
    <t>This worksheet presents one example of the LCC calculation for one fan selection in the LCC  sample (one calculation out of over 100,000 fan selections). 
1.The "Selected Row in LCC sample" column displays the fan selection information from the LCC sample used in this example. 
2. The "Fan Data at each Standards Case" table presents the inputs to the LCC calculation at each efficiency level. If the fan in the no-standard case already meets a considered efficiency level, the consumer is not impacted and retains the same fan as in the no-standard case. If the fan selected in the no-standard case fails to meet a given efficiency level, the fan is replaced based on two options (1) the consumer replaces his fan with an existing fan that already meets the considered efficiency level; (2) the consumer replaces his fan with a new redesigned fan.  (see LCC Approach overview).
3. The "Consumer Data" table presents the inputs to the LCC calculation which are constant across the considered efficiency levels and derived using a Monte Carlo simulation.
4. The "Calculations" table includes the formulas leading to the LCC calculation.
5.  The "Equations" table describes the equations used in the LCC calculations.</t>
  </si>
  <si>
    <t>Percentage of Design Flow</t>
  </si>
  <si>
    <r>
      <t xml:space="preserve">Fan lifetime was estimated separately for standalone and embedded fans. For standalone fans, DOE used a minimum lifetime of 6 years, a maximum lifetime of 60 years, and an average lifetime of 30 years. Based on a typical annual operating hours of 6000 hours, these lifetimes translate into minimum and average mechanical lifetimes of 36,000 and 180,000 hours.  For embedded fans, DOE used a minimum lifetime of 3 years, a maximum lifetime of 30 years, and an average lifetime of 17 years. Based on a typical annual operating hours of 3000 hours, these lifetimes translate into minimum and average mechanical lifetimes of 9,000 and 52,000 hours. DOE also performed a sensitivity analysis using an average lifetime of 15 years for all embedded fans (note that this average translates into different actual lifetimes by equipment class depending on the operating hours assigned. A fan operating longer hours will "die" sooner).
DOE used a cumulative Weibull distribution to represent the statistical distribution of mechanical lifetimes. In the LCC, each calculation samples a mechanical lifetime from this distribution, and the lifetime in years is calculated as the ratio of the mechanical lifetime divided by the annual operating hours. This allows having a negative correlation between operating hours and lifetimes in years. The Weibull distribution is characterized by a shape and scale parameter. The scale parameter denotes the 'characteristic' lifetime of a fan in mechanical hours, and changes the density of the probability function over time. The  shape parameter defines the slope of the Weibull curve. A larger shape parameter reflects an increasing failure rate towards the end of the a fan's lifetime, while a smaller parameter reflects a decreasing failure rate and shifts the failure rate towards the beginning of lifetime.
</t>
    </r>
    <r>
      <rPr>
        <b/>
        <sz val="8"/>
        <color theme="1"/>
        <rFont val="Calibri"/>
        <family val="2"/>
        <scheme val="minor"/>
      </rPr>
      <t xml:space="preserve">
Sources: </t>
    </r>
    <r>
      <rPr>
        <sz val="8"/>
        <color theme="1"/>
        <rFont val="Calibri"/>
        <family val="2"/>
        <scheme val="minor"/>
      </rPr>
      <t xml:space="preserve">
ASHRAE. HVAC Service Life and Maintenance Query Database. 2014. Raw data. Web. http://xp20.ashrae.org/publicdatabase/service_life.asp 
Murphy, John. "Commercial and Industrial Fans Life-cycle Cost Informational Interview." Telephone interview. 13 May. 2014.
Arthur D. Little, Inc. “Opportunities for Energy Savings in the Residential and Commercial Sectors with High-Efficiency Electric Motors (Final Report),” December 1999.
U.S. Department of Energy–Office of Energy Efficiency and Renewable Energy. Energy Conservation Program for Certain Industrial Equipment: Energy Conservation Standards for Single Packaged Vertical Units. NOPR Technical Support Document, Chapter 8 Life-Cycle Cost and Payback Period Analyses, 2014. https://www.regulations.gov/#!documentDetail;D=EERE-2012-BT-STD-0041-0005. 
Roth, Kurt, Detlef Westphalen, John Dieckmann, Sephir Hamilton, and William Goetzler. “Energy Consumption Characteristics of Commercial Building HVAC Systems Volume III: Energy Savings Potential.” National Technical Information Service (NTIS): U.S. Department of Commerce, July 2002. http://apps1.eere.energy.gov/buildings/publications/pdfs/commercial_initiative/hvac_volume3_final_report.pdf. 
U.S. Department of Energy–Office of Energy Efficiency and Renewable Energy, Energy Conservation Program for Certain Industrial Equipment: Energy Conservation Standards for Water-Cooled and Evaporatively-Cooled Commercial Packaged Air-Conditioning and Heating Equipment. Final Rule Technical Support Document, Chapter 6 Life-Cycle Cost Analysis, 2012. https://www.regulations.gov/#!documentDetail;D=EERE-2011-BT-STD-0029-0039. 
U.S. Department of Energy–Office of Energy Efficiency and Renewable Energy. Energy Conservation Program for Certain Industrial Equipment: Energy Conservation Standards for Small, Large, and Very Large Commercial Package Air Conditioning and Heating Equipment. Direct Final Rule, Life-Cycle Cost Spreadsheet, 2015. https://www.regulations.gov/#!documentDetail;D=EERE-2013-BT-STD-0007-0106. 
U.S. Department of Energy–Office of Energy Efficiency and Renewable Energy. Energy Conservation Program for Certain Industrial Equipment: Energy Conservation Standards for Small, Large, and Very Large Commercial Package Air Conditioning and Heating Equipment. Direct Final Rule Technical Support Document, Chapter 9 Shipments Analysis, 2015. https://www.regulations.gov/#!documentDetail;D=EERE-2013-BT-STD-0007-0105. 
</t>
    </r>
  </si>
  <si>
    <t xml:space="preserve">For each 6 cases described above, the equipment price calculation is performed by adding the appropriate per unit fan and OEM conversion costs to the MSP of a given fan  and applying the distribution channel markups described in the "Markups and Distribution Channels" markups.
The per unit fan and OEM conversion costs to add to the MSP were calculated separately for each case 1 through 6. First, annualized total fan and OEM conversion costs of the US industry were scaled to the number of fan selections in the LCC sample: </t>
  </si>
  <si>
    <t>MPC multiplier by EL and  fan group (from Engineering Analysis)</t>
  </si>
  <si>
    <r>
      <rPr>
        <b/>
        <sz val="8"/>
        <color theme="1"/>
        <rFont val="Calibri"/>
        <family val="2"/>
        <scheme val="minor"/>
      </rPr>
      <t xml:space="preserve">
Case 1:</t>
    </r>
    <r>
      <rPr>
        <sz val="8"/>
        <color theme="1"/>
        <rFont val="Calibri"/>
        <family val="2"/>
        <scheme val="minor"/>
      </rPr>
      <t xml:space="preserve">
TCC_1_EL = TCC_fan * (1- (X+Y))
</t>
    </r>
    <r>
      <rPr>
        <b/>
        <sz val="8"/>
        <color theme="1"/>
        <rFont val="Calibri"/>
        <family val="2"/>
        <scheme val="minor"/>
      </rPr>
      <t>Case 2 :</t>
    </r>
    <r>
      <rPr>
        <sz val="8"/>
        <color theme="1"/>
        <rFont val="Calibri"/>
        <family val="2"/>
        <scheme val="minor"/>
      </rPr>
      <t xml:space="preserve">
TCC_2 _EL=TCC_fan* X + TCC_OEM *X*(Total_fail_redesign_EL)/((X+Y)*(Total_fail_redesign_EL)+(a+b)(Total_fail_reselect_EL))
</t>
    </r>
    <r>
      <rPr>
        <b/>
        <sz val="8"/>
        <color theme="1"/>
        <rFont val="Calibri"/>
        <family val="2"/>
        <scheme val="minor"/>
      </rPr>
      <t>Case 3 :</t>
    </r>
    <r>
      <rPr>
        <sz val="8"/>
        <color theme="1"/>
        <rFont val="Calibri"/>
        <family val="2"/>
        <scheme val="minor"/>
      </rPr>
      <t xml:space="preserve">
TCC_2_EL =TCC_fan* Y + TCC_OEM *Y*(Total_fail_redesign_EL)/((X+Y)*(Total_fail_redesign_EL)+(a+b)(Total_fail_reselect_EL))
</t>
    </r>
    <r>
      <rPr>
        <b/>
        <sz val="8"/>
        <color theme="1"/>
        <rFont val="Calibri"/>
        <family val="2"/>
        <scheme val="minor"/>
      </rPr>
      <t>Case 4:</t>
    </r>
    <r>
      <rPr>
        <sz val="8"/>
        <color theme="1"/>
        <rFont val="Calibri"/>
        <family val="2"/>
        <scheme val="minor"/>
      </rPr>
      <t xml:space="preserve">
TCC_4 _EL= 0
</t>
    </r>
    <r>
      <rPr>
        <b/>
        <sz val="8"/>
        <color theme="1"/>
        <rFont val="Calibri"/>
        <family val="2"/>
        <scheme val="minor"/>
      </rPr>
      <t xml:space="preserve">
Case 5:</t>
    </r>
    <r>
      <rPr>
        <sz val="8"/>
        <color theme="1"/>
        <rFont val="Calibri"/>
        <family val="2"/>
        <scheme val="minor"/>
      </rPr>
      <t xml:space="preserve">
TCC_5_EL = TCC_OEM*a*Total_fail_reselect_EL)/((X+Y)*(Total_fail_redesign_EL)+(a+b)(Total_fail_reselect_EL))
</t>
    </r>
    <r>
      <rPr>
        <b/>
        <sz val="8"/>
        <color theme="1"/>
        <rFont val="Calibri"/>
        <family val="2"/>
        <scheme val="minor"/>
      </rPr>
      <t xml:space="preserve">
Case 6: 
</t>
    </r>
    <r>
      <rPr>
        <sz val="8"/>
        <color theme="1"/>
        <rFont val="Calibri"/>
        <family val="2"/>
        <scheme val="minor"/>
      </rPr>
      <t>TCC_6_EL = TCC_OEM*b*Total_fail_reselect_EL)/((X+Y)*(Total_fail_redesign_EL)+(a+b)(Total_fail_reselect_EL))
Where:
X = Total_fail_case2/Total_fail_redesign_EL;
Total_fail_redesign_EL = total number of units that fail and are redesigned at the considered EL;
Total_fail_case 2 = total number of embedded fans that fail and are redesigned at the considered EL;
Y = Total_fail_case3/Total_fail_redesign_EL;
Total_fail_case 3 = total number of standalone fans purchased by OEMs that fail and are redesigned at the considered EL;
a = Total_fail_case5/Total_fail_reselect_EL;
Total_fail_reselect_EL = total number of units that fail and are reselected at the considered EL;
Total_fail_case5 =  total number of embedded fans that fail and are reselected at the considered EL;
b = Total_fail_case6/Total_fail_reselect_EL; and
Total_fail_case6 =  total number of standalone fans purchased by OEMs that fail and are reselected at the considered EL.</t>
    </r>
  </si>
  <si>
    <t>MSP multiplier by EL and  fan group (from Engineering Analysis)</t>
  </si>
  <si>
    <t>Documents if the fan passes, or fails and is replaced by an existing fan (reselection) or by a redesigned fan (redesign)</t>
  </si>
  <si>
    <t xml:space="preserve">   - if Fan 1 is replaced by an existing fan (Fan 2) in the LCC sample at Q2 and P2 (within 20% of P1 and Q1)</t>
  </si>
  <si>
    <t xml:space="preserve">         - The operating BHP in the standard-case is equal to: BHP2_adjusted = BHP2*(Q2/Q1)^3 (fan laws used as a proxy instead of the fan performance curves) </t>
  </si>
  <si>
    <t>Unducted Fans ($2015)</t>
  </si>
  <si>
    <t xml:space="preserve">Assigned Fan ID </t>
  </si>
  <si>
    <t xml:space="preserve">Assigned Company ID number </t>
  </si>
  <si>
    <t>Fan sub-category: AF, APRV,BC, CI, CPRV, FC, MF, P, RA, TA, UC, VA</t>
  </si>
  <si>
    <t>BC</t>
  </si>
  <si>
    <t>BC*</t>
  </si>
  <si>
    <r>
      <t xml:space="preserve">For each equipment class, DOE used confidential sales data from over 57,000 standalone fan selections, representing over 92,000 units sold, as well as market data specific to embedded fans to develop an LCC sample representative of US market of standalone and embedded fans. In the LCC sample, each row represents a unique fan selection. The number of fan selections in the LCC sample was adjusted (i.e. expanded) to match the US market distributions across fan equipment classes, sub categories and power bins. The NIA spreadsheet provides more details on the fan shipments data used to adjust the LCC sample. See also the NODA notice.
This worksheet describes the fan selection market distributions used to develop the LCC sample. Results are presented by fan sub- category, equipment class, and fan family. Results are also presented for (1) all fans, (2) standalone fans (Mfr and Mfr_OEM), and (3) embedded fans (OEM). 
Individual LCC calculations were performed for each fan selection in the LCC. 
</t>
    </r>
    <r>
      <rPr>
        <b/>
        <sz val="8"/>
        <color theme="1"/>
        <rFont val="Calibri"/>
        <family val="2"/>
        <scheme val="minor"/>
      </rPr>
      <t xml:space="preserve">Distribution by Power Bins: </t>
    </r>
    <r>
      <rPr>
        <sz val="8"/>
        <color theme="1"/>
        <rFont val="Calibri"/>
        <family val="2"/>
        <scheme val="minor"/>
      </rPr>
      <t xml:space="preserve">
These tables summarize the distributions of fan selections by power bin (corresponding to the shaft input power at the design point). Some bins may show zero percent or may not add up to  100 percent due to rounding. The distributions reflect the estimated market shares derived from shipment data from AMCA on standalone fans and market and technical data specific to embedded fans.
</t>
    </r>
    <r>
      <rPr>
        <b/>
        <sz val="8"/>
        <color theme="1"/>
        <rFont val="Calibri"/>
        <family val="2"/>
        <scheme val="minor"/>
      </rPr>
      <t xml:space="preserve">Base-Case Efficiency Distribution: </t>
    </r>
    <r>
      <rPr>
        <sz val="8"/>
        <color theme="1"/>
        <rFont val="Calibri"/>
        <family val="2"/>
        <scheme val="minor"/>
      </rPr>
      <t xml:space="preserve">
The base-case efficiency distribution provides the efficiency distribution in the absence of new standards in the compliance year. It reflects the EL distributions of the shipments for each of the fan equipment classes analyzed in the base-case at their design point. A fan is binned based on its highest compliant EL at the considered design point. As such, these tables also provide an estimate of the overall percentage of non compliant fan selections at each considered efficiency level.  Some bins may show zero percent or may not add up to  100 percent due to rounding.
</t>
    </r>
    <r>
      <rPr>
        <b/>
        <sz val="8"/>
        <color theme="1"/>
        <rFont val="Calibri"/>
        <family val="2"/>
        <scheme val="minor"/>
      </rPr>
      <t xml:space="preserve">
Distribution of Direct Driven vs Belt Driven Fans: </t>
    </r>
    <r>
      <rPr>
        <sz val="8"/>
        <color theme="1"/>
        <rFont val="Calibri"/>
        <family val="2"/>
        <scheme val="minor"/>
      </rPr>
      <t xml:space="preserve">
These tables summarize the distribution of direct driven vs belt driven fans by power bin. For standalone fans, where the sales data did not provide this information, DOE assumed the fan was sold in a belt driven configuration, which is the most common fan configuration found in the AMCA dataset. For embedded fans, DOE used information collected in manufacturer literature to determine the most typical drive arrangement. Some bins may show zero percent or may not add up to  100 percent due to rounding.
</t>
    </r>
    <r>
      <rPr>
        <b/>
        <sz val="8"/>
        <color theme="1"/>
        <rFont val="Calibri"/>
        <family val="2"/>
        <scheme val="minor"/>
      </rPr>
      <t xml:space="preserve">Sources: </t>
    </r>
    <r>
      <rPr>
        <sz val="8"/>
        <color theme="1"/>
        <rFont val="Calibri"/>
        <family val="2"/>
        <scheme val="minor"/>
      </rPr>
      <t xml:space="preserve">
Air Movement and Control Association (AMCA). 2012 Detailed Confidential Fan Sales Data. November 2014. (17 manufacturers)
IHS Technology (March 2014), Fans and Blowers, World, 2014
ASRAC Commercial and Industrial Working Group Subgroup (Subgroup, No.125.2 at p.1)
Global Trends in Air Conditioning. January 2013. BSRIA. 
Ventilation Equipment, A United States Market Overview. May 2011. Industry Experts.
Air-conditioning, heating and refrigeration institute Industry standards. January 2016. Available online at http://www.ahrinet.org/site/686/Standards/HVACR-Industry-Standards/Search-Standards 
Energy Consumption Characteristics of Commercial Building HVAC Systems. Volume I: Chillers, Refrigerant Compressors, and Heating Systems. April 2001. Prepared for the U.S. Department of Energy Office of Energy Efficiency and Renewable Energy Building Technologies Office by Arthur D. Little, Inc. 
Opportunities for Energy Savings in the Residential and Commercial Sectors with High-Efficiency Electric Motors. December 1999. Prepared for the US. Department of energy by Arthur D. Little, Inc.; 
Energy Savings Potential and Opportunities for High-Efficiency Electric Motors in Residential and Commercial Equipment. December 2013. Prepared for the U.S. Department of Energy Office of Energy Efficiency and Renewable Energy Building Technologies Office by Navigant Consulting, Inc.; and 
Pump and Fan Technology Characterization and R&amp;D Assessment. October 2015. Prepared for the U.S. Department of Energy Office of Energy Efficiency and Renewable Energy Building Technologies Office by Navigant Consulting, Inc.
U.S. Department of Energy–Office of Energy Efficiency and Renewable Energy, Energy Conservation Program for Certain Industrial Equipment: Energy Conservation Standards for Water-Cooled and Evaporatively-Cooled Commercial Packaged Air-Conditioning and Heating Equipment. Final Rule Technical Support Document, Chapter 7 Shipments Analysis, 2012. https://www.regulations.gov/#!documentDetail;D=EERE-2011-BT-STD-0029-0039 
Review of nine major Heating, ventilation, air-conditioning and refrigeration equipment (HVACR) manufacturer catalogs.
</t>
    </r>
  </si>
  <si>
    <t>Total Conv. Costs *</t>
  </si>
  <si>
    <t>* Total conversion costs at a considered EL and case, annualized and adjusted to the number of fans in the LCC sample. See Step 1 and Step 2 boxes.</t>
  </si>
  <si>
    <t>MSP (no conversion costs)  - EL0</t>
  </si>
  <si>
    <t>MSP (no conversion costs)  - EL1</t>
  </si>
  <si>
    <t>MSP (no conversion costs)  - EL2</t>
  </si>
  <si>
    <t>MSP (no conversion costs)  - EL3</t>
  </si>
  <si>
    <t>MSP (no conversion costs)  - EL4</t>
  </si>
  <si>
    <t>MSP (no conversion costs)  - EL5</t>
  </si>
  <si>
    <t>MSP (no conversion costs)  - EL6</t>
  </si>
  <si>
    <t xml:space="preserve">Manufacturer Selling Price (MSP)  of the fan at EL 0 </t>
  </si>
  <si>
    <t xml:space="preserve">MSP of the fan at EL 1 </t>
  </si>
  <si>
    <t>MSP of the fan at EL 2</t>
  </si>
  <si>
    <t>MSP of the fan at EL 3</t>
  </si>
  <si>
    <t>MSP of the fan at EL 4</t>
  </si>
  <si>
    <t>MSP of the fan at EL 5</t>
  </si>
  <si>
    <t>MSP of the fan at EL 6</t>
  </si>
  <si>
    <r>
      <t>The FEP  is calculated as the sum of the Calculated BHP = [(Q + Q</t>
    </r>
    <r>
      <rPr>
        <vertAlign val="subscript"/>
        <sz val="8"/>
        <color theme="1"/>
        <rFont val="Calibri"/>
        <family val="2"/>
        <scheme val="minor"/>
      </rPr>
      <t>0</t>
    </r>
    <r>
      <rPr>
        <sz val="8"/>
        <color theme="1"/>
        <rFont val="Calibri"/>
        <family val="2"/>
        <scheme val="minor"/>
      </rPr>
      <t>)(P+P</t>
    </r>
    <r>
      <rPr>
        <vertAlign val="subscript"/>
        <sz val="8"/>
        <color theme="1"/>
        <rFont val="Calibri"/>
        <family val="2"/>
        <scheme val="minor"/>
      </rPr>
      <t>0</t>
    </r>
    <r>
      <rPr>
        <sz val="8"/>
        <color theme="1"/>
        <rFont val="Calibri"/>
        <family val="2"/>
        <scheme val="minor"/>
      </rPr>
      <t>)]/(6343*η</t>
    </r>
    <r>
      <rPr>
        <vertAlign val="subscript"/>
        <sz val="8"/>
        <color theme="1"/>
        <rFont val="Calibri"/>
        <family val="2"/>
        <scheme val="minor"/>
      </rPr>
      <t>target</t>
    </r>
    <r>
      <rPr>
        <sz val="8"/>
        <color theme="1"/>
        <rFont val="Calibri"/>
        <family val="2"/>
        <scheme val="minor"/>
      </rPr>
      <t>)]  at the considered EL+ Default Belt and Motor losses  (See calculator in Engineering Spreadsheet for detailed calculation)</t>
    </r>
  </si>
  <si>
    <t>Static or Total pressure (for unducted and ducted fans respectively) for which the fan was purchased (in. wg)</t>
  </si>
  <si>
    <t xml:space="preserve">                   Motor Size </t>
  </si>
  <si>
    <r>
      <t xml:space="preserve">For each equipment class, DOE conducted the LCC and PBP analysis using a large sample of fan selections representative of the population of fans that would be affected by new energy conservation standards. This worksheet presents the main assumptions used to assign consumer attributes such as sector and application, and usage attributes such as annual hours of operation and load profile for each fan selection.
</t>
    </r>
    <r>
      <rPr>
        <b/>
        <sz val="8"/>
        <rFont val="Calibri"/>
        <family val="2"/>
        <scheme val="minor"/>
      </rPr>
      <t>Distribution by Sector:</t>
    </r>
    <r>
      <rPr>
        <sz val="8"/>
        <rFont val="Calibri"/>
        <family val="2"/>
        <scheme val="minor"/>
      </rPr>
      <t xml:space="preserve">
These tables present the distribution of fans sold for applications in the industrial or commercial sector, for stanadalone fans and embedded fans by equipment class and power bins. 
</t>
    </r>
    <r>
      <rPr>
        <b/>
        <sz val="8"/>
        <rFont val="Calibri"/>
        <family val="2"/>
        <scheme val="minor"/>
      </rPr>
      <t>Shipments Distribution by Application:</t>
    </r>
    <r>
      <rPr>
        <sz val="8"/>
        <rFont val="Calibri"/>
        <family val="2"/>
        <scheme val="minor"/>
      </rPr>
      <t xml:space="preserve">
These tables show the distribution of standalone and embedded fans across applications for each equipment class and within each sector. 
</t>
    </r>
    <r>
      <rPr>
        <b/>
        <sz val="8"/>
        <rFont val="Calibri"/>
        <family val="2"/>
        <scheme val="minor"/>
      </rPr>
      <t>Annual Operating Hours:</t>
    </r>
    <r>
      <rPr>
        <sz val="8"/>
        <rFont val="Calibri"/>
        <family val="2"/>
        <scheme val="minor"/>
      </rPr>
      <t xml:space="preserve">
These tables present the annual operating hours associated to each sector/application for standalone and embedded fans (average value and statistical distributions). For standalone fans, these were derived from industrial plant assessment data as well as from a buildings simulation model (for the commercial sector). DOE based its operating hour estimates for commercial buildings on simulations of 12 building types across 15 climate locations and 3 vintages (540 buildings total). Each building contained  from 12 to 320 individually modeled fans. DOE used AEO2014 floorspace estimates to assign weights to each of the buildings in the simulation set, and derive appropriately weighted distributions of operating hours for covered products by application type (ventilation and exhaust). The estimated annual operating hours include seasonal variation. Regional variation was not found to be significant an therefore not included. DOE based embedded fan data on fan motor operating hours for HVACR units, and estimated fan power and fan annual energy use in HVACR equipment.
</t>
    </r>
    <r>
      <rPr>
        <b/>
        <sz val="8"/>
        <rFont val="Calibri"/>
        <family val="2"/>
        <scheme val="minor"/>
      </rPr>
      <t>Load profiles:</t>
    </r>
    <r>
      <rPr>
        <sz val="8"/>
        <rFont val="Calibri"/>
        <family val="2"/>
        <scheme val="minor"/>
      </rPr>
      <t xml:space="preserve">
These tables represent the percentage of fans a load profile (i.e. not opearting 100% of the time at the design point). The load profiles in the commercial sector are based on data provided by AHRI (AHRI, No. 129-1 at p.1) and from EnergyPlus building energy use simulation. The Load profiles in the industrial sector were based on assuming that 20 percent of fans are equipped with a variable speed control device (based on confidential AMCA market data) and that 10 percent operate between 50 and 75 percent of the design flow.
</t>
    </r>
    <r>
      <rPr>
        <b/>
        <sz val="8"/>
        <rFont val="Calibri"/>
        <family val="2"/>
        <scheme val="minor"/>
      </rPr>
      <t>Sources:</t>
    </r>
    <r>
      <rPr>
        <sz val="8"/>
        <rFont val="Calibri"/>
        <family val="2"/>
        <scheme val="minor"/>
      </rPr>
      <t xml:space="preserve">
IHS Technology (March 2014), Fans and Blowers, World, 2014. 
Database of motor nameplate and field measurement data compiled by the Washington State University Extension Energy Program (WSU) and Applied Proactive Technologies (APT) under contract with the New York State Energy Research and Development Authority (NYSERDA). 2011. This database is composed of information gathered by WSU and APT during 123 industrial motor surveys or assessments: 11 motor assessments were conducted between 2005 and 2011 and occurred in industrial plants; 112 industrial motor surveys were conducted between 2005 and 2011 and were funded by NYSERDA and conducted in New York State.
Strategic Energy Group (January, 2008), Northwest Industrial Motor Database Summary.  from Regional Technical Forum. Retrieved March 5, 2013 from http://rtf.nwcouncil.org/subcommittees/osumotor/Default.htm. This database provides information on motors collected by the Industrial Assessment Center (IAC) at Oregon State University (OSU). The database includes more than 22,000 records, each with detailed motor application and field usage data.
U.S. Department of Energy, Energy Efficiency and Renewable Energy, Building Technologies Office (August 2014), EnergyPlus Energy Simulation Software. http://apps1.eere.energy.gov/buildings/energyplus
Arthur D. Little, Inc. “Opportunities for Energy Savings in the Residential and Commercial Sectors with High-Efficiency Electric Motors (Final Report),” December 1999.
U.S. Department of Energy–Office of Energy Efficiency and Renewable Energy. Energy Conservation Program for Certain Industrial Equipment: Energy Conservation Standards for Water-Cooled and Evaporatively-Cooled Commercial Packaged Air-Conditioning and Heating Equipment. Final Rule Technical Support Document, Chapter 4 Energy Use Characterization., 2012. http://www.regulations.gov/#!documentDetail;D=EERE-2011-BT-STD-0029-0039.
U.S. Department of Energy–Office of Energy Efficiency and Renewable Energy. Energy Conservation Program for Certain Industrial Equipment: Energy Conservation Standards for Small, Large, and Very Large Commercial Package Air Conditioning and Heating Equipment. Direct Final Rule Technical Support Document, Chapter 7 Energy Use Analysis, 2015. https://www.regulations.gov/#!documentDetail;D=EERE-2013-BT-STD-0007-0105.
U.S. Department of Energy–Office of Energy Efficiency and Renewable Energy. Energy Conservation Program for Certain Industrial Equipment: Energy Conservation Standards for Single Packaged Vertical Units. NOPR Technical Support Document, Chapter 7 Energy Use Analysis, 2014. https://www.regulations.gov/#!documentDetail;D=EERE-2012-BT-STD-0041-0005. 
</t>
    </r>
  </si>
  <si>
    <r>
      <t xml:space="preserve">This worksheet presents the data used to calculate the distribution channel markups. These distribution channel markups are used in the equipment price calculation.  First, three main distribution channels were identified as follows; from the fan manufacturer to: 1. Original Equipment Manufacturer (OEM) to Distributor to End-user; 2. Distributor to Contractor to End-user; and 3. Distributor to End-user.
DOE then established an overall baseline and incremental markup for each party identified in the distribution channels. The baseline markups relate the consumer price to the MSP prior to a change in efficiency. The incremental markups relate the change in consumer price to the incremental increase in MSP due to increased efficiency. The analysis considered the following three market segments separately: "Mfr" designates standalone fans that are not embedded; "Mfr_OEM" designates standalone fans purchased by OEMs to be embedded; "OEM" designates fans that are exclusively incorporated or for incorporation in OEM equipment.
</t>
    </r>
    <r>
      <rPr>
        <b/>
        <sz val="8"/>
        <rFont val="Calibri"/>
        <family val="2"/>
        <scheme val="minor"/>
      </rPr>
      <t xml:space="preserve">Sources: </t>
    </r>
    <r>
      <rPr>
        <sz val="8"/>
        <rFont val="Calibri"/>
        <family val="2"/>
        <scheme val="minor"/>
      </rPr>
      <t xml:space="preserve">
AMCA and Manufacturer Interviews to support the CIF Framework Document (2013)
Small, Large, and Very Large, Air-cooled Commercial Air Conditioners (CUAC) Direct Final Rule Technical Support Document (TSD): Markups for Product Price Determination. December 2015. U.S. Department of Energy. Retrieved from http://www.regulations.gov/#!docketDetail;D=EERE-2013-BT-STD-0007; 
Commercial Heating, Air Conditioning, and Water Heating Equipment Final Rule Technical Support Document (TSD): Markups for Product Price Determination. July 2012. U.S. Department of Energy. Retrieved from http://www.regulations.gov/#!documentDetail;D=EERE-2011-BT-STD-0029-0039 ; 
Westphalen, D., &amp; Koszalinski, S. (1999). Energy Consumption Characteristics of Commercial Building HVAC Systems Volume II: Thermal Distribution, Auxiliary Equipment, and Ventilation. Arthur D. Little Inc (ADLI), 33745–00. Retrieved from http://apps1.eere.energy.gov/buildings/publications/pdfs/commercial_initiative/hvac_volume2_final_report.pdf
U.S. Census Bureau (2012). Economic Census Manufacturing Industry Series (NAICS 33 Series) http://www.census.gov/manufacturing/asm  
U.S. Census Bureau (2012). Annual Wholesale Trade Survey, Machinery, Equipment, and Supplies Merchant Wholesalers (NAICS 4238). http://www.census.gov/wholesale/index.html  
RS Means (2015), Electrical Cost Data, 36th Annual Edition, Kingston, MA.
Sales Tax Clearinghouse, Inc. (last accessed on January 22, 2016), State sales tax rates along with combined average city and county rates, http://thestc.com/STrates.stm
</t>
    </r>
  </si>
  <si>
    <t>This worksheet presents the methodology used to calculate the equipment price in the no-standards case and in the different standards-cases. The engineering analysis provides the manufacturer selling prices (MSP) as a function of efficiency level (EL), diameter, and equipment class. In the no-standard case, the MSP are combined with the distribution channel markups to calculate the fan consumer prices. The distribution channel markups (baseline and incremental) are presented in the worksheet "Markups and Distribution Channels". ( MU_overall_base and MU_overall_ Inc)
To calculate fan prices at each of the standard-cases, it is assumed that compliant fan selections remain the same as in the no-standards case and the price of the fan stays equal to the no-standard-case price.
For non compliant fan selections, the fan selections are replaced by either (1) an existing compliant fan at the considered design point, or (2) a redesigned fan. In the first scenario, the MSP of the fan in the standards case is equal to the price of the selected substitute fan in the no-standard case. In the second scenario, the MSP of the redesigned fan is calculated. 
In addition to the increase in MSP, the price of a fan in the standard case incorporates additional conversion costs from the engineering analysis. These additional conversion costs arre derived from conversion markups. The covnersion markups are calculated based on the total conversion costs (TCC) provided by the engineering analysis and assumes manufacturers recover the total conversion costs over 30 years of shipments (total conversion costs are therefore annualized over 30 years and adjusted to the number of shipments in the LCC sample). 
 Six cases were identified as follows:
1. For redesigned standalone fans that are not sold to OEMs, in addition to the increase in MSP, the equipment price calculation incorporates a fan conversion markup.
2. For redesigned embedded fans, in addition to the increase in MSP, the equipment price calculation incorporates a combined fan and OEM conversion markup.
3. For redesign standalone fans sold to OEMs, in addition to the increase in MSP, the equipment price calculation incorporates a combined fan and OEM conversion markup.
4. For reselected standalone fans that are not sold to OEMs, the MSP does not incorporate any conversion costs.
5. For reselected  embedded fans, in addition to the increase in MSP, the equipment price calculation incorporates an OEM conversion markup.
6. For reselected standalone fans sold to OEMs, in addition to the increase in MSP, the equipment price calculation incorporates an OEM conversion markup.
These 6 cases are summarized the "Equipment Price Calculation Methodology" table below. 
Step 1  and Step 2 provide the equations used to distribute the total fan conversion costs and the total OEM conversion costs across all failing redesigned and reselected units at each EL and calculate the conversion markups.</t>
  </si>
  <si>
    <r>
      <t xml:space="preserve">The results of step 1 were then used to calculate the conversion markups associated to each case 1 through 6 as follows: </t>
    </r>
    <r>
      <rPr>
        <b/>
        <sz val="8"/>
        <color theme="1"/>
        <rFont val="Calibri"/>
        <family val="2"/>
        <scheme val="minor"/>
      </rPr>
      <t xml:space="preserve">
For each Case, Equipment Class, and at each EL: 
1. Manufacturer Selling Price (MSP) calculation:</t>
    </r>
    <r>
      <rPr>
        <sz val="8"/>
        <color theme="1"/>
        <rFont val="Calibri"/>
        <family val="2"/>
        <scheme val="minor"/>
      </rPr>
      <t xml:space="preserve">
MSP = MM*MPC
</t>
    </r>
    <r>
      <rPr>
        <b/>
        <sz val="8"/>
        <color theme="1"/>
        <rFont val="Calibri"/>
        <family val="2"/>
        <scheme val="minor"/>
      </rPr>
      <t xml:space="preserve">
2. No standards case consumer price calculation (EQP_price):</t>
    </r>
    <r>
      <rPr>
        <sz val="8"/>
        <color theme="1"/>
        <rFont val="Calibri"/>
        <family val="2"/>
        <scheme val="minor"/>
      </rPr>
      <t xml:space="preserve">
EQP_price= MSP_no-standard*MU_overall_base
</t>
    </r>
    <r>
      <rPr>
        <b/>
        <sz val="8"/>
        <color theme="1"/>
        <rFont val="Calibri"/>
        <family val="2"/>
        <scheme val="minor"/>
      </rPr>
      <t>3. Standards case consumer price calculation for a redesigned  fan (cases 1, 2, and 3):</t>
    </r>
    <r>
      <rPr>
        <sz val="8"/>
        <color theme="1"/>
        <rFont val="Calibri"/>
        <family val="2"/>
        <scheme val="minor"/>
      </rPr>
      <t xml:space="preserve">
           3.a Conversion markup (CM_EL) calculation:
                  CM_EL = (Total revenues_redesign_EL_casex + TCC_x_EL )/  Total revenues_redesign_EL_casex 
           3.b Redesign Unit’s MSP calculation (MSP_Standards), including the per unit conversion costs:
                  MSP_standards  + Conversion_costs_EL = MSP_standards*CM_EL
           3.c Redesigned unit consumer price calculation (EQP_price_standard):
                  EQP_price_standard = MSP_no-standard*MU_overall_base + (MSP_standards*CM_EL - MSP_no-standard)*MU_overall_ inc
</t>
    </r>
    <r>
      <rPr>
        <b/>
        <sz val="8"/>
        <color theme="1"/>
        <rFont val="Calibri"/>
        <family val="2"/>
        <scheme val="minor"/>
      </rPr>
      <t xml:space="preserve">4. Standards case consumer price calculation for a reselected fan (cases 4, 5,and 6):
       </t>
    </r>
    <r>
      <rPr>
        <sz val="8"/>
        <color theme="1"/>
        <rFont val="Calibri"/>
        <family val="2"/>
        <scheme val="minor"/>
      </rPr>
      <t xml:space="preserve">   4.a Conversion markup (CM_EL) calculation:
                    CM_EL = (Total revenues_reselected_EL_casex + TCC_x_EL )/  Total revenues_reselected_EL_casex 
           4.b Reselected Unit’s MSP calculation (MSP_Standards), including the per unit conversion costs:
                  MSP_standards  + Conversion_costs_EL =MSP_standards*CM_EL
           4.c Redesigned unit consumer price calculation (EQP_price_standard):
                  EQP_price_standard= MSP_no-standard*MU_overall_base +  (MSP_standards*CM_EL- MSP_no-standard)*MU_overall_ inc
Where: 
MSP_no-standard = MSP in the no standard case
MU_overall base = Overall baseline markup (distribution channel)
Total revenues_redesign_EL_casex = Sum of the MSPs of the failing redesigned units at a considered EL and case
TCC_x_EL = total conversion costs at a considered EL and case (annualized and adjusted to the number of fans in the LCC sample)
Conversion_costs_EL = per unit added conversion costs at a given EL
MU_overall_ inc =  Overall incremental markup (distribution channel)
Total revenues_reselected_EL_casex = Sum of the MSPs of the failing reselected units at a considered EL and case
Note: DOE assumed that installation, repair, and maintenance costs are independent of efficiency improvements, therefore, those were not accounted for in the LCC. </t>
    </r>
  </si>
  <si>
    <t>Belt Drive</t>
  </si>
  <si>
    <t>P068326</t>
  </si>
  <si>
    <t>P040191</t>
  </si>
  <si>
    <r>
      <t xml:space="preserve">This worksheet presents the methodology used to calculate the transmission efficiencies (belt) for belt driven fans and the electric motors energy use (losses) .
The LCC assumes all motors at or above 1HP in the field are motors with full load nominal efficiencies at Premium levels. The LCC assumed the motor has the enclosure with the lowest full load nominal efficiency at 4 poles. The motor size is determined by the fan BHP at the design point using a factor of 1.2. The equation used to calculate the motor part load losses (hp) is as follows:
Losses_motor(xi) = Losses_FL * z_i
Where: 
xi = P_i/MotorHP
zi = a*xi^3 + b*xi^2+cxi+d
Losses_FL = motor full load losses
and:
P_i= Motor output power (hp)
MotorHP the rated output power of the motor (hp)
x_i: the motor load at each load point i
The equation for transmission efficiency is based on the AMCA 203, Annex L. It provides an estimate of the efficiency of the transmission system as a function of the shaft input power to the fan. (BHP)
</t>
    </r>
    <r>
      <rPr>
        <b/>
        <sz val="8"/>
        <color theme="1"/>
        <rFont val="Calibri"/>
        <family val="2"/>
        <scheme val="minor"/>
      </rPr>
      <t xml:space="preserve">
Sources:</t>
    </r>
    <r>
      <rPr>
        <sz val="8"/>
        <color theme="1"/>
        <rFont val="Calibri"/>
        <family val="2"/>
        <scheme val="minor"/>
      </rPr>
      <t xml:space="preserve">
Air Movement and Control Association. AMCA 203 (R2011), Annex L. Estimated Belt Drive Losses
Analysis of motor part load performance data provided by NEMA 
</t>
    </r>
  </si>
  <si>
    <t>HP to kW</t>
  </si>
  <si>
    <t>Efficiency Target</t>
  </si>
  <si>
    <t>Static</t>
  </si>
  <si>
    <t>ALL FANS -- By Sub category in each Equipment Class and Drive Configuration</t>
  </si>
  <si>
    <t>ALL FANS -- By Drive Configuration in each Equipment Class</t>
  </si>
  <si>
    <t>STANDALONE FANS -- By Drive Configuration in each Equipment Class (Mfr and Mfr_OEM)</t>
  </si>
  <si>
    <t>EMBEDDED FANS -- By Drive Configuration in each Equipment Class (OEM)</t>
  </si>
  <si>
    <t>STANDALONE FANS -- By Sub category in each Equipment Class and Drive Configuration (Mfr and MFr_OEM)</t>
  </si>
  <si>
    <t>EMBEDDED FANS -- By Sub category in each Equipment Class and Drive Configuration (OEM)</t>
  </si>
  <si>
    <t>Axial Cylindrical Housed, Panel, Centrifugal Housed, Centrifugal Unhoused, Inline and Mix Flow, Radial, Power Roof Ventilator (PRV).</t>
  </si>
  <si>
    <t>PRV</t>
  </si>
  <si>
    <t>Centrifugal unhoused</t>
  </si>
  <si>
    <t>4. Condenser</t>
  </si>
  <si>
    <t>% of consumers that 
Experience Net Cost</t>
  </si>
  <si>
    <r>
      <t xml:space="preserve">
*Note: In order to qualify as a "substitute" a fan must be compliant and have:
      - Same fan category than in the no-standard case. 
        </t>
    </r>
    <r>
      <rPr>
        <u/>
        <sz val="8"/>
        <color theme="1"/>
        <rFont val="Calibri"/>
        <family val="2"/>
        <scheme val="minor"/>
      </rPr>
      <t>FC fans are only replaced by FC fans;</t>
    </r>
    <r>
      <rPr>
        <sz val="8"/>
        <color theme="1"/>
        <rFont val="Calibri"/>
        <family val="2"/>
        <scheme val="minor"/>
      </rPr>
      <t xml:space="preserve">
      - Design flow within 20% of the Design flow of the fan in the no-standard case; 
      - Design Total Pressure within 20% of Design Total Pressure of the fan in the no-standard case;
      - Same nominal diameter (binned diameter)
</t>
    </r>
    <r>
      <rPr>
        <sz val="8"/>
        <color rgb="FFFF0000"/>
        <rFont val="Calibri"/>
        <family val="2"/>
        <scheme val="minor"/>
      </rPr>
      <t xml:space="preserve">     </t>
    </r>
    <r>
      <rPr>
        <sz val="8"/>
        <color theme="1"/>
        <rFont val="Calibri"/>
        <family val="2"/>
        <scheme val="minor"/>
      </rPr>
      <t xml:space="preserve">
      If a non compliant fan has more than one substitute, the fan closest in terms of Design Airflow, Design Total Pressure and Price is selected as a replacement fan.</t>
    </r>
  </si>
  <si>
    <t>Returns "Pass" or "Fail" depending on the fan calculated FEP metric at EL 0 (all fans are set to pass at EL 0)</t>
  </si>
  <si>
    <t>Returns "Pass" or "Fail" depending on the fan calculated FEP metric at EL 1 (wire to air index ratio)</t>
  </si>
  <si>
    <t>Returns "Pass" or "Fail" depending on the fan calculated FEP metric at EL 2 (wire to air index ratio)</t>
  </si>
  <si>
    <t>Returns "Pass" or "Fail" depending on the fan calculated FEP metric at EL 3 (wire to air index ratio)</t>
  </si>
  <si>
    <t>Returns "Pass" or "Fail" depending on the fan calculated FEP metric at EL 4 (wire to air index ratio)</t>
  </si>
  <si>
    <t>Returns "Pass" or "Fail" depending on the fan calculated FEP metric at EL 5 (wire to air index ratio)</t>
  </si>
  <si>
    <t>Returns "Pass" or "Fail" depending on the fan calculated FEP metric at EL 6 (wire to air index ratio)</t>
  </si>
  <si>
    <t xml:space="preserve">The LCC is the total customer expense over the lifetime of the fan, which includes equipment and installation costs plus operating costs over the lifetime of the equipment (expenses for energy use, maintenance, and repair). DOE discounts future operating costs to the time of purchase using customer discount rates. The PBP is the estimated amount of years it takes consumers to recover the increased total installed cost (i.e., equipment and installation costs) of a more efficient type of equipment through lower operating costs. The PBP is equal to the change in total installed cost due to a standard divided by the change in annual operating cost resulting from the standard. Separate analyses were conducted for each of the seven fan equipment classes considered in the engineering analysis. Results are also provided for two larger families of fans: ducted and unducted fans. 
For each fan equipment class DOE conducted the LCC and PBP analyses by developing a large sample of fans, representative of the population of fans that would be affected by new energy conservation standards. Each equipment class in the LCC sample consists of thousands of distinct fan selections for which the calculations are performed. These were developed based on sales data representing over 57,000 fan selections and shipments-weighted to represent the market in the compliance year.  Each fan selection is paired with a fan installation characterized by a combination of consumer attributes (sector, application, fan configuration, electricity price, discount rate) and usage attributes (annual hours of operation, mechanical lifetime, load profile) generated using statistical distributions presented in this spreadsheet that remain the same as in the no new standards case. 
The LCC sample includes the following three market segments: 
"Mfr" designates standalone fans that are not incorporated in larger equipment; 
"Mfr_OEM" designates standalone fans that are sold to OEMs to be incorporated into larger equipment (not exclusively); and
"OEM" designates embedded fans that are exclusively incorporated or for incorporation in OEM equipment.
At each efficiency level considered, the fan selection in the no new standards case either meets or fails to meet the associated energy efficiency standard. If the fan assigned in the no new standards case meets the EL considered, the fan is left unchanged for that fan installation, and the standard does not impact that consumer. If the fan assigned in the no new standards case fails to meet the EL considered, the LCC considered two options:
(1) The fan is replaced by an existing compliant fan (i.e., reselection scenario)
(2) The fan has no existing compliant fans in the LCC sample and is therefore assumed to be redesigned (i.e., redesign scenario)
Under each scenario, the no new standards case fan is replaced with a compliant unit with a different price, and the LCC is recalculated. The price of the compliant unit is calculated based on information provided by the engineering analysis. The LCC savings at each EL are defined as the difference between the LCC in the no new standards case and the LCC for the compliant fan.  The LCC is calculated for each fan installation at each standards-case considered. Results are aggregated by fan equipment class and family. 
</t>
  </si>
  <si>
    <t>Energy Saving - kWh/year</t>
  </si>
  <si>
    <t>Energy Use - kWh/year</t>
  </si>
  <si>
    <t>Change LCC</t>
  </si>
  <si>
    <t>Change in LCC</t>
  </si>
  <si>
    <t>CA Average - 2017</t>
  </si>
  <si>
    <t>DOE 2017</t>
  </si>
  <si>
    <t>Adjustment Factor</t>
  </si>
  <si>
    <t>CA-1.1472</t>
  </si>
  <si>
    <t>CA-1.37</t>
  </si>
  <si>
    <t>CA-1.1398</t>
  </si>
  <si>
    <t>CA-1.2833</t>
  </si>
  <si>
    <t>Panel Fans</t>
  </si>
  <si>
    <t>Base</t>
  </si>
  <si>
    <t xml:space="preserve">Total Installed Cost </t>
  </si>
  <si>
    <t xml:space="preserve">Fan Conversion </t>
  </si>
  <si>
    <t>OEM Conversion</t>
  </si>
  <si>
    <t>Fan - No Conversion</t>
  </si>
  <si>
    <t>Revised</t>
  </si>
  <si>
    <t>Net Increment Times Markup</t>
  </si>
  <si>
    <t>Housed Centrifugal Fans</t>
  </si>
  <si>
    <t>Lifetime Opearting Cost</t>
  </si>
  <si>
    <t>California</t>
  </si>
  <si>
    <t>TDV Proxy</t>
  </si>
  <si>
    <t>Total Conversion Times Markup</t>
  </si>
  <si>
    <t>Total Increment</t>
  </si>
  <si>
    <t>Net Increase</t>
  </si>
  <si>
    <t>Increase EL0</t>
  </si>
  <si>
    <t>Standard</t>
  </si>
  <si>
    <t>Unhousd Centrifugal Fans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</si>
</sst>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00"/>
    <numFmt numFmtId="166" formatCode="0.0\ \ "/>
    <numFmt numFmtId="167" formatCode="0\ \ "/>
    <numFmt numFmtId="168" formatCode="0.0"/>
    <numFmt numFmtId="169" formatCode="_(* #,##0_);_(* \(#,##0\);_(* &quot;-&quot;??_);_(@_)"/>
    <numFmt numFmtId="170" formatCode="0.0%"/>
    <numFmt numFmtId="171" formatCode="0.000"/>
    <numFmt numFmtId="172" formatCode="&quot;$&quot;#,##0"/>
    <numFmt numFmtId="173" formatCode="_(&quot;$&quot;* #,##0_);_(&quot;$&quot;* \(#,##0\);_(&quot;$&quot;* &quot;-&quot;??_);_(@_)"/>
    <numFmt numFmtId="174" formatCode="#,##0.0"/>
    <numFmt numFmtId="175" formatCode="0.0000"/>
    <numFmt numFmtId="176" formatCode="0.00000"/>
    <numFmt numFmtId="177" formatCode="_(* #,##0.00000_);_(* \(#,##0.00000\);_(* &quot;-&quot;??_);_(@_)"/>
    <numFmt numFmtId="178" formatCode="_(&quot;$&quot;* #,##0.000_);_(&quot;$&quot;* \(#,##0.000\);_(&quot;$&quot;* &quot;-&quot;??_);_(@_)"/>
    <numFmt numFmtId="179" formatCode="_(* #,##0.000_);_(* \(#,##0.000\);_(* &quot;-&quot;??_);_(@_)"/>
    <numFmt numFmtId="180" formatCode="_(* #,##0.0_);_(* \(#,##0.0\);_(* &quot;-&quot;??_);_(@_)"/>
    <numFmt numFmtId="181" formatCode="_(&quot;$&quot;* #,##0.0000_);_(&quot;$&quot;* \(#,##0.0000\);_(&quot;$&quot;* &quot;-&quot;??_);_(@_)"/>
    <numFmt numFmtId="182" formatCode="_(&quot;$&quot;* #,##0.00000_);_(&quot;$&quot;* \(#,##0.00000\);_(&quot;$&quot;* &quot;-&quot;??_);_(@_)"/>
  </numFmts>
  <fonts count="9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8"/>
      <name val="Arial"/>
      <family val="2"/>
    </font>
    <font>
      <b/>
      <sz val="8"/>
      <color theme="0"/>
      <name val="Arial"/>
      <family val="2"/>
    </font>
    <font>
      <sz val="8"/>
      <name val="Arial"/>
      <family val="2"/>
    </font>
    <font>
      <sz val="10"/>
      <name val="Arial"/>
      <family val="2"/>
    </font>
    <font>
      <sz val="11"/>
      <color indexed="8"/>
      <name val="Calibri"/>
      <family val="2"/>
    </font>
    <font>
      <sz val="10"/>
      <color theme="1"/>
      <name val="Arial"/>
      <family val="2"/>
    </font>
    <font>
      <sz val="11"/>
      <color indexed="9"/>
      <name val="Calibri"/>
      <family val="2"/>
    </font>
    <font>
      <sz val="10"/>
      <color theme="0"/>
      <name val="Arial"/>
      <family val="2"/>
    </font>
    <font>
      <sz val="11"/>
      <color indexed="20"/>
      <name val="Calibri"/>
      <family val="2"/>
    </font>
    <font>
      <b/>
      <sz val="11"/>
      <color indexed="52"/>
      <name val="Calibri"/>
      <family val="2"/>
    </font>
    <font>
      <b/>
      <sz val="11"/>
      <color indexed="9"/>
      <name val="Calibri"/>
      <family val="2"/>
    </font>
    <font>
      <sz val="9"/>
      <name val="Arial"/>
      <family val="2"/>
    </font>
    <font>
      <sz val="12"/>
      <color theme="1"/>
      <name val="Calibri"/>
      <family val="2"/>
      <scheme val="minor"/>
    </font>
    <font>
      <sz val="7"/>
      <name val="Tahoma"/>
      <family val="2"/>
    </font>
    <font>
      <sz val="10"/>
      <name val="Geneva"/>
    </font>
    <font>
      <sz val="10"/>
      <color indexed="8"/>
      <name val="Arial"/>
      <family val="2"/>
    </font>
    <font>
      <i/>
      <sz val="11"/>
      <color indexed="23"/>
      <name val="Calibri"/>
      <family val="2"/>
    </font>
    <font>
      <sz val="11"/>
      <color indexed="17"/>
      <name val="Calibri"/>
      <family val="2"/>
    </font>
    <font>
      <b/>
      <sz val="15"/>
      <color indexed="56"/>
      <name val="Calibri"/>
      <family val="2"/>
    </font>
    <font>
      <b/>
      <sz val="18"/>
      <color indexed="22"/>
      <name val="Arial"/>
      <family val="2"/>
    </font>
    <font>
      <b/>
      <sz val="15"/>
      <color indexed="62"/>
      <name val="Calibri"/>
      <family val="2"/>
    </font>
    <font>
      <b/>
      <sz val="13"/>
      <color indexed="56"/>
      <name val="Calibri"/>
      <family val="2"/>
    </font>
    <font>
      <b/>
      <sz val="12"/>
      <color indexed="22"/>
      <name val="Arial"/>
      <family val="2"/>
    </font>
    <font>
      <b/>
      <sz val="13"/>
      <color indexed="62"/>
      <name val="Calibri"/>
      <family val="2"/>
    </font>
    <font>
      <b/>
      <sz val="13"/>
      <color theme="3"/>
      <name val="Arial"/>
      <family val="2"/>
    </font>
    <font>
      <b/>
      <sz val="11"/>
      <color indexed="56"/>
      <name val="Calibri"/>
      <family val="2"/>
    </font>
    <font>
      <b/>
      <sz val="11"/>
      <color indexed="62"/>
      <name val="Calibri"/>
      <family val="2"/>
    </font>
    <font>
      <b/>
      <sz val="11"/>
      <color theme="3"/>
      <name val="Arial"/>
      <family val="2"/>
    </font>
    <font>
      <u/>
      <sz val="10"/>
      <color indexed="12"/>
      <name val="Geneva"/>
    </font>
    <font>
      <u/>
      <sz val="10"/>
      <color indexed="22"/>
      <name val="Arial"/>
      <family val="2"/>
    </font>
    <font>
      <sz val="11"/>
      <color indexed="62"/>
      <name val="Calibri"/>
      <family val="2"/>
    </font>
    <font>
      <sz val="11"/>
      <color indexed="52"/>
      <name val="Calibri"/>
      <family val="2"/>
    </font>
    <font>
      <sz val="11"/>
      <color indexed="60"/>
      <name val="Calibri"/>
      <family val="2"/>
    </font>
    <font>
      <sz val="11"/>
      <color indexed="31"/>
      <name val="Calibri"/>
      <family val="2"/>
    </font>
    <font>
      <b/>
      <sz val="11"/>
      <color indexed="8"/>
      <name val="Calibri"/>
      <family val="2"/>
    </font>
    <font>
      <sz val="10"/>
      <color indexed="64"/>
      <name val="Arial"/>
      <family val="2"/>
    </font>
    <font>
      <sz val="11"/>
      <color theme="1"/>
      <name val="Calibri"/>
      <family val="3"/>
      <charset val="129"/>
      <scheme val="minor"/>
    </font>
    <font>
      <sz val="10"/>
      <name val="Verdana"/>
      <family val="2"/>
    </font>
    <font>
      <sz val="8"/>
      <color theme="1"/>
      <name val="Calibri"/>
      <family val="2"/>
    </font>
    <font>
      <b/>
      <sz val="11"/>
      <color indexed="63"/>
      <name val="Calibri"/>
      <family val="2"/>
    </font>
    <font>
      <sz val="10"/>
      <color indexed="8"/>
      <name val="MS Sans Serif"/>
      <family val="2"/>
    </font>
    <font>
      <b/>
      <sz val="18"/>
      <color indexed="56"/>
      <name val="Cambria"/>
      <family val="2"/>
    </font>
    <font>
      <b/>
      <sz val="18"/>
      <color indexed="62"/>
      <name val="Cambria"/>
      <family val="2"/>
    </font>
    <font>
      <sz val="11"/>
      <color indexed="10"/>
      <name val="Calibri"/>
      <family val="2"/>
    </font>
    <font>
      <sz val="8"/>
      <color theme="1"/>
      <name val="Arial"/>
      <family val="2"/>
    </font>
    <font>
      <sz val="8"/>
      <color indexed="9"/>
      <name val="Arial"/>
      <family val="2"/>
    </font>
    <font>
      <b/>
      <sz val="8"/>
      <color indexed="9"/>
      <name val="Arial"/>
      <family val="2"/>
    </font>
    <font>
      <b/>
      <sz val="8"/>
      <color theme="1"/>
      <name val="Calibri"/>
      <family val="2"/>
      <scheme val="minor"/>
    </font>
    <font>
      <b/>
      <sz val="18"/>
      <color theme="3"/>
      <name val="Calibri Light"/>
      <family val="2"/>
      <scheme val="major"/>
    </font>
    <font>
      <sz val="8"/>
      <color theme="1"/>
      <name val="Calibri"/>
      <family val="2"/>
      <scheme val="minor"/>
    </font>
    <font>
      <b/>
      <sz val="8"/>
      <color theme="0"/>
      <name val="Calibri"/>
      <family val="2"/>
      <scheme val="minor"/>
    </font>
    <font>
      <sz val="8"/>
      <color indexed="8"/>
      <name val="Calibri"/>
      <family val="2"/>
      <scheme val="minor"/>
    </font>
    <font>
      <sz val="8"/>
      <name val="Calibri"/>
      <family val="2"/>
      <scheme val="minor"/>
    </font>
    <font>
      <sz val="8"/>
      <color rgb="FFFF0000"/>
      <name val="Calibri"/>
      <family val="2"/>
      <scheme val="minor"/>
    </font>
    <font>
      <b/>
      <sz val="8"/>
      <color indexed="8"/>
      <name val="Calibri"/>
      <family val="2"/>
      <scheme val="minor"/>
    </font>
    <font>
      <b/>
      <sz val="8"/>
      <name val="Calibri"/>
      <family val="2"/>
      <scheme val="minor"/>
    </font>
    <font>
      <b/>
      <u/>
      <sz val="8"/>
      <name val="Calibri"/>
      <family val="2"/>
      <scheme val="minor"/>
    </font>
    <font>
      <vertAlign val="subscript"/>
      <sz val="8"/>
      <color theme="1"/>
      <name val="Calibri"/>
      <family val="2"/>
      <scheme val="minor"/>
    </font>
    <font>
      <sz val="8"/>
      <color theme="0" tint="-0.14999847407452621"/>
      <name val="Calibri"/>
      <family val="2"/>
      <scheme val="minor"/>
    </font>
    <font>
      <sz val="8"/>
      <color indexed="9"/>
      <name val="Calibri"/>
      <family val="2"/>
      <scheme val="minor"/>
    </font>
    <font>
      <b/>
      <sz val="8"/>
      <color indexed="9"/>
      <name val="Calibri"/>
      <family val="2"/>
      <scheme val="minor"/>
    </font>
    <font>
      <sz val="8"/>
      <color rgb="FF000000"/>
      <name val="Calibri"/>
      <family val="2"/>
      <scheme val="minor"/>
    </font>
    <font>
      <b/>
      <sz val="8"/>
      <color rgb="FFFF0000"/>
      <name val="Calibri"/>
      <family val="2"/>
      <scheme val="minor"/>
    </font>
    <font>
      <sz val="10"/>
      <color theme="0" tint="-0.249977111117893"/>
      <name val="Wingdings 3"/>
      <family val="1"/>
      <charset val="2"/>
    </font>
    <font>
      <sz val="8"/>
      <color theme="0" tint="-0.249977111117893"/>
      <name val="Calibri"/>
      <family val="2"/>
      <scheme val="minor"/>
    </font>
    <font>
      <sz val="8"/>
      <color theme="0"/>
      <name val="Calibri"/>
      <family val="2"/>
      <scheme val="minor"/>
    </font>
    <font>
      <sz val="8"/>
      <color theme="0" tint="-0.499984740745262"/>
      <name val="Calibri"/>
      <family val="2"/>
      <scheme val="minor"/>
    </font>
    <font>
      <sz val="8"/>
      <color theme="0" tint="-0.34998626667073579"/>
      <name val="Calibri"/>
      <family val="2"/>
      <scheme val="minor"/>
    </font>
    <font>
      <u/>
      <sz val="8"/>
      <color theme="1"/>
      <name val="Calibri"/>
      <family val="2"/>
      <scheme val="minor"/>
    </font>
    <font>
      <sz val="11"/>
      <name val="Calibri"/>
      <family val="2"/>
    </font>
    <font>
      <b/>
      <sz val="8"/>
      <color theme="0" tint="-0.14999847407452621"/>
      <name val="Calibri"/>
      <family val="2"/>
      <scheme val="minor"/>
    </font>
    <font>
      <sz val="11"/>
      <color theme="2"/>
      <name val="Calibri"/>
      <family val="2"/>
      <scheme val="minor"/>
    </font>
    <font>
      <sz val="11"/>
      <color theme="0" tint="-0.34998626667073579"/>
      <name val="Calibri"/>
      <family val="2"/>
      <scheme val="minor"/>
    </font>
    <font>
      <b/>
      <sz val="8"/>
      <color theme="1"/>
      <name val="Arial"/>
      <family val="2"/>
    </font>
    <font>
      <sz val="7"/>
      <color theme="1"/>
      <name val="Calibri"/>
      <family val="2"/>
      <scheme val="minor"/>
    </font>
    <font>
      <u/>
      <sz val="11"/>
      <color theme="10"/>
      <name val="Calibri"/>
      <family val="2"/>
      <scheme val="minor"/>
    </font>
    <font>
      <u/>
      <sz val="11"/>
      <color theme="11"/>
      <name val="Calibri"/>
      <family val="2"/>
      <scheme val="minor"/>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bgColor indexed="64"/>
      </patternFill>
    </fill>
    <fill>
      <patternFill patternType="solid">
        <fgColor indexed="31"/>
      </patternFill>
    </fill>
    <fill>
      <patternFill patternType="solid">
        <fgColor indexed="46"/>
      </patternFill>
    </fill>
    <fill>
      <patternFill patternType="solid">
        <fgColor indexed="45"/>
      </patternFill>
    </fill>
    <fill>
      <patternFill patternType="solid">
        <fgColor indexed="42"/>
      </patternFill>
    </fill>
    <fill>
      <patternFill patternType="solid">
        <fgColor indexed="44"/>
      </patternFill>
    </fill>
    <fill>
      <patternFill patternType="solid">
        <fgColor indexed="9"/>
      </patternFill>
    </fill>
    <fill>
      <patternFill patternType="solid">
        <fgColor indexed="27"/>
      </patternFill>
    </fill>
    <fill>
      <patternFill patternType="solid">
        <fgColor indexed="47"/>
      </patternFill>
    </fill>
    <fill>
      <patternFill patternType="solid">
        <fgColor indexed="43"/>
      </patternFill>
    </fill>
    <fill>
      <patternFill patternType="solid">
        <fgColor indexed="29"/>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28"/>
      </patternFill>
    </fill>
    <fill>
      <patternFill patternType="solid">
        <fgColor indexed="57"/>
      </patternFill>
    </fill>
    <fill>
      <patternFill patternType="solid">
        <fgColor indexed="26"/>
      </patternFill>
    </fill>
    <fill>
      <patternFill patternType="solid">
        <fgColor indexed="53"/>
      </patternFill>
    </fill>
    <fill>
      <patternFill patternType="solid">
        <fgColor indexed="14"/>
      </patternFill>
    </fill>
    <fill>
      <patternFill patternType="solid">
        <fgColor indexed="55"/>
      </patternFill>
    </fill>
    <fill>
      <patternFill patternType="solid">
        <fgColor rgb="FFFFC000"/>
        <bgColor indexed="64"/>
      </patternFill>
    </fill>
    <fill>
      <patternFill patternType="solid">
        <fgColor indexed="51"/>
        <bgColor indexed="64"/>
      </patternFill>
    </fill>
    <fill>
      <patternFill patternType="solid">
        <fgColor rgb="FF92D050"/>
        <bgColor indexed="64"/>
      </patternFill>
    </fill>
    <fill>
      <patternFill patternType="solid">
        <fgColor theme="5"/>
        <bgColor indexed="64"/>
      </patternFill>
    </fill>
    <fill>
      <patternFill patternType="solid">
        <fgColor theme="8" tint="0.79998168889431442"/>
        <bgColor indexed="64"/>
      </patternFill>
    </fill>
    <fill>
      <patternFill patternType="solid">
        <fgColor indexed="8"/>
        <bgColor indexed="64"/>
      </patternFill>
    </fill>
    <fill>
      <patternFill patternType="solid">
        <fgColor theme="0" tint="-0.14999847407452621"/>
        <bgColor indexed="64"/>
      </patternFill>
    </fill>
    <fill>
      <patternFill patternType="solid">
        <fgColor theme="1"/>
        <bgColor indexed="64"/>
      </patternFill>
    </fill>
    <fill>
      <patternFill patternType="solid">
        <fgColor theme="1"/>
        <bgColor theme="1"/>
      </patternFill>
    </fill>
    <fill>
      <patternFill patternType="solid">
        <fgColor theme="5"/>
        <bgColor theme="1"/>
      </patternFill>
    </fill>
    <fill>
      <patternFill patternType="solid">
        <fgColor theme="2" tint="-9.9978637043366805E-2"/>
        <bgColor indexed="64"/>
      </patternFill>
    </fill>
    <fill>
      <patternFill patternType="solid">
        <fgColor theme="1" tint="0.499984740745262"/>
        <bgColor indexed="64"/>
      </patternFill>
    </fill>
    <fill>
      <gradientFill degree="90">
        <stop position="0">
          <color rgb="FFFEFEFE"/>
        </stop>
        <stop position="1">
          <color rgb="FFF1F4F8"/>
        </stop>
      </gradientFill>
    </fill>
    <fill>
      <patternFill patternType="solid">
        <fgColor theme="2" tint="-0.249977111117893"/>
        <bgColor indexed="64"/>
      </patternFill>
    </fill>
    <fill>
      <patternFill patternType="solid">
        <fgColor theme="0" tint="-4.9989318521683403E-2"/>
        <bgColor indexed="64"/>
      </patternFill>
    </fill>
    <fill>
      <patternFill patternType="solid">
        <fgColor theme="0" tint="-0.14996795556505021"/>
        <bgColor indexed="64"/>
      </patternFill>
    </fill>
  </fills>
  <borders count="10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2"/>
      </bottom>
      <diagonal/>
    </border>
    <border>
      <left/>
      <right/>
      <top/>
      <bottom style="thick">
        <color indexed="22"/>
      </bottom>
      <diagonal/>
    </border>
    <border>
      <left/>
      <right/>
      <top/>
      <bottom style="thick">
        <color indexed="46"/>
      </bottom>
      <diagonal/>
    </border>
    <border>
      <left/>
      <right/>
      <top/>
      <bottom style="medium">
        <color indexed="30"/>
      </bottom>
      <diagonal/>
    </border>
    <border>
      <left/>
      <right/>
      <top/>
      <bottom style="medium">
        <color indexed="4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2"/>
      </top>
      <bottom style="double">
        <color indexed="42"/>
      </bottom>
      <diagonal/>
    </border>
    <border>
      <left/>
      <right/>
      <top style="double">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medium">
        <color auto="1"/>
      </top>
      <bottom style="medium">
        <color auto="1"/>
      </bottom>
      <diagonal/>
    </border>
    <border>
      <left style="thin">
        <color auto="1"/>
      </left>
      <right style="thin">
        <color auto="1"/>
      </right>
      <top/>
      <bottom style="medium">
        <color auto="1"/>
      </bottom>
      <diagonal/>
    </border>
    <border>
      <left/>
      <right style="thin">
        <color auto="1"/>
      </right>
      <top style="medium">
        <color auto="1"/>
      </top>
      <bottom/>
      <diagonal/>
    </border>
    <border>
      <left style="medium">
        <color auto="1"/>
      </left>
      <right/>
      <top style="double">
        <color auto="1"/>
      </top>
      <bottom/>
      <diagonal/>
    </border>
    <border>
      <left style="thin">
        <color auto="1"/>
      </left>
      <right style="thin">
        <color auto="1"/>
      </right>
      <top style="double">
        <color auto="1"/>
      </top>
      <bottom/>
      <diagonal/>
    </border>
    <border>
      <left style="medium">
        <color auto="1"/>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medium">
        <color auto="1"/>
      </right>
      <top/>
      <bottom style="double">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right/>
      <top/>
      <bottom style="double">
        <color auto="1"/>
      </bottom>
      <diagonal/>
    </border>
    <border>
      <left style="thin">
        <color auto="1"/>
      </left>
      <right style="medium">
        <color auto="1"/>
      </right>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double">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medium">
        <color indexed="4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2"/>
      </top>
      <bottom style="double">
        <color indexed="4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medium">
        <color indexed="4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2"/>
      </top>
      <bottom style="double">
        <color indexed="42"/>
      </bottom>
      <diagonal/>
    </border>
  </borders>
  <cellStyleXfs count="167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1" fillId="10" borderId="0" applyNumberFormat="0" applyBorder="0" applyAlignment="0" applyProtection="0"/>
    <xf numFmtId="0" fontId="1" fillId="1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6"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2"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43"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45"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5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49"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4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5"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4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5" fillId="20"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2"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44"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49"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44"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5" fillId="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60"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2"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49"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64"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52" borderId="12" applyNumberFormat="0" applyAlignment="0" applyProtection="0"/>
    <xf numFmtId="0" fontId="27" fillId="52" borderId="12" applyNumberFormat="0" applyAlignment="0" applyProtection="0"/>
    <xf numFmtId="0" fontId="27" fillId="46" borderId="12" applyNumberFormat="0" applyAlignment="0" applyProtection="0"/>
    <xf numFmtId="0" fontId="27" fillId="52" borderId="12" applyNumberFormat="0" applyAlignment="0" applyProtection="0"/>
    <xf numFmtId="0" fontId="27" fillId="52" borderId="12" applyNumberFormat="0" applyAlignment="0" applyProtection="0"/>
    <xf numFmtId="0" fontId="27" fillId="52" borderId="12"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0" fontId="28" fillId="65" borderId="13"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1" fillId="0" borderId="0" applyFont="0" applyFill="0" applyBorder="0" applyAlignment="0" applyProtection="0"/>
    <xf numFmtId="43" fontId="21"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1" fillId="0" borderId="0" applyFont="0" applyFill="0" applyBorder="0" applyAlignment="0" applyProtection="0"/>
    <xf numFmtId="44" fontId="29"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29"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164" fontId="21" fillId="0" borderId="0" applyFont="0" applyFill="0" applyBorder="0" applyAlignment="0" applyProtection="0"/>
    <xf numFmtId="0" fontId="21"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2" fontId="21" fillId="0" borderId="0" applyFont="0" applyFill="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6" fillId="0" borderId="14"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15" applyNumberFormat="0" applyFill="0" applyAlignment="0" applyProtection="0"/>
    <xf numFmtId="0" fontId="38" fillId="0" borderId="15"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9" fillId="0" borderId="16"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7" applyNumberFormat="0" applyFill="0" applyAlignment="0" applyProtection="0"/>
    <xf numFmtId="0" fontId="41" fillId="0" borderId="17"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42" fillId="0" borderId="2"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4" fillId="0" borderId="19"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48" borderId="12" applyNumberFormat="0" applyAlignment="0" applyProtection="0"/>
    <xf numFmtId="0" fontId="48" fillId="48" borderId="12" applyNumberFormat="0" applyAlignment="0" applyProtection="0"/>
    <xf numFmtId="0" fontId="48" fillId="49" borderId="12" applyNumberFormat="0" applyAlignment="0" applyProtection="0"/>
    <xf numFmtId="0" fontId="48" fillId="48" borderId="12" applyNumberFormat="0" applyAlignment="0" applyProtection="0"/>
    <xf numFmtId="0" fontId="48" fillId="48" borderId="12" applyNumberFormat="0" applyAlignment="0" applyProtection="0"/>
    <xf numFmtId="0" fontId="48" fillId="48" borderId="12" applyNumberFormat="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50" fillId="49"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6" fillId="66" borderId="0">
      <alignment horizontal="center"/>
    </xf>
    <xf numFmtId="0" fontId="52" fillId="67" borderId="0">
      <alignment horizontal="center"/>
    </xf>
    <xf numFmtId="0" fontId="52" fillId="67" borderId="0">
      <alignment horizontal="center"/>
    </xf>
    <xf numFmtId="0" fontId="52" fillId="67" borderId="0">
      <alignment horizontal="center"/>
    </xf>
    <xf numFmtId="0" fontId="52" fillId="67" borderId="0">
      <alignment horizontal="center"/>
    </xf>
    <xf numFmtId="0" fontId="52" fillId="67" borderId="0">
      <alignment horizontal="center"/>
    </xf>
    <xf numFmtId="0" fontId="52" fillId="67" borderId="0">
      <alignment horizont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3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4" fillId="0" borderId="0"/>
    <xf numFmtId="0" fontId="55" fillId="0" borderId="0"/>
    <xf numFmtId="0" fontId="54" fillId="0" borderId="0"/>
    <xf numFmtId="0" fontId="1" fillId="0" borderId="0"/>
    <xf numFmtId="0" fontId="23" fillId="0" borderId="0"/>
    <xf numFmtId="0" fontId="23" fillId="0" borderId="0"/>
    <xf numFmtId="0" fontId="1" fillId="0" borderId="0"/>
    <xf numFmtId="0" fontId="1" fillId="0" borderId="0"/>
    <xf numFmtId="0" fontId="1" fillId="0" borderId="0"/>
    <xf numFmtId="0" fontId="31" fillId="0" borderId="0"/>
    <xf numFmtId="0" fontId="18"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21" fillId="0" borderId="0"/>
    <xf numFmtId="0" fontId="1" fillId="0" borderId="0"/>
    <xf numFmtId="0" fontId="1" fillId="0" borderId="0"/>
    <xf numFmtId="0" fontId="5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56"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30"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9" fillId="62" borderId="21" applyNumberFormat="0" applyFont="0" applyAlignment="0" applyProtection="0"/>
    <xf numFmtId="0" fontId="31" fillId="49"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22" fillId="62" borderId="2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7" fillId="52" borderId="22" applyNumberFormat="0" applyAlignment="0" applyProtection="0"/>
    <xf numFmtId="0" fontId="57" fillId="52" borderId="22" applyNumberFormat="0" applyAlignment="0" applyProtection="0"/>
    <xf numFmtId="0" fontId="57" fillId="46" borderId="22" applyNumberFormat="0" applyAlignment="0" applyProtection="0"/>
    <xf numFmtId="0" fontId="57" fillId="52" borderId="22" applyNumberFormat="0" applyAlignment="0" applyProtection="0"/>
    <xf numFmtId="0" fontId="57" fillId="52" borderId="22" applyNumberFormat="0" applyAlignment="0" applyProtection="0"/>
    <xf numFmtId="0" fontId="57" fillId="52" borderId="22" applyNumberFormat="0" applyAlignment="0" applyProtection="0"/>
    <xf numFmtId="9" fontId="1" fillId="0" borderId="0" applyFont="0" applyFill="0" applyBorder="0" applyAlignment="0" applyProtection="0"/>
    <xf numFmtId="9" fontId="29"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3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3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3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8" fillId="0" borderId="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4"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21" fillId="0" borderId="25" applyNumberFormat="0" applyFon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1" fillId="68" borderId="26">
      <alignment horizontal="center" vertical="center"/>
    </xf>
    <xf numFmtId="42" fontId="33" fillId="0" borderId="0" applyFont="0" applyFill="0" applyBorder="0" applyAlignment="0" applyProtection="0"/>
    <xf numFmtId="44" fontId="33"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4" fontId="1" fillId="0" borderId="0" applyFont="0" applyFill="0" applyBorder="0" applyAlignment="0" applyProtection="0"/>
    <xf numFmtId="0" fontId="6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87" fillId="0" borderId="0"/>
    <xf numFmtId="0" fontId="87" fillId="0" borderId="0"/>
    <xf numFmtId="0" fontId="1" fillId="11"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30" fillId="0" borderId="0"/>
    <xf numFmtId="0" fontId="1" fillId="0" borderId="0"/>
    <xf numFmtId="0" fontId="1" fillId="0" borderId="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7" fillId="0" borderId="0" applyFont="0" applyFill="0" applyBorder="0" applyAlignment="0" applyProtection="0"/>
    <xf numFmtId="0" fontId="87" fillId="0" borderId="0"/>
    <xf numFmtId="0" fontId="87" fillId="0" borderId="0"/>
    <xf numFmtId="0" fontId="87" fillId="0" borderId="0"/>
    <xf numFmtId="0" fontId="87" fillId="0" borderId="0"/>
    <xf numFmtId="0" fontId="29" fillId="0" borderId="0"/>
    <xf numFmtId="0" fontId="48" fillId="48" borderId="101" applyNumberFormat="0" applyAlignment="0" applyProtection="0"/>
    <xf numFmtId="0" fontId="43" fillId="0" borderId="102" applyNumberFormat="0" applyFill="0" applyAlignment="0" applyProtection="0"/>
    <xf numFmtId="0" fontId="57" fillId="52" borderId="105" applyNumberFormat="0" applyAlignment="0" applyProtection="0"/>
    <xf numFmtId="0" fontId="57" fillId="52" borderId="105" applyNumberFormat="0" applyAlignment="0" applyProtection="0"/>
    <xf numFmtId="0" fontId="57" fillId="52" borderId="105" applyNumberFormat="0" applyAlignment="0" applyProtection="0"/>
    <xf numFmtId="0" fontId="57" fillId="46" borderId="105" applyNumberFormat="0" applyAlignment="0" applyProtection="0"/>
    <xf numFmtId="0" fontId="57" fillId="52" borderId="105" applyNumberFormat="0" applyAlignment="0" applyProtection="0"/>
    <xf numFmtId="0" fontId="57" fillId="52" borderId="105" applyNumberForma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31" fillId="49" borderId="104" applyNumberFormat="0" applyFont="0" applyAlignment="0" applyProtection="0"/>
    <xf numFmtId="0" fontId="29"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2" fillId="62" borderId="104" applyNumberFormat="0" applyFont="0" applyAlignment="0" applyProtection="0"/>
    <xf numFmtId="0" fontId="29" fillId="62" borderId="104" applyNumberFormat="0" applyFont="0" applyAlignment="0" applyProtection="0"/>
    <xf numFmtId="0" fontId="48" fillId="48" borderId="101" applyNumberFormat="0" applyAlignment="0" applyProtection="0"/>
    <xf numFmtId="0" fontId="48" fillId="48" borderId="101" applyNumberFormat="0" applyAlignment="0" applyProtection="0"/>
    <xf numFmtId="0" fontId="48" fillId="48" borderId="101" applyNumberFormat="0" applyAlignment="0" applyProtection="0"/>
    <xf numFmtId="0" fontId="48" fillId="49" borderId="101" applyNumberFormat="0" applyAlignment="0" applyProtection="0"/>
    <xf numFmtId="0" fontId="48" fillId="48" borderId="101" applyNumberFormat="0" applyAlignment="0" applyProtection="0"/>
    <xf numFmtId="0" fontId="43" fillId="0" borderId="102" applyNumberFormat="0" applyFill="0" applyAlignment="0" applyProtection="0"/>
    <xf numFmtId="0" fontId="43" fillId="0" borderId="102" applyNumberFormat="0" applyFill="0" applyAlignment="0" applyProtection="0"/>
    <xf numFmtId="0" fontId="44" fillId="0" borderId="103" applyNumberFormat="0" applyFill="0" applyAlignment="0" applyProtection="0"/>
    <xf numFmtId="0" fontId="43" fillId="0" borderId="102" applyNumberFormat="0" applyFill="0" applyAlignment="0" applyProtection="0"/>
    <xf numFmtId="0" fontId="43" fillId="0" borderId="102" applyNumberFormat="0" applyFill="0" applyAlignment="0" applyProtection="0"/>
    <xf numFmtId="0" fontId="27" fillId="52" borderId="94" applyNumberFormat="0" applyAlignment="0" applyProtection="0"/>
    <xf numFmtId="0" fontId="27" fillId="52" borderId="94" applyNumberFormat="0" applyAlignment="0" applyProtection="0"/>
    <xf numFmtId="0" fontId="27" fillId="46" borderId="94" applyNumberFormat="0" applyAlignment="0" applyProtection="0"/>
    <xf numFmtId="0" fontId="27" fillId="52" borderId="94" applyNumberFormat="0" applyAlignment="0" applyProtection="0"/>
    <xf numFmtId="0" fontId="27" fillId="52" borderId="94" applyNumberFormat="0" applyAlignment="0" applyProtection="0"/>
    <xf numFmtId="0" fontId="27" fillId="52" borderId="94" applyNumberFormat="0" applyAlignment="0" applyProtection="0"/>
    <xf numFmtId="0" fontId="27" fillId="52" borderId="101" applyNumberFormat="0" applyAlignment="0" applyProtection="0"/>
    <xf numFmtId="0" fontId="27" fillId="52" borderId="101" applyNumberFormat="0" applyAlignment="0" applyProtection="0"/>
    <xf numFmtId="0" fontId="27" fillId="52" borderId="101" applyNumberFormat="0" applyAlignment="0" applyProtection="0"/>
    <xf numFmtId="0" fontId="27" fillId="46" borderId="101" applyNumberFormat="0" applyAlignment="0" applyProtection="0"/>
    <xf numFmtId="0" fontId="27" fillId="52" borderId="101" applyNumberFormat="0" applyAlignment="0" applyProtection="0"/>
    <xf numFmtId="0" fontId="27" fillId="52" borderId="101" applyNumberFormat="0" applyAlignment="0" applyProtection="0"/>
    <xf numFmtId="0" fontId="43" fillId="0" borderId="95" applyNumberFormat="0" applyFill="0" applyAlignment="0" applyProtection="0"/>
    <xf numFmtId="0" fontId="43" fillId="0" borderId="95" applyNumberFormat="0" applyFill="0" applyAlignment="0" applyProtection="0"/>
    <xf numFmtId="0" fontId="44" fillId="0" borderId="96" applyNumberFormat="0" applyFill="0" applyAlignment="0" applyProtection="0"/>
    <xf numFmtId="0" fontId="43" fillId="0" borderId="95" applyNumberFormat="0" applyFill="0" applyAlignment="0" applyProtection="0"/>
    <xf numFmtId="0" fontId="43" fillId="0" borderId="95" applyNumberFormat="0" applyFill="0" applyAlignment="0" applyProtection="0"/>
    <xf numFmtId="0" fontId="43" fillId="0" borderId="95" applyNumberFormat="0" applyFill="0" applyAlignment="0" applyProtection="0"/>
    <xf numFmtId="0" fontId="48" fillId="48" borderId="94" applyNumberFormat="0" applyAlignment="0" applyProtection="0"/>
    <xf numFmtId="0" fontId="48" fillId="48" borderId="94" applyNumberFormat="0" applyAlignment="0" applyProtection="0"/>
    <xf numFmtId="0" fontId="48" fillId="49" borderId="94" applyNumberFormat="0" applyAlignment="0" applyProtection="0"/>
    <xf numFmtId="0" fontId="48" fillId="48" borderId="94" applyNumberFormat="0" applyAlignment="0" applyProtection="0"/>
    <xf numFmtId="0" fontId="48" fillId="48" borderId="94" applyNumberFormat="0" applyAlignment="0" applyProtection="0"/>
    <xf numFmtId="0" fontId="48" fillId="48" borderId="94" applyNumberFormat="0" applyAlignment="0" applyProtection="0"/>
    <xf numFmtId="0" fontId="29"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9" fillId="62" borderId="97" applyNumberFormat="0" applyFont="0" applyAlignment="0" applyProtection="0"/>
    <xf numFmtId="0" fontId="31" fillId="49"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22" fillId="62" borderId="97" applyNumberFormat="0" applyFont="0" applyAlignment="0" applyProtection="0"/>
    <xf numFmtId="0" fontId="57" fillId="52" borderId="98" applyNumberFormat="0" applyAlignment="0" applyProtection="0"/>
    <xf numFmtId="0" fontId="57" fillId="52" borderId="98" applyNumberFormat="0" applyAlignment="0" applyProtection="0"/>
    <xf numFmtId="0" fontId="57" fillId="46" borderId="98" applyNumberFormat="0" applyAlignment="0" applyProtection="0"/>
    <xf numFmtId="0" fontId="57" fillId="52" borderId="98" applyNumberFormat="0" applyAlignment="0" applyProtection="0"/>
    <xf numFmtId="0" fontId="57" fillId="52" borderId="98" applyNumberFormat="0" applyAlignment="0" applyProtection="0"/>
    <xf numFmtId="0" fontId="57" fillId="52" borderId="98" applyNumberFormat="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100"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99"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7"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52" fillId="0" borderId="106"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cellStyleXfs>
  <cellXfs count="775">
    <xf numFmtId="0" fontId="0" fillId="0" borderId="0" xfId="0"/>
    <xf numFmtId="0" fontId="19" fillId="73" borderId="46" xfId="43" applyFont="1" applyFill="1" applyBorder="1" applyAlignment="1">
      <alignment horizontal="center" vertical="center" wrapText="1"/>
    </xf>
    <xf numFmtId="0" fontId="1" fillId="72" borderId="0" xfId="903" applyFill="1"/>
    <xf numFmtId="0" fontId="20" fillId="40" borderId="26" xfId="8" applyFont="1" applyFill="1" applyBorder="1" applyAlignment="1">
      <alignment horizontal="center" vertical="center"/>
    </xf>
    <xf numFmtId="0" fontId="64" fillId="37" borderId="0" xfId="903" applyFont="1" applyFill="1"/>
    <xf numFmtId="0" fontId="63" fillId="37" borderId="0" xfId="903" applyFont="1" applyFill="1"/>
    <xf numFmtId="0" fontId="68" fillId="37" borderId="0" xfId="42" applyFont="1" applyFill="1"/>
    <xf numFmtId="0" fontId="69" fillId="37" borderId="0" xfId="42" applyFont="1" applyFill="1"/>
    <xf numFmtId="0" fontId="70" fillId="38" borderId="0" xfId="42" applyFont="1" applyFill="1" applyBorder="1" applyAlignment="1">
      <alignment vertical="top" wrapText="1"/>
    </xf>
    <xf numFmtId="0" fontId="69" fillId="38" borderId="0" xfId="42" applyFont="1" applyFill="1"/>
    <xf numFmtId="0" fontId="72" fillId="40" borderId="11" xfId="42" applyFont="1" applyFill="1" applyBorder="1"/>
    <xf numFmtId="0" fontId="69" fillId="40" borderId="11" xfId="42" applyFont="1" applyFill="1" applyBorder="1" applyAlignment="1">
      <alignment vertical="top"/>
    </xf>
    <xf numFmtId="0" fontId="69" fillId="40" borderId="11" xfId="42" applyFont="1" applyFill="1" applyBorder="1" applyAlignment="1">
      <alignment vertical="top" wrapText="1"/>
    </xf>
    <xf numFmtId="0" fontId="69" fillId="40" borderId="11" xfId="42" applyFont="1" applyFill="1" applyBorder="1"/>
    <xf numFmtId="0" fontId="70" fillId="40" borderId="11" xfId="43" applyFont="1" applyFill="1" applyBorder="1"/>
    <xf numFmtId="0" fontId="69" fillId="38" borderId="0" xfId="42" applyFont="1" applyFill="1" applyBorder="1"/>
    <xf numFmtId="0" fontId="72" fillId="40" borderId="10" xfId="42" applyFont="1" applyFill="1" applyBorder="1"/>
    <xf numFmtId="0" fontId="69" fillId="40" borderId="0" xfId="42" applyFont="1" applyFill="1" applyBorder="1" applyAlignment="1">
      <alignment vertical="top"/>
    </xf>
    <xf numFmtId="0" fontId="69" fillId="40" borderId="0" xfId="42" applyFont="1" applyFill="1" applyBorder="1" applyAlignment="1">
      <alignment vertical="top" wrapText="1"/>
    </xf>
    <xf numFmtId="0" fontId="69" fillId="40" borderId="10" xfId="42" applyFont="1" applyFill="1" applyBorder="1"/>
    <xf numFmtId="0" fontId="73" fillId="40" borderId="11" xfId="42" applyFont="1" applyFill="1" applyBorder="1"/>
    <xf numFmtId="0" fontId="70" fillId="40" borderId="11" xfId="42" applyFont="1" applyFill="1" applyBorder="1"/>
    <xf numFmtId="0" fontId="70" fillId="40" borderId="10" xfId="42" applyFont="1" applyFill="1" applyBorder="1"/>
    <xf numFmtId="0" fontId="69" fillId="40" borderId="0" xfId="42" applyFont="1" applyFill="1" applyBorder="1"/>
    <xf numFmtId="0" fontId="65" fillId="40" borderId="11" xfId="42" applyFont="1" applyFill="1" applyBorder="1"/>
    <xf numFmtId="0" fontId="68" fillId="39" borderId="0" xfId="42" applyFont="1" applyFill="1"/>
    <xf numFmtId="0" fontId="69" fillId="39" borderId="0" xfId="42" applyFont="1" applyFill="1"/>
    <xf numFmtId="0" fontId="71" fillId="38" borderId="0" xfId="42" applyFont="1" applyFill="1"/>
    <xf numFmtId="3" fontId="70" fillId="0" borderId="26" xfId="43" applyNumberFormat="1" applyFont="1" applyBorder="1" applyAlignment="1">
      <alignment horizontal="center"/>
    </xf>
    <xf numFmtId="166" fontId="70" fillId="0" borderId="26" xfId="43" applyNumberFormat="1" applyFont="1" applyFill="1" applyBorder="1" applyAlignment="1">
      <alignment horizontal="center" vertical="center"/>
    </xf>
    <xf numFmtId="167" fontId="70" fillId="0" borderId="26" xfId="43" applyNumberFormat="1" applyFont="1" applyFill="1" applyBorder="1" applyAlignment="1">
      <alignment horizontal="center" vertical="center"/>
    </xf>
    <xf numFmtId="0" fontId="70" fillId="40" borderId="26" xfId="43" applyFont="1" applyFill="1" applyBorder="1" applyAlignment="1">
      <alignment horizontal="center"/>
    </xf>
    <xf numFmtId="0" fontId="70" fillId="70" borderId="0" xfId="43" applyFont="1" applyFill="1"/>
    <xf numFmtId="0" fontId="68" fillId="37" borderId="0" xfId="43" applyFont="1" applyFill="1"/>
    <xf numFmtId="0" fontId="70" fillId="37" borderId="0" xfId="43" applyFont="1" applyFill="1"/>
    <xf numFmtId="0" fontId="67" fillId="37" borderId="0" xfId="0" applyFont="1" applyFill="1"/>
    <xf numFmtId="0" fontId="68" fillId="37" borderId="0" xfId="0" applyFont="1" applyFill="1"/>
    <xf numFmtId="2" fontId="67" fillId="37" borderId="0" xfId="0" applyNumberFormat="1" applyFont="1" applyFill="1"/>
    <xf numFmtId="0" fontId="67" fillId="36" borderId="0" xfId="0" applyFont="1" applyFill="1"/>
    <xf numFmtId="0" fontId="68" fillId="36" borderId="0" xfId="0" applyFont="1" applyFill="1"/>
    <xf numFmtId="2" fontId="67" fillId="36" borderId="0" xfId="0" applyNumberFormat="1" applyFont="1" applyFill="1"/>
    <xf numFmtId="0" fontId="67" fillId="35" borderId="0" xfId="0" applyFont="1" applyFill="1"/>
    <xf numFmtId="0" fontId="67" fillId="40" borderId="26" xfId="0" applyFont="1" applyFill="1" applyBorder="1" applyAlignment="1">
      <alignment horizontal="left" vertical="center"/>
    </xf>
    <xf numFmtId="0" fontId="65" fillId="40" borderId="26" xfId="906" applyFont="1" applyFill="1" applyBorder="1" applyAlignment="1">
      <alignment horizontal="center" vertical="center" wrapText="1"/>
    </xf>
    <xf numFmtId="0" fontId="67" fillId="40" borderId="26" xfId="906" applyFont="1" applyFill="1" applyBorder="1" applyAlignment="1">
      <alignment horizontal="center"/>
    </xf>
    <xf numFmtId="9" fontId="70" fillId="40" borderId="26" xfId="1436" applyFont="1" applyFill="1" applyBorder="1" applyAlignment="1">
      <alignment horizontal="center" vertical="center"/>
    </xf>
    <xf numFmtId="0" fontId="67" fillId="73" borderId="0" xfId="906" applyFont="1" applyFill="1" applyBorder="1" applyAlignment="1">
      <alignment horizontal="center" vertical="center"/>
    </xf>
    <xf numFmtId="9" fontId="70" fillId="40" borderId="0" xfId="1436" applyFont="1" applyFill="1" applyBorder="1" applyAlignment="1">
      <alignment horizontal="center" vertical="center"/>
    </xf>
    <xf numFmtId="0" fontId="67" fillId="37" borderId="0" xfId="0" applyFont="1" applyFill="1" applyBorder="1"/>
    <xf numFmtId="0" fontId="67" fillId="36" borderId="0" xfId="0" applyFont="1" applyFill="1" applyBorder="1"/>
    <xf numFmtId="0" fontId="68" fillId="73" borderId="0" xfId="43" applyFont="1" applyFill="1" applyBorder="1" applyAlignment="1">
      <alignment vertical="center" wrapText="1"/>
    </xf>
    <xf numFmtId="0" fontId="68" fillId="73" borderId="0" xfId="43" applyFont="1" applyFill="1" applyBorder="1" applyAlignment="1">
      <alignment horizontal="center" vertical="center" wrapText="1"/>
    </xf>
    <xf numFmtId="0" fontId="68" fillId="74" borderId="0" xfId="43" applyFont="1" applyFill="1" applyBorder="1" applyAlignment="1">
      <alignment horizontal="center" vertical="center" wrapText="1"/>
    </xf>
    <xf numFmtId="0" fontId="65" fillId="40" borderId="27" xfId="906" applyFont="1" applyFill="1" applyBorder="1" applyAlignment="1">
      <alignment horizontal="center" vertical="center" wrapText="1"/>
    </xf>
    <xf numFmtId="0" fontId="65" fillId="40" borderId="11" xfId="906" applyFont="1" applyFill="1" applyBorder="1" applyAlignment="1">
      <alignment horizontal="center" vertical="center" wrapText="1"/>
    </xf>
    <xf numFmtId="0" fontId="65" fillId="40" borderId="29" xfId="906" applyFont="1" applyFill="1" applyBorder="1" applyAlignment="1">
      <alignment horizontal="center" vertical="center" wrapText="1"/>
    </xf>
    <xf numFmtId="0" fontId="67" fillId="40" borderId="32" xfId="906" applyFont="1" applyFill="1" applyBorder="1" applyAlignment="1">
      <alignment horizontal="center"/>
    </xf>
    <xf numFmtId="0" fontId="67" fillId="40" borderId="35" xfId="906" applyFont="1" applyFill="1" applyBorder="1" applyAlignment="1">
      <alignment horizontal="center"/>
    </xf>
    <xf numFmtId="9" fontId="70" fillId="40" borderId="45" xfId="1436" applyFont="1" applyFill="1" applyBorder="1" applyAlignment="1">
      <alignment horizontal="center" vertical="center"/>
    </xf>
    <xf numFmtId="9" fontId="70" fillId="40" borderId="44" xfId="1436" applyFont="1" applyFill="1" applyBorder="1" applyAlignment="1">
      <alignment horizontal="center" vertical="center"/>
    </xf>
    <xf numFmtId="9" fontId="70" fillId="40" borderId="33" xfId="1436" applyFont="1" applyFill="1" applyBorder="1" applyAlignment="1">
      <alignment horizontal="center" vertical="center"/>
    </xf>
    <xf numFmtId="9" fontId="70" fillId="40" borderId="34" xfId="1436" applyFont="1" applyFill="1" applyBorder="1" applyAlignment="1">
      <alignment horizontal="center" vertical="center"/>
    </xf>
    <xf numFmtId="9" fontId="70" fillId="40" borderId="32" xfId="1436" applyFont="1" applyFill="1" applyBorder="1" applyAlignment="1">
      <alignment horizontal="center" vertical="center"/>
    </xf>
    <xf numFmtId="9" fontId="70" fillId="40" borderId="35" xfId="1436" applyFont="1" applyFill="1" applyBorder="1" applyAlignment="1">
      <alignment horizontal="center" vertical="center"/>
    </xf>
    <xf numFmtId="9" fontId="70" fillId="40" borderId="27" xfId="1436" applyFont="1" applyFill="1" applyBorder="1" applyAlignment="1">
      <alignment horizontal="center" vertical="center"/>
    </xf>
    <xf numFmtId="0" fontId="67" fillId="40" borderId="32" xfId="906" applyFont="1" applyFill="1" applyBorder="1" applyAlignment="1">
      <alignment horizontal="center" vertical="center"/>
    </xf>
    <xf numFmtId="0" fontId="67" fillId="40" borderId="35" xfId="906" applyFont="1" applyFill="1" applyBorder="1" applyAlignment="1">
      <alignment horizontal="center" vertical="center"/>
    </xf>
    <xf numFmtId="9" fontId="67" fillId="40" borderId="45" xfId="1391" applyFont="1" applyFill="1" applyBorder="1" applyAlignment="1">
      <alignment horizontal="center" vertical="center"/>
    </xf>
    <xf numFmtId="9" fontId="67" fillId="40" borderId="44" xfId="1391" applyFont="1" applyFill="1" applyBorder="1" applyAlignment="1">
      <alignment horizontal="center" vertical="center"/>
    </xf>
    <xf numFmtId="9" fontId="67" fillId="40" borderId="33" xfId="1391" applyFont="1" applyFill="1" applyBorder="1" applyAlignment="1">
      <alignment horizontal="center" vertical="center"/>
    </xf>
    <xf numFmtId="9" fontId="67" fillId="40" borderId="34" xfId="1391" applyFont="1" applyFill="1" applyBorder="1" applyAlignment="1">
      <alignment horizontal="center" vertical="center"/>
    </xf>
    <xf numFmtId="9" fontId="67" fillId="40" borderId="31" xfId="1491" applyFont="1" applyFill="1" applyBorder="1" applyAlignment="1">
      <alignment horizontal="center"/>
    </xf>
    <xf numFmtId="0" fontId="67" fillId="40" borderId="45" xfId="906" applyFont="1" applyFill="1" applyBorder="1" applyAlignment="1">
      <alignment horizontal="center"/>
    </xf>
    <xf numFmtId="9" fontId="67" fillId="40" borderId="44" xfId="1491" applyFont="1" applyFill="1" applyBorder="1" applyAlignment="1">
      <alignment horizontal="center"/>
    </xf>
    <xf numFmtId="9" fontId="67" fillId="40" borderId="34" xfId="1491" applyFont="1" applyFill="1" applyBorder="1" applyAlignment="1">
      <alignment horizontal="center"/>
    </xf>
    <xf numFmtId="9" fontId="67" fillId="40" borderId="29" xfId="1491" applyFont="1" applyFill="1" applyBorder="1" applyAlignment="1">
      <alignment horizontal="center"/>
    </xf>
    <xf numFmtId="9" fontId="70" fillId="40" borderId="29" xfId="1436" applyFont="1" applyFill="1" applyBorder="1" applyAlignment="1">
      <alignment horizontal="center" vertical="center"/>
    </xf>
    <xf numFmtId="0" fontId="68" fillId="69" borderId="0" xfId="0" applyFont="1" applyFill="1" applyBorder="1"/>
    <xf numFmtId="0" fontId="68" fillId="37" borderId="0" xfId="43" applyFont="1" applyFill="1" applyBorder="1" applyAlignment="1"/>
    <xf numFmtId="9" fontId="70" fillId="40" borderId="11" xfId="1436" applyFont="1" applyFill="1" applyBorder="1" applyAlignment="1">
      <alignment horizontal="center" vertical="center"/>
    </xf>
    <xf numFmtId="0" fontId="67" fillId="40" borderId="0" xfId="0" applyFont="1" applyFill="1" applyBorder="1" applyAlignment="1">
      <alignment horizontal="left" vertical="center"/>
    </xf>
    <xf numFmtId="1" fontId="67" fillId="40" borderId="0" xfId="0" applyNumberFormat="1" applyFont="1" applyFill="1" applyBorder="1" applyAlignment="1">
      <alignment horizontal="left" vertical="center"/>
    </xf>
    <xf numFmtId="2" fontId="67" fillId="40" borderId="0" xfId="0" applyNumberFormat="1" applyFont="1" applyFill="1" applyBorder="1" applyAlignment="1">
      <alignment horizontal="left" vertical="center"/>
    </xf>
    <xf numFmtId="168" fontId="67" fillId="40" borderId="0" xfId="0" applyNumberFormat="1" applyFont="1" applyFill="1" applyBorder="1" applyAlignment="1">
      <alignment horizontal="left" vertical="center"/>
    </xf>
    <xf numFmtId="0" fontId="67" fillId="37" borderId="0" xfId="0" applyFont="1" applyFill="1" applyAlignment="1">
      <alignment vertical="center"/>
    </xf>
    <xf numFmtId="0" fontId="68" fillId="37" borderId="0" xfId="0" applyFont="1" applyFill="1" applyAlignment="1">
      <alignment vertical="center"/>
    </xf>
    <xf numFmtId="0" fontId="67" fillId="37" borderId="0" xfId="0" applyFont="1" applyFill="1" applyAlignment="1">
      <alignment horizontal="left" vertical="center"/>
    </xf>
    <xf numFmtId="0" fontId="67" fillId="76" borderId="0" xfId="0" applyFont="1" applyFill="1" applyAlignment="1">
      <alignment vertical="center"/>
    </xf>
    <xf numFmtId="0" fontId="67" fillId="76" borderId="0" xfId="0" applyFont="1" applyFill="1" applyAlignment="1">
      <alignment horizontal="left" vertical="center"/>
    </xf>
    <xf numFmtId="0" fontId="76" fillId="76" borderId="0" xfId="0" applyFont="1" applyFill="1" applyAlignment="1">
      <alignment vertical="center"/>
    </xf>
    <xf numFmtId="0" fontId="65" fillId="76" borderId="0" xfId="0" applyFont="1" applyFill="1" applyAlignment="1">
      <alignment horizontal="center" vertical="center"/>
    </xf>
    <xf numFmtId="0" fontId="65" fillId="76" borderId="0" xfId="0" applyFont="1" applyFill="1" applyAlignment="1">
      <alignment horizontal="left" vertical="center"/>
    </xf>
    <xf numFmtId="0" fontId="65" fillId="34" borderId="73" xfId="0" applyFont="1" applyFill="1" applyBorder="1" applyAlignment="1">
      <alignment horizontal="left" vertical="center"/>
    </xf>
    <xf numFmtId="0" fontId="65" fillId="34" borderId="52" xfId="0" applyFont="1" applyFill="1" applyBorder="1" applyAlignment="1">
      <alignment horizontal="left" vertical="center"/>
    </xf>
    <xf numFmtId="0" fontId="65" fillId="34" borderId="69" xfId="0" applyFont="1" applyFill="1" applyBorder="1" applyAlignment="1">
      <alignment horizontal="left" vertical="center"/>
    </xf>
    <xf numFmtId="0" fontId="65" fillId="34" borderId="47" xfId="0" applyFont="1" applyFill="1" applyBorder="1" applyAlignment="1">
      <alignment horizontal="left" vertical="center"/>
    </xf>
    <xf numFmtId="0" fontId="67" fillId="40" borderId="39" xfId="0" applyFont="1" applyFill="1" applyBorder="1" applyAlignment="1">
      <alignment vertical="center"/>
    </xf>
    <xf numFmtId="0" fontId="67" fillId="40" borderId="0" xfId="0" applyFont="1" applyFill="1" applyBorder="1" applyAlignment="1">
      <alignment vertical="center"/>
    </xf>
    <xf numFmtId="0" fontId="67" fillId="40" borderId="50" xfId="0" applyFont="1" applyFill="1" applyBorder="1" applyAlignment="1">
      <alignment horizontal="left" vertical="center"/>
    </xf>
    <xf numFmtId="2" fontId="67" fillId="40" borderId="51" xfId="0" applyNumberFormat="1" applyFont="1" applyFill="1" applyBorder="1" applyAlignment="1">
      <alignment horizontal="left" vertical="center"/>
    </xf>
    <xf numFmtId="0" fontId="70" fillId="40" borderId="39" xfId="0" applyFont="1" applyFill="1" applyBorder="1" applyAlignment="1">
      <alignment vertical="center"/>
    </xf>
    <xf numFmtId="0" fontId="70" fillId="40" borderId="0" xfId="0" applyFont="1" applyFill="1" applyBorder="1" applyAlignment="1">
      <alignment vertical="center"/>
    </xf>
    <xf numFmtId="0" fontId="67" fillId="40" borderId="51" xfId="0" applyFont="1" applyFill="1" applyBorder="1" applyAlignment="1">
      <alignment horizontal="left" vertical="center"/>
    </xf>
    <xf numFmtId="0" fontId="70" fillId="40" borderId="41" xfId="0" applyFont="1" applyFill="1" applyBorder="1" applyAlignment="1">
      <alignment vertical="center"/>
    </xf>
    <xf numFmtId="0" fontId="70" fillId="40" borderId="42" xfId="0" applyFont="1" applyFill="1" applyBorder="1" applyAlignment="1">
      <alignment vertical="center"/>
    </xf>
    <xf numFmtId="2" fontId="67" fillId="76" borderId="0" xfId="0" applyNumberFormat="1" applyFont="1" applyFill="1" applyAlignment="1">
      <alignment vertical="center"/>
    </xf>
    <xf numFmtId="0" fontId="70" fillId="40" borderId="50" xfId="0" applyFont="1" applyFill="1" applyBorder="1" applyAlignment="1">
      <alignment horizontal="left" vertical="center"/>
    </xf>
    <xf numFmtId="0" fontId="67" fillId="76" borderId="0" xfId="0" applyFont="1" applyFill="1" applyBorder="1" applyAlignment="1">
      <alignment horizontal="left" vertical="center"/>
    </xf>
    <xf numFmtId="0" fontId="65" fillId="34" borderId="48" xfId="0" applyFont="1" applyFill="1" applyBorder="1" applyAlignment="1">
      <alignment vertical="center"/>
    </xf>
    <xf numFmtId="0" fontId="65" fillId="34" borderId="60" xfId="0" applyFont="1" applyFill="1" applyBorder="1" applyAlignment="1">
      <alignment vertical="center"/>
    </xf>
    <xf numFmtId="0" fontId="65" fillId="34" borderId="53" xfId="0" applyFont="1" applyFill="1" applyBorder="1" applyAlignment="1">
      <alignment horizontal="center" vertical="center"/>
    </xf>
    <xf numFmtId="0" fontId="65" fillId="34" borderId="54" xfId="0" applyFont="1" applyFill="1" applyBorder="1" applyAlignment="1">
      <alignment horizontal="center" vertical="center"/>
    </xf>
    <xf numFmtId="0" fontId="73" fillId="40" borderId="36" xfId="0" applyFont="1" applyFill="1" applyBorder="1" applyAlignment="1">
      <alignment vertical="center"/>
    </xf>
    <xf numFmtId="0" fontId="73" fillId="40" borderId="62" xfId="0" applyFont="1" applyFill="1" applyBorder="1" applyAlignment="1">
      <alignment vertical="center"/>
    </xf>
    <xf numFmtId="0" fontId="70" fillId="40" borderId="57" xfId="0" applyFont="1" applyFill="1" applyBorder="1" applyAlignment="1">
      <alignment vertical="center"/>
    </xf>
    <xf numFmtId="0" fontId="70" fillId="40" borderId="46" xfId="0" applyFont="1" applyFill="1" applyBorder="1" applyAlignment="1">
      <alignment vertical="center"/>
    </xf>
    <xf numFmtId="173" fontId="70" fillId="40" borderId="28" xfId="1488" applyNumberFormat="1" applyFont="1" applyFill="1" applyBorder="1" applyAlignment="1">
      <alignment horizontal="right" vertical="center"/>
    </xf>
    <xf numFmtId="0" fontId="70" fillId="40" borderId="65" xfId="0" applyFont="1" applyFill="1" applyBorder="1" applyAlignment="1">
      <alignment vertical="center"/>
    </xf>
    <xf numFmtId="0" fontId="70" fillId="40" borderId="74" xfId="0" applyFont="1" applyFill="1" applyBorder="1" applyAlignment="1">
      <alignment vertical="center"/>
    </xf>
    <xf numFmtId="0" fontId="73" fillId="40" borderId="63" xfId="0" applyFont="1" applyFill="1" applyBorder="1" applyAlignment="1">
      <alignment vertical="center"/>
    </xf>
    <xf numFmtId="0" fontId="73" fillId="40" borderId="25" xfId="0" applyFont="1" applyFill="1" applyBorder="1" applyAlignment="1">
      <alignment vertical="center"/>
    </xf>
    <xf numFmtId="168" fontId="67" fillId="40" borderId="51" xfId="0" applyNumberFormat="1" applyFont="1" applyFill="1" applyBorder="1" applyAlignment="1">
      <alignment horizontal="left" vertical="center"/>
    </xf>
    <xf numFmtId="0" fontId="67" fillId="40" borderId="57" xfId="0" applyFont="1" applyFill="1" applyBorder="1" applyAlignment="1">
      <alignment vertical="center"/>
    </xf>
    <xf numFmtId="0" fontId="67" fillId="40" borderId="46" xfId="0" applyFont="1" applyFill="1" applyBorder="1" applyAlignment="1">
      <alignment vertical="center"/>
    </xf>
    <xf numFmtId="1" fontId="67" fillId="76" borderId="0" xfId="0" applyNumberFormat="1" applyFont="1" applyFill="1" applyAlignment="1">
      <alignment vertical="center"/>
    </xf>
    <xf numFmtId="2" fontId="67" fillId="40" borderId="32" xfId="0" applyNumberFormat="1" applyFont="1" applyFill="1" applyBorder="1" applyAlignment="1">
      <alignment horizontal="right" vertical="center"/>
    </xf>
    <xf numFmtId="2" fontId="67" fillId="40" borderId="58" xfId="0" applyNumberFormat="1" applyFont="1" applyFill="1" applyBorder="1" applyAlignment="1">
      <alignment horizontal="right" vertical="center"/>
    </xf>
    <xf numFmtId="2" fontId="70" fillId="40" borderId="32" xfId="0" applyNumberFormat="1" applyFont="1" applyFill="1" applyBorder="1" applyAlignment="1">
      <alignment horizontal="right" vertical="center"/>
    </xf>
    <xf numFmtId="2" fontId="70" fillId="40" borderId="58" xfId="0" applyNumberFormat="1" applyFont="1" applyFill="1" applyBorder="1" applyAlignment="1">
      <alignment horizontal="right" vertical="center"/>
    </xf>
    <xf numFmtId="1" fontId="67" fillId="76" borderId="0" xfId="0" applyNumberFormat="1" applyFont="1" applyFill="1" applyBorder="1" applyAlignment="1">
      <alignment horizontal="left" vertical="center"/>
    </xf>
    <xf numFmtId="168" fontId="67" fillId="76" borderId="0" xfId="0" applyNumberFormat="1" applyFont="1" applyFill="1" applyBorder="1" applyAlignment="1">
      <alignment horizontal="left" vertical="center"/>
    </xf>
    <xf numFmtId="170" fontId="70" fillId="40" borderId="58" xfId="1491" applyNumberFormat="1" applyFont="1" applyFill="1" applyBorder="1" applyAlignment="1">
      <alignment horizontal="right" vertical="center"/>
    </xf>
    <xf numFmtId="168" fontId="67" fillId="40" borderId="39" xfId="0" applyNumberFormat="1" applyFont="1" applyFill="1" applyBorder="1" applyAlignment="1">
      <alignment horizontal="left" vertical="center"/>
    </xf>
    <xf numFmtId="168" fontId="67" fillId="40" borderId="0" xfId="0" applyNumberFormat="1" applyFont="1" applyFill="1" applyBorder="1" applyAlignment="1">
      <alignment horizontal="center" vertical="center"/>
    </xf>
    <xf numFmtId="168" fontId="67" fillId="40" borderId="40" xfId="0" applyNumberFormat="1" applyFont="1" applyFill="1" applyBorder="1" applyAlignment="1">
      <alignment horizontal="left" vertical="center"/>
    </xf>
    <xf numFmtId="43" fontId="67" fillId="40" borderId="32" xfId="1490" applyFont="1" applyFill="1" applyBorder="1" applyAlignment="1">
      <alignment horizontal="right" vertical="center"/>
    </xf>
    <xf numFmtId="168" fontId="71" fillId="40" borderId="39" xfId="0" applyNumberFormat="1" applyFont="1" applyFill="1" applyBorder="1" applyAlignment="1">
      <alignment horizontal="left" vertical="center"/>
    </xf>
    <xf numFmtId="168" fontId="71" fillId="40" borderId="0" xfId="0" applyNumberFormat="1" applyFont="1" applyFill="1" applyBorder="1" applyAlignment="1">
      <alignment horizontal="left" vertical="center"/>
    </xf>
    <xf numFmtId="0" fontId="67" fillId="40" borderId="40" xfId="0" applyFont="1" applyFill="1" applyBorder="1" applyAlignment="1">
      <alignment horizontal="left" vertical="center"/>
    </xf>
    <xf numFmtId="43" fontId="67" fillId="40" borderId="67" xfId="1490" applyFont="1" applyFill="1" applyBorder="1" applyAlignment="1">
      <alignment horizontal="right" vertical="center"/>
    </xf>
    <xf numFmtId="43" fontId="67" fillId="40" borderId="75" xfId="1490" applyFont="1" applyFill="1" applyBorder="1" applyAlignment="1">
      <alignment horizontal="right" vertical="center"/>
    </xf>
    <xf numFmtId="168" fontId="71" fillId="40" borderId="40" xfId="0" applyNumberFormat="1" applyFont="1" applyFill="1" applyBorder="1" applyAlignment="1">
      <alignment horizontal="left" vertical="center"/>
    </xf>
    <xf numFmtId="0" fontId="65" fillId="40" borderId="39" xfId="0" applyFont="1" applyFill="1" applyBorder="1" applyAlignment="1">
      <alignment vertical="center"/>
    </xf>
    <xf numFmtId="2" fontId="70" fillId="40" borderId="28" xfId="0" applyNumberFormat="1" applyFont="1" applyFill="1" applyBorder="1" applyAlignment="1">
      <alignment horizontal="right" vertical="center"/>
    </xf>
    <xf numFmtId="170" fontId="67" fillId="40" borderId="32" xfId="1491" applyNumberFormat="1" applyFont="1" applyFill="1" applyBorder="1" applyAlignment="1">
      <alignment horizontal="right" vertical="center"/>
    </xf>
    <xf numFmtId="1" fontId="67" fillId="40" borderId="39" xfId="0" applyNumberFormat="1" applyFont="1" applyFill="1" applyBorder="1" applyAlignment="1">
      <alignment horizontal="left" vertical="center"/>
    </xf>
    <xf numFmtId="0" fontId="70" fillId="77" borderId="32" xfId="0" applyFont="1" applyFill="1" applyBorder="1" applyAlignment="1">
      <alignment horizontal="right" vertical="center"/>
    </xf>
    <xf numFmtId="171" fontId="70" fillId="40" borderId="0" xfId="0" applyNumberFormat="1" applyFont="1" applyFill="1" applyBorder="1" applyAlignment="1">
      <alignment horizontal="right" vertical="center"/>
    </xf>
    <xf numFmtId="171" fontId="70" fillId="40" borderId="32" xfId="0" applyNumberFormat="1" applyFont="1" applyFill="1" applyBorder="1" applyAlignment="1">
      <alignment horizontal="right" vertical="center"/>
    </xf>
    <xf numFmtId="171" fontId="70" fillId="40" borderId="58" xfId="0" applyNumberFormat="1" applyFont="1" applyFill="1" applyBorder="1" applyAlignment="1">
      <alignment horizontal="right" vertical="center"/>
    </xf>
    <xf numFmtId="1" fontId="67" fillId="40" borderId="40" xfId="0" applyNumberFormat="1" applyFont="1" applyFill="1" applyBorder="1" applyAlignment="1">
      <alignment horizontal="left" vertical="center"/>
    </xf>
    <xf numFmtId="0" fontId="70" fillId="77" borderId="61" xfId="0" applyFont="1" applyFill="1" applyBorder="1" applyAlignment="1">
      <alignment horizontal="right" vertical="center"/>
    </xf>
    <xf numFmtId="171" fontId="70" fillId="40" borderId="42" xfId="0" applyNumberFormat="1" applyFont="1" applyFill="1" applyBorder="1" applyAlignment="1">
      <alignment horizontal="right" vertical="center"/>
    </xf>
    <xf numFmtId="171" fontId="70" fillId="40" borderId="61" xfId="0" applyNumberFormat="1" applyFont="1" applyFill="1" applyBorder="1" applyAlignment="1">
      <alignment horizontal="right" vertical="center"/>
    </xf>
    <xf numFmtId="171" fontId="70" fillId="40" borderId="59" xfId="0" applyNumberFormat="1" applyFont="1" applyFill="1" applyBorder="1" applyAlignment="1">
      <alignment horizontal="right" vertical="center"/>
    </xf>
    <xf numFmtId="2" fontId="67" fillId="76" borderId="0" xfId="0" applyNumberFormat="1" applyFont="1" applyFill="1" applyBorder="1" applyAlignment="1">
      <alignment horizontal="left" vertical="center"/>
    </xf>
    <xf numFmtId="2" fontId="67" fillId="40" borderId="39" xfId="0" applyNumberFormat="1" applyFont="1" applyFill="1" applyBorder="1" applyAlignment="1">
      <alignment horizontal="left" vertical="center"/>
    </xf>
    <xf numFmtId="2" fontId="67" fillId="40" borderId="40" xfId="0" applyNumberFormat="1" applyFont="1" applyFill="1" applyBorder="1" applyAlignment="1">
      <alignment horizontal="left" vertical="center"/>
    </xf>
    <xf numFmtId="0" fontId="67" fillId="40" borderId="40" xfId="0" applyFont="1" applyFill="1" applyBorder="1" applyAlignment="1">
      <alignment vertical="center"/>
    </xf>
    <xf numFmtId="44" fontId="67" fillId="76" borderId="0" xfId="0" applyNumberFormat="1" applyFont="1" applyFill="1" applyAlignment="1">
      <alignment vertical="center"/>
    </xf>
    <xf numFmtId="2" fontId="67" fillId="76" borderId="0" xfId="1488" applyNumberFormat="1" applyFont="1" applyFill="1" applyBorder="1" applyAlignment="1">
      <alignment horizontal="left" vertical="center"/>
    </xf>
    <xf numFmtId="173" fontId="67" fillId="76" borderId="0" xfId="1488" applyNumberFormat="1" applyFont="1" applyFill="1" applyBorder="1" applyAlignment="1">
      <alignment horizontal="left" vertical="center"/>
    </xf>
    <xf numFmtId="0" fontId="67" fillId="40" borderId="70" xfId="0" applyFont="1" applyFill="1" applyBorder="1" applyAlignment="1">
      <alignment horizontal="left" vertical="center"/>
    </xf>
    <xf numFmtId="0" fontId="67" fillId="76" borderId="0" xfId="0" applyFont="1" applyFill="1" applyBorder="1" applyAlignment="1">
      <alignment vertical="center"/>
    </xf>
    <xf numFmtId="173" fontId="67" fillId="76" borderId="0" xfId="0" applyNumberFormat="1" applyFont="1" applyFill="1" applyAlignment="1">
      <alignment vertical="center"/>
    </xf>
    <xf numFmtId="0" fontId="68" fillId="76" borderId="0" xfId="0" applyFont="1" applyFill="1" applyAlignment="1">
      <alignment vertical="center"/>
    </xf>
    <xf numFmtId="171" fontId="67" fillId="40" borderId="77" xfId="0" applyNumberFormat="1" applyFont="1" applyFill="1" applyBorder="1" applyAlignment="1">
      <alignment vertical="center"/>
    </xf>
    <xf numFmtId="173" fontId="70" fillId="40" borderId="32" xfId="1488" applyNumberFormat="1" applyFont="1" applyFill="1" applyBorder="1" applyAlignment="1">
      <alignment horizontal="right" vertical="center"/>
    </xf>
    <xf numFmtId="173" fontId="70" fillId="40" borderId="44" xfId="1488" applyNumberFormat="1" applyFont="1" applyFill="1" applyBorder="1" applyAlignment="1">
      <alignment horizontal="right" vertical="center"/>
    </xf>
    <xf numFmtId="173" fontId="70" fillId="40" borderId="58" xfId="1488" applyNumberFormat="1" applyFont="1" applyFill="1" applyBorder="1" applyAlignment="1">
      <alignment horizontal="right" vertical="center"/>
    </xf>
    <xf numFmtId="173" fontId="70" fillId="40" borderId="67" xfId="1488" applyNumberFormat="1" applyFont="1" applyFill="1" applyBorder="1" applyAlignment="1">
      <alignment horizontal="right" vertical="center"/>
    </xf>
    <xf numFmtId="173" fontId="70" fillId="40" borderId="66" xfId="1488" applyNumberFormat="1" applyFont="1" applyFill="1" applyBorder="1" applyAlignment="1">
      <alignment horizontal="right" vertical="center"/>
    </xf>
    <xf numFmtId="0" fontId="77" fillId="37" borderId="0" xfId="43" applyFont="1" applyFill="1"/>
    <xf numFmtId="0" fontId="78" fillId="37" borderId="0" xfId="43" applyFont="1" applyFill="1"/>
    <xf numFmtId="0" fontId="70" fillId="72" borderId="0" xfId="43" applyFont="1" applyFill="1" applyAlignment="1"/>
    <xf numFmtId="0" fontId="70" fillId="72" borderId="0" xfId="43" applyFont="1" applyFill="1"/>
    <xf numFmtId="0" fontId="68" fillId="73" borderId="44" xfId="43" applyFont="1" applyFill="1" applyBorder="1" applyAlignment="1">
      <alignment horizontal="center" vertical="center"/>
    </xf>
    <xf numFmtId="0" fontId="70" fillId="72" borderId="0" xfId="43" applyFont="1" applyFill="1" applyAlignment="1">
      <alignment horizontal="center" vertical="center"/>
    </xf>
    <xf numFmtId="0" fontId="67" fillId="72" borderId="0" xfId="899" applyFont="1" applyFill="1" applyAlignment="1">
      <alignment horizontal="center" vertical="center"/>
    </xf>
    <xf numFmtId="0" fontId="70" fillId="33" borderId="26" xfId="43" applyFont="1" applyFill="1" applyBorder="1" applyAlignment="1">
      <alignment horizontal="center" vertical="center" wrapText="1"/>
    </xf>
    <xf numFmtId="0" fontId="70" fillId="33" borderId="27" xfId="43" applyFont="1" applyFill="1" applyBorder="1" applyAlignment="1">
      <alignment horizontal="center" vertical="center" wrapText="1"/>
    </xf>
    <xf numFmtId="0" fontId="70" fillId="33" borderId="29" xfId="43" applyFont="1" applyFill="1" applyBorder="1" applyAlignment="1">
      <alignment horizontal="center" vertical="center" wrapText="1"/>
    </xf>
    <xf numFmtId="0" fontId="70" fillId="33" borderId="11" xfId="43" applyFont="1" applyFill="1" applyBorder="1" applyAlignment="1">
      <alignment horizontal="center" vertical="center" wrapText="1"/>
    </xf>
    <xf numFmtId="9" fontId="70" fillId="40" borderId="32" xfId="43" applyNumberFormat="1" applyFont="1" applyFill="1" applyBorder="1" applyAlignment="1">
      <alignment horizontal="center" vertical="center"/>
    </xf>
    <xf numFmtId="9" fontId="70" fillId="40" borderId="45" xfId="43" applyNumberFormat="1" applyFont="1" applyFill="1" applyBorder="1" applyAlignment="1">
      <alignment horizontal="center" vertical="center"/>
    </xf>
    <xf numFmtId="9" fontId="70" fillId="40" borderId="44" xfId="43" applyNumberFormat="1" applyFont="1" applyFill="1" applyBorder="1" applyAlignment="1">
      <alignment horizontal="center" vertical="center"/>
    </xf>
    <xf numFmtId="9" fontId="70" fillId="40" borderId="0" xfId="43" applyNumberFormat="1" applyFont="1" applyFill="1" applyBorder="1" applyAlignment="1">
      <alignment horizontal="center" vertical="center"/>
    </xf>
    <xf numFmtId="170" fontId="67" fillId="0" borderId="26" xfId="899" applyNumberFormat="1" applyFont="1" applyBorder="1" applyAlignment="1">
      <alignment horizontal="center"/>
    </xf>
    <xf numFmtId="10" fontId="79" fillId="72" borderId="0" xfId="1430" applyNumberFormat="1" applyFont="1" applyFill="1" applyAlignment="1">
      <alignment horizontal="center"/>
    </xf>
    <xf numFmtId="10" fontId="67" fillId="0" borderId="26" xfId="899" applyNumberFormat="1" applyFont="1" applyBorder="1" applyAlignment="1">
      <alignment horizontal="center"/>
    </xf>
    <xf numFmtId="9" fontId="67" fillId="0" borderId="26" xfId="899" applyNumberFormat="1" applyFont="1" applyBorder="1" applyAlignment="1">
      <alignment horizontal="center"/>
    </xf>
    <xf numFmtId="9" fontId="70" fillId="40" borderId="35" xfId="43" applyNumberFormat="1" applyFont="1" applyFill="1" applyBorder="1" applyAlignment="1">
      <alignment horizontal="center" vertical="center"/>
    </xf>
    <xf numFmtId="9" fontId="70" fillId="40" borderId="33" xfId="43" applyNumberFormat="1" applyFont="1" applyFill="1" applyBorder="1" applyAlignment="1">
      <alignment horizontal="center" vertical="center"/>
    </xf>
    <xf numFmtId="9" fontId="70" fillId="40" borderId="34" xfId="43" applyNumberFormat="1" applyFont="1" applyFill="1" applyBorder="1" applyAlignment="1">
      <alignment horizontal="center" vertical="center"/>
    </xf>
    <xf numFmtId="9" fontId="70" fillId="40" borderId="10" xfId="43" applyNumberFormat="1" applyFont="1" applyFill="1" applyBorder="1" applyAlignment="1">
      <alignment horizontal="center" vertical="center"/>
    </xf>
    <xf numFmtId="0" fontId="68" fillId="73" borderId="46" xfId="43" applyFont="1" applyFill="1" applyBorder="1" applyAlignment="1">
      <alignment horizontal="center" vertical="center" wrapText="1"/>
    </xf>
    <xf numFmtId="9" fontId="70" fillId="72" borderId="0" xfId="1391" applyFont="1" applyFill="1"/>
    <xf numFmtId="169" fontId="67" fillId="0" borderId="26" xfId="899" applyNumberFormat="1" applyFont="1" applyBorder="1" applyAlignment="1">
      <alignment horizontal="center" vertical="center"/>
    </xf>
    <xf numFmtId="10" fontId="67" fillId="72" borderId="0" xfId="1430" applyNumberFormat="1" applyFont="1" applyFill="1" applyAlignment="1">
      <alignment horizontal="center"/>
    </xf>
    <xf numFmtId="170" fontId="67" fillId="72" borderId="0" xfId="1430" applyNumberFormat="1" applyFont="1" applyFill="1" applyAlignment="1">
      <alignment horizontal="center"/>
    </xf>
    <xf numFmtId="0" fontId="77" fillId="37" borderId="0" xfId="906" applyFont="1" applyFill="1"/>
    <xf numFmtId="0" fontId="78" fillId="37" borderId="0" xfId="906" applyFont="1" applyFill="1"/>
    <xf numFmtId="0" fontId="77" fillId="72" borderId="0" xfId="906" applyFont="1" applyFill="1"/>
    <xf numFmtId="0" fontId="78" fillId="72" borderId="0" xfId="906" applyFont="1" applyFill="1"/>
    <xf numFmtId="0" fontId="68" fillId="73" borderId="0" xfId="8" applyFont="1" applyFill="1" applyBorder="1" applyAlignment="1">
      <alignment horizontal="center" wrapText="1"/>
    </xf>
    <xf numFmtId="0" fontId="68" fillId="73" borderId="0" xfId="8" applyFont="1" applyFill="1" applyBorder="1" applyAlignment="1">
      <alignment vertical="center" wrapText="1"/>
    </xf>
    <xf numFmtId="0" fontId="70" fillId="40" borderId="0" xfId="8" applyFont="1" applyFill="1" applyBorder="1" applyAlignment="1">
      <alignment horizontal="center" vertical="center"/>
    </xf>
    <xf numFmtId="0" fontId="67" fillId="72" borderId="0" xfId="906" applyFont="1" applyFill="1"/>
    <xf numFmtId="0" fontId="80" fillId="72" borderId="0" xfId="906" applyFont="1" applyFill="1"/>
    <xf numFmtId="0" fontId="81" fillId="78" borderId="78" xfId="0" applyFont="1" applyFill="1" applyBorder="1" applyAlignment="1">
      <alignment horizontal="left" vertical="center" shrinkToFit="1"/>
    </xf>
    <xf numFmtId="0" fontId="68" fillId="73" borderId="0" xfId="8" applyFont="1" applyFill="1" applyBorder="1" applyAlignment="1">
      <alignment horizontal="center" vertical="center" wrapText="1"/>
    </xf>
    <xf numFmtId="0" fontId="71" fillId="72" borderId="0" xfId="906" applyFont="1" applyFill="1"/>
    <xf numFmtId="166" fontId="70" fillId="0" borderId="26" xfId="43" quotePrefix="1" applyNumberFormat="1" applyFont="1" applyFill="1" applyBorder="1" applyAlignment="1">
      <alignment horizontal="center" vertical="center"/>
    </xf>
    <xf numFmtId="0" fontId="68" fillId="69" borderId="36" xfId="43" applyFont="1" applyFill="1" applyBorder="1"/>
    <xf numFmtId="0" fontId="68" fillId="69" borderId="41" xfId="43" applyFont="1" applyFill="1" applyBorder="1"/>
    <xf numFmtId="173" fontId="73" fillId="40" borderId="52" xfId="1488" applyNumberFormat="1" applyFont="1" applyFill="1" applyBorder="1" applyAlignment="1">
      <alignment horizontal="right" vertical="center"/>
    </xf>
    <xf numFmtId="173" fontId="73" fillId="40" borderId="38" xfId="1488" applyNumberFormat="1" applyFont="1" applyFill="1" applyBorder="1" applyAlignment="1">
      <alignment horizontal="right" vertical="center"/>
    </xf>
    <xf numFmtId="0" fontId="67" fillId="0" borderId="26" xfId="0" applyFont="1" applyFill="1" applyBorder="1" applyAlignment="1">
      <alignment horizontal="left" vertical="center"/>
    </xf>
    <xf numFmtId="43" fontId="67" fillId="40" borderId="66" xfId="1490" applyFont="1" applyFill="1" applyBorder="1" applyAlignment="1">
      <alignment horizontal="right" vertical="center"/>
    </xf>
    <xf numFmtId="2" fontId="67" fillId="40" borderId="70" xfId="0" applyNumberFormat="1" applyFont="1" applyFill="1" applyBorder="1" applyAlignment="1">
      <alignment vertical="center"/>
    </xf>
    <xf numFmtId="2" fontId="67" fillId="40" borderId="71" xfId="0" applyNumberFormat="1" applyFont="1" applyFill="1" applyBorder="1" applyAlignment="1">
      <alignment vertical="center"/>
    </xf>
    <xf numFmtId="2" fontId="67" fillId="40" borderId="72" xfId="0" applyNumberFormat="1" applyFont="1" applyFill="1" applyBorder="1" applyAlignment="1">
      <alignment vertical="center"/>
    </xf>
    <xf numFmtId="43" fontId="67" fillId="40" borderId="68" xfId="1490" applyFont="1" applyFill="1" applyBorder="1" applyAlignment="1">
      <alignment horizontal="right" vertical="center"/>
    </xf>
    <xf numFmtId="2" fontId="67" fillId="76" borderId="0" xfId="0" applyNumberFormat="1" applyFont="1" applyFill="1" applyBorder="1" applyAlignment="1">
      <alignment horizontal="left" vertical="top" wrapText="1"/>
    </xf>
    <xf numFmtId="0" fontId="67" fillId="37" borderId="0" xfId="0" applyFont="1" applyFill="1" applyAlignment="1">
      <alignment horizontal="right" vertical="center"/>
    </xf>
    <xf numFmtId="0" fontId="67" fillId="76" borderId="0" xfId="0" applyFont="1" applyFill="1" applyAlignment="1">
      <alignment horizontal="right" vertical="center"/>
    </xf>
    <xf numFmtId="0" fontId="67" fillId="76" borderId="0" xfId="0" applyFont="1" applyFill="1" applyBorder="1" applyAlignment="1">
      <alignment horizontal="right" vertical="center"/>
    </xf>
    <xf numFmtId="2" fontId="67" fillId="40" borderId="51" xfId="0" applyNumberFormat="1" applyFont="1" applyFill="1" applyBorder="1" applyAlignment="1">
      <alignment horizontal="right" vertical="center"/>
    </xf>
    <xf numFmtId="1" fontId="67" fillId="40" borderId="51" xfId="0" applyNumberFormat="1" applyFont="1" applyFill="1" applyBorder="1" applyAlignment="1">
      <alignment horizontal="right" vertical="center"/>
    </xf>
    <xf numFmtId="168" fontId="67" fillId="40" borderId="51" xfId="0" applyNumberFormat="1" applyFont="1" applyFill="1" applyBorder="1" applyAlignment="1">
      <alignment horizontal="right" vertical="center"/>
    </xf>
    <xf numFmtId="2" fontId="67" fillId="0" borderId="51" xfId="0" applyNumberFormat="1" applyFont="1" applyFill="1" applyBorder="1" applyAlignment="1">
      <alignment horizontal="right" vertical="center"/>
    </xf>
    <xf numFmtId="173" fontId="67" fillId="0" borderId="51" xfId="1488" applyNumberFormat="1" applyFont="1" applyFill="1" applyBorder="1" applyAlignment="1">
      <alignment horizontal="right" vertical="center"/>
    </xf>
    <xf numFmtId="0" fontId="65" fillId="34" borderId="79" xfId="0" applyFont="1" applyFill="1" applyBorder="1" applyAlignment="1">
      <alignment horizontal="right" vertical="center"/>
    </xf>
    <xf numFmtId="0" fontId="70" fillId="40" borderId="27" xfId="0" applyFont="1" applyFill="1" applyBorder="1" applyAlignment="1">
      <alignment horizontal="right" vertical="center"/>
    </xf>
    <xf numFmtId="0" fontId="67" fillId="40" borderId="27" xfId="0" applyFont="1" applyFill="1" applyBorder="1" applyAlignment="1">
      <alignment horizontal="right" vertical="center"/>
    </xf>
    <xf numFmtId="169" fontId="67" fillId="40" borderId="27" xfId="1490" applyNumberFormat="1" applyFont="1" applyFill="1" applyBorder="1" applyAlignment="1">
      <alignment horizontal="right" vertical="center"/>
    </xf>
    <xf numFmtId="168" fontId="67" fillId="40" borderId="27" xfId="0" applyNumberFormat="1" applyFont="1" applyFill="1" applyBorder="1" applyAlignment="1">
      <alignment horizontal="right" vertical="center"/>
    </xf>
    <xf numFmtId="0" fontId="65" fillId="34" borderId="80" xfId="0" applyFont="1" applyFill="1" applyBorder="1" applyAlignment="1">
      <alignment horizontal="left" vertical="center"/>
    </xf>
    <xf numFmtId="0" fontId="68" fillId="73" borderId="32" xfId="43" applyFont="1" applyFill="1" applyBorder="1" applyAlignment="1">
      <alignment horizontal="center" vertical="center" wrapText="1"/>
    </xf>
    <xf numFmtId="0" fontId="67" fillId="40" borderId="80" xfId="0" applyFont="1" applyFill="1" applyBorder="1" applyAlignment="1">
      <alignment horizontal="left" vertical="center"/>
    </xf>
    <xf numFmtId="0" fontId="67" fillId="40" borderId="72" xfId="0" applyFont="1" applyFill="1" applyBorder="1" applyAlignment="1">
      <alignment horizontal="left" vertical="center"/>
    </xf>
    <xf numFmtId="168" fontId="67" fillId="40" borderId="47" xfId="0" applyNumberFormat="1" applyFont="1" applyFill="1" applyBorder="1" applyAlignment="1">
      <alignment horizontal="left" vertical="center"/>
    </xf>
    <xf numFmtId="2" fontId="67" fillId="40" borderId="51" xfId="0" applyNumberFormat="1" applyFont="1" applyFill="1" applyBorder="1" applyAlignment="1">
      <alignment vertical="top" wrapText="1"/>
    </xf>
    <xf numFmtId="2" fontId="67" fillId="40" borderId="72" xfId="0" applyNumberFormat="1" applyFont="1" applyFill="1" applyBorder="1" applyAlignment="1">
      <alignment vertical="top" wrapText="1"/>
    </xf>
    <xf numFmtId="0" fontId="67" fillId="73" borderId="0" xfId="0" applyFont="1" applyFill="1"/>
    <xf numFmtId="0" fontId="67" fillId="69" borderId="0" xfId="0" applyFont="1" applyFill="1"/>
    <xf numFmtId="0" fontId="67" fillId="40" borderId="82" xfId="0" applyFont="1" applyFill="1" applyBorder="1" applyAlignment="1">
      <alignment horizontal="left" vertical="center"/>
    </xf>
    <xf numFmtId="0" fontId="67" fillId="40" borderId="35" xfId="0" applyFont="1" applyFill="1" applyBorder="1" applyAlignment="1">
      <alignment horizontal="left" vertical="center"/>
    </xf>
    <xf numFmtId="168" fontId="67" fillId="40" borderId="55" xfId="0" applyNumberFormat="1" applyFont="1" applyFill="1" applyBorder="1" applyAlignment="1">
      <alignment horizontal="right" vertical="center"/>
    </xf>
    <xf numFmtId="0" fontId="67" fillId="40" borderId="69" xfId="0" applyFont="1" applyFill="1" applyBorder="1" applyAlignment="1">
      <alignment horizontal="left" vertical="center"/>
    </xf>
    <xf numFmtId="0" fontId="67" fillId="40" borderId="51" xfId="0" applyFont="1" applyFill="1" applyBorder="1" applyAlignment="1">
      <alignment horizontal="right" vertical="center"/>
    </xf>
    <xf numFmtId="0" fontId="67" fillId="40" borderId="71" xfId="0" applyFont="1" applyFill="1" applyBorder="1" applyAlignment="1">
      <alignment horizontal="left" vertical="center"/>
    </xf>
    <xf numFmtId="168" fontId="67" fillId="40" borderId="72" xfId="0" applyNumberFormat="1" applyFont="1" applyFill="1" applyBorder="1" applyAlignment="1">
      <alignment horizontal="right" vertical="center"/>
    </xf>
    <xf numFmtId="173" fontId="67" fillId="0" borderId="56" xfId="1488" applyNumberFormat="1" applyFont="1" applyFill="1" applyBorder="1" applyAlignment="1">
      <alignment horizontal="right" vertical="center"/>
    </xf>
    <xf numFmtId="0" fontId="67" fillId="40" borderId="83" xfId="0" applyFont="1" applyFill="1" applyBorder="1" applyAlignment="1">
      <alignment horizontal="left" vertical="center"/>
    </xf>
    <xf numFmtId="0" fontId="67" fillId="40" borderId="28" xfId="0" applyFont="1" applyFill="1" applyBorder="1" applyAlignment="1">
      <alignment horizontal="left" vertical="center"/>
    </xf>
    <xf numFmtId="0" fontId="67" fillId="0" borderId="28" xfId="0" applyFont="1" applyFill="1" applyBorder="1" applyAlignment="1">
      <alignment horizontal="left" vertical="center"/>
    </xf>
    <xf numFmtId="168" fontId="67" fillId="40" borderId="47" xfId="0" applyNumberFormat="1" applyFont="1" applyFill="1" applyBorder="1" applyAlignment="1">
      <alignment horizontal="right" vertical="center"/>
    </xf>
    <xf numFmtId="1" fontId="67" fillId="40" borderId="47" xfId="0" applyNumberFormat="1" applyFont="1" applyFill="1" applyBorder="1" applyAlignment="1">
      <alignment horizontal="right" vertical="center"/>
    </xf>
    <xf numFmtId="2" fontId="67" fillId="40" borderId="55" xfId="0" applyNumberFormat="1" applyFont="1" applyFill="1" applyBorder="1" applyAlignment="1">
      <alignment horizontal="left" vertical="center"/>
    </xf>
    <xf numFmtId="0" fontId="67" fillId="40" borderId="39" xfId="0" applyFont="1" applyFill="1" applyBorder="1" applyAlignment="1">
      <alignment horizontal="left" vertical="center"/>
    </xf>
    <xf numFmtId="168" fontId="70" fillId="0" borderId="51" xfId="0" applyNumberFormat="1" applyFont="1" applyFill="1" applyBorder="1" applyAlignment="1">
      <alignment horizontal="right" vertical="center"/>
    </xf>
    <xf numFmtId="2" fontId="67" fillId="40" borderId="85" xfId="0" applyNumberFormat="1" applyFont="1" applyFill="1" applyBorder="1" applyAlignment="1">
      <alignment horizontal="right" vertical="center"/>
    </xf>
    <xf numFmtId="2" fontId="67" fillId="40" borderId="50" xfId="0" applyNumberFormat="1" applyFont="1" applyFill="1" applyBorder="1" applyAlignment="1">
      <alignment horizontal="right" vertical="center"/>
    </xf>
    <xf numFmtId="2" fontId="67" fillId="40" borderId="26" xfId="0" applyNumberFormat="1" applyFont="1" applyFill="1" applyBorder="1" applyAlignment="1">
      <alignment horizontal="right" vertical="center"/>
    </xf>
    <xf numFmtId="0" fontId="67" fillId="40" borderId="31" xfId="0" applyFont="1" applyFill="1" applyBorder="1" applyAlignment="1">
      <alignment vertical="center"/>
    </xf>
    <xf numFmtId="0" fontId="70" fillId="40" borderId="28" xfId="43" applyFont="1" applyFill="1" applyBorder="1" applyAlignment="1">
      <alignment horizontal="center" vertical="center"/>
    </xf>
    <xf numFmtId="0" fontId="70" fillId="40" borderId="32" xfId="43" applyFont="1" applyFill="1" applyBorder="1" applyAlignment="1">
      <alignment horizontal="center" vertical="center"/>
    </xf>
    <xf numFmtId="0" fontId="70" fillId="40" borderId="35" xfId="43" applyFont="1" applyFill="1" applyBorder="1" applyAlignment="1">
      <alignment horizontal="center" vertical="center"/>
    </xf>
    <xf numFmtId="0" fontId="67" fillId="40" borderId="26" xfId="906" applyFont="1" applyFill="1" applyBorder="1" applyAlignment="1">
      <alignment horizontal="center" vertical="center"/>
    </xf>
    <xf numFmtId="0" fontId="67" fillId="40" borderId="27" xfId="906" applyFont="1" applyFill="1" applyBorder="1" applyAlignment="1">
      <alignment horizontal="center" vertical="center"/>
    </xf>
    <xf numFmtId="10" fontId="67" fillId="36" borderId="0" xfId="0" applyNumberFormat="1" applyFont="1" applyFill="1"/>
    <xf numFmtId="170" fontId="70" fillId="40" borderId="26" xfId="1436" applyNumberFormat="1" applyFont="1" applyFill="1" applyBorder="1" applyAlignment="1">
      <alignment horizontal="center" vertical="center"/>
    </xf>
    <xf numFmtId="170" fontId="70" fillId="40" borderId="29" xfId="1436" applyNumberFormat="1" applyFont="1" applyFill="1" applyBorder="1" applyAlignment="1">
      <alignment horizontal="center" vertical="center"/>
    </xf>
    <xf numFmtId="9" fontId="70" fillId="40" borderId="35" xfId="1436" applyNumberFormat="1" applyFont="1" applyFill="1" applyBorder="1" applyAlignment="1">
      <alignment horizontal="center" vertical="center"/>
    </xf>
    <xf numFmtId="9" fontId="70" fillId="40" borderId="32" xfId="1436" applyNumberFormat="1" applyFont="1" applyFill="1" applyBorder="1" applyAlignment="1">
      <alignment horizontal="center" vertical="center"/>
    </xf>
    <xf numFmtId="9" fontId="70" fillId="40" borderId="28" xfId="43" applyNumberFormat="1" applyFont="1" applyFill="1" applyBorder="1" applyAlignment="1">
      <alignment horizontal="center"/>
    </xf>
    <xf numFmtId="9" fontId="70" fillId="40" borderId="32" xfId="43" applyNumberFormat="1" applyFont="1" applyFill="1" applyBorder="1" applyAlignment="1">
      <alignment horizontal="center"/>
    </xf>
    <xf numFmtId="9" fontId="70" fillId="40" borderId="35" xfId="43" applyNumberFormat="1" applyFont="1" applyFill="1" applyBorder="1" applyAlignment="1">
      <alignment horizontal="center"/>
    </xf>
    <xf numFmtId="10" fontId="67" fillId="37" borderId="0" xfId="0" applyNumberFormat="1" applyFont="1" applyFill="1" applyBorder="1"/>
    <xf numFmtId="10" fontId="67" fillId="36" borderId="0" xfId="0" applyNumberFormat="1" applyFont="1" applyFill="1" applyBorder="1"/>
    <xf numFmtId="10" fontId="68" fillId="69" borderId="0" xfId="0" applyNumberFormat="1" applyFont="1" applyFill="1" applyBorder="1"/>
    <xf numFmtId="10" fontId="65" fillId="40" borderId="11" xfId="906" applyNumberFormat="1" applyFont="1" applyFill="1" applyBorder="1" applyAlignment="1">
      <alignment horizontal="center" vertical="center" wrapText="1"/>
    </xf>
    <xf numFmtId="10" fontId="65" fillId="40" borderId="27" xfId="906" applyNumberFormat="1" applyFont="1" applyFill="1" applyBorder="1" applyAlignment="1">
      <alignment horizontal="center" vertical="center" wrapText="1"/>
    </xf>
    <xf numFmtId="10" fontId="70" fillId="40" borderId="27" xfId="1436" applyNumberFormat="1" applyFont="1" applyFill="1" applyBorder="1" applyAlignment="1">
      <alignment horizontal="center" vertical="center"/>
    </xf>
    <xf numFmtId="9" fontId="67" fillId="37" borderId="0" xfId="0" applyNumberFormat="1" applyFont="1" applyFill="1" applyBorder="1"/>
    <xf numFmtId="9" fontId="67" fillId="36" borderId="0" xfId="0" applyNumberFormat="1" applyFont="1" applyFill="1" applyBorder="1"/>
    <xf numFmtId="9" fontId="68" fillId="69" borderId="0" xfId="0" applyNumberFormat="1" applyFont="1" applyFill="1" applyBorder="1"/>
    <xf numFmtId="9" fontId="68" fillId="73" borderId="0" xfId="43" applyNumberFormat="1" applyFont="1" applyFill="1" applyBorder="1" applyAlignment="1">
      <alignment horizontal="center" vertical="center" wrapText="1"/>
    </xf>
    <xf numFmtId="9" fontId="67" fillId="40" borderId="30" xfId="1491" applyNumberFormat="1" applyFont="1" applyFill="1" applyBorder="1" applyAlignment="1">
      <alignment horizontal="center"/>
    </xf>
    <xf numFmtId="9" fontId="67" fillId="40" borderId="45" xfId="1491" applyNumberFormat="1" applyFont="1" applyFill="1" applyBorder="1" applyAlignment="1">
      <alignment horizontal="center"/>
    </xf>
    <xf numFmtId="9" fontId="67" fillId="40" borderId="27" xfId="1491" applyNumberFormat="1" applyFont="1" applyFill="1" applyBorder="1" applyAlignment="1">
      <alignment horizontal="center"/>
    </xf>
    <xf numFmtId="9" fontId="67" fillId="36" borderId="0" xfId="0" applyNumberFormat="1" applyFont="1" applyFill="1"/>
    <xf numFmtId="9" fontId="67" fillId="40" borderId="33" xfId="1491" applyNumberFormat="1" applyFont="1" applyFill="1" applyBorder="1" applyAlignment="1">
      <alignment horizontal="center"/>
    </xf>
    <xf numFmtId="3" fontId="70" fillId="40" borderId="26" xfId="43" applyNumberFormat="1" applyFont="1" applyFill="1" applyBorder="1" applyAlignment="1">
      <alignment horizontal="center" vertical="center"/>
    </xf>
    <xf numFmtId="0" fontId="70" fillId="70" borderId="0" xfId="43" applyFont="1" applyFill="1" applyAlignment="1">
      <alignment horizontal="center"/>
    </xf>
    <xf numFmtId="0" fontId="70" fillId="70" borderId="0" xfId="43" applyFont="1" applyFill="1" applyAlignment="1">
      <alignment horizontal="left"/>
    </xf>
    <xf numFmtId="0" fontId="82" fillId="70" borderId="0" xfId="43" applyFont="1" applyFill="1"/>
    <xf numFmtId="0" fontId="68" fillId="37" borderId="0" xfId="43" applyFont="1" applyFill="1" applyAlignment="1">
      <alignment horizontal="center"/>
    </xf>
    <xf numFmtId="0" fontId="68" fillId="70" borderId="0" xfId="43" applyFont="1" applyFill="1" applyAlignment="1">
      <alignment horizontal="center"/>
    </xf>
    <xf numFmtId="0" fontId="82" fillId="70" borderId="0" xfId="43" applyFont="1" applyFill="1" applyAlignment="1">
      <alignment horizontal="center"/>
    </xf>
    <xf numFmtId="43" fontId="67" fillId="76" borderId="0" xfId="0" applyNumberFormat="1" applyFont="1" applyFill="1" applyAlignment="1">
      <alignment vertical="center"/>
    </xf>
    <xf numFmtId="1" fontId="85" fillId="76" borderId="0" xfId="0" applyNumberFormat="1" applyFont="1" applyFill="1" applyAlignment="1">
      <alignment vertical="center"/>
    </xf>
    <xf numFmtId="0" fontId="67" fillId="76" borderId="0" xfId="0" quotePrefix="1" applyFont="1" applyFill="1" applyAlignment="1">
      <alignment vertical="center" wrapText="1"/>
    </xf>
    <xf numFmtId="2" fontId="67" fillId="76" borderId="0" xfId="0" quotePrefix="1" applyNumberFormat="1" applyFont="1" applyFill="1" applyBorder="1" applyAlignment="1">
      <alignment horizontal="left" vertical="center" wrapText="1"/>
    </xf>
    <xf numFmtId="0" fontId="67" fillId="40" borderId="58" xfId="0" applyFont="1" applyFill="1" applyBorder="1" applyAlignment="1">
      <alignment horizontal="right" vertical="center"/>
    </xf>
    <xf numFmtId="44" fontId="84" fillId="76" borderId="0" xfId="0" applyNumberFormat="1" applyFont="1" applyFill="1" applyAlignment="1">
      <alignment vertical="center"/>
    </xf>
    <xf numFmtId="2" fontId="67" fillId="40" borderId="80" xfId="0" applyNumberFormat="1" applyFont="1" applyFill="1" applyBorder="1" applyAlignment="1">
      <alignment horizontal="right" vertical="center"/>
    </xf>
    <xf numFmtId="2" fontId="67" fillId="40" borderId="69" xfId="0" applyNumberFormat="1" applyFont="1" applyFill="1" applyBorder="1" applyAlignment="1">
      <alignment horizontal="right" vertical="center"/>
    </xf>
    <xf numFmtId="173" fontId="67" fillId="40" borderId="47" xfId="1488" applyNumberFormat="1" applyFont="1" applyFill="1" applyBorder="1" applyAlignment="1">
      <alignment horizontal="right" vertical="center"/>
    </xf>
    <xf numFmtId="0" fontId="68" fillId="73" borderId="0" xfId="43" applyFont="1" applyFill="1" applyBorder="1" applyAlignment="1">
      <alignment horizontal="center" vertical="center" wrapText="1"/>
    </xf>
    <xf numFmtId="173" fontId="70" fillId="40" borderId="56" xfId="1488" applyNumberFormat="1" applyFont="1" applyFill="1" applyBorder="1" applyAlignment="1">
      <alignment horizontal="right" vertical="center"/>
    </xf>
    <xf numFmtId="0" fontId="73" fillId="0" borderId="28" xfId="43" applyFont="1" applyFill="1" applyBorder="1" applyAlignment="1">
      <alignment horizontal="center" vertical="center" wrapText="1"/>
    </xf>
    <xf numFmtId="9" fontId="70" fillId="40" borderId="0" xfId="1436" applyNumberFormat="1" applyFont="1" applyFill="1" applyBorder="1" applyAlignment="1">
      <alignment horizontal="center" vertical="center"/>
    </xf>
    <xf numFmtId="9" fontId="70" fillId="40" borderId="28" xfId="1436" applyNumberFormat="1" applyFont="1" applyFill="1" applyBorder="1" applyAlignment="1">
      <alignment horizontal="center" vertical="center"/>
    </xf>
    <xf numFmtId="9" fontId="70" fillId="40" borderId="45" xfId="1436" applyNumberFormat="1" applyFont="1" applyFill="1" applyBorder="1" applyAlignment="1">
      <alignment horizontal="center" vertical="center"/>
    </xf>
    <xf numFmtId="9" fontId="70" fillId="40" borderId="44" xfId="1436" applyNumberFormat="1" applyFont="1" applyFill="1" applyBorder="1" applyAlignment="1">
      <alignment horizontal="center" vertical="center"/>
    </xf>
    <xf numFmtId="9" fontId="70" fillId="40" borderId="26" xfId="1436" applyNumberFormat="1" applyFont="1" applyFill="1" applyBorder="1" applyAlignment="1">
      <alignment horizontal="center" vertical="center"/>
    </xf>
    <xf numFmtId="9" fontId="70" fillId="40" borderId="27" xfId="1436" applyNumberFormat="1" applyFont="1" applyFill="1" applyBorder="1" applyAlignment="1">
      <alignment horizontal="center" vertical="center"/>
    </xf>
    <xf numFmtId="9" fontId="70" fillId="40" borderId="29" xfId="1436" applyNumberFormat="1" applyFont="1" applyFill="1" applyBorder="1" applyAlignment="1">
      <alignment horizontal="center" vertical="center"/>
    </xf>
    <xf numFmtId="9" fontId="70" fillId="40" borderId="11" xfId="1436" applyNumberFormat="1" applyFont="1" applyFill="1" applyBorder="1" applyAlignment="1">
      <alignment horizontal="center" vertical="center"/>
    </xf>
    <xf numFmtId="1" fontId="70" fillId="40" borderId="75" xfId="0" applyNumberFormat="1" applyFont="1" applyFill="1" applyBorder="1" applyAlignment="1">
      <alignment horizontal="right" vertical="center"/>
    </xf>
    <xf numFmtId="169" fontId="67" fillId="40" borderId="50" xfId="1490" applyNumberFormat="1" applyFont="1" applyFill="1" applyBorder="1" applyAlignment="1">
      <alignment horizontal="right" vertical="center"/>
    </xf>
    <xf numFmtId="169" fontId="67" fillId="40" borderId="26" xfId="1490" applyNumberFormat="1" applyFont="1" applyFill="1" applyBorder="1" applyAlignment="1">
      <alignment horizontal="right" vertical="center"/>
    </xf>
    <xf numFmtId="169" fontId="67" fillId="40" borderId="51" xfId="1490" applyNumberFormat="1" applyFont="1" applyFill="1" applyBorder="1" applyAlignment="1">
      <alignment horizontal="right" vertical="center"/>
    </xf>
    <xf numFmtId="168" fontId="67" fillId="40" borderId="50" xfId="0" applyNumberFormat="1" applyFont="1" applyFill="1" applyBorder="1" applyAlignment="1">
      <alignment horizontal="right" vertical="center"/>
    </xf>
    <xf numFmtId="168" fontId="67" fillId="40" borderId="26" xfId="0" applyNumberFormat="1" applyFont="1" applyFill="1" applyBorder="1" applyAlignment="1">
      <alignment horizontal="right" vertical="center"/>
    </xf>
    <xf numFmtId="168" fontId="67" fillId="76" borderId="0" xfId="0" applyNumberFormat="1" applyFont="1" applyFill="1" applyBorder="1" applyAlignment="1">
      <alignment horizontal="left" vertical="top"/>
    </xf>
    <xf numFmtId="0" fontId="67" fillId="72" borderId="0" xfId="911" applyFont="1" applyFill="1"/>
    <xf numFmtId="0" fontId="83" fillId="37" borderId="0" xfId="43" applyFont="1" applyFill="1"/>
    <xf numFmtId="0" fontId="67" fillId="72" borderId="0" xfId="938" applyFont="1" applyFill="1"/>
    <xf numFmtId="0" fontId="67" fillId="72" borderId="0" xfId="897" applyFont="1" applyFill="1"/>
    <xf numFmtId="0" fontId="73" fillId="75" borderId="0" xfId="43" applyFont="1" applyFill="1" applyBorder="1"/>
    <xf numFmtId="0" fontId="68" fillId="74" borderId="28" xfId="43" applyFont="1" applyFill="1" applyBorder="1" applyAlignment="1">
      <alignment horizontal="center" vertical="top" wrapText="1"/>
    </xf>
    <xf numFmtId="0" fontId="70" fillId="40" borderId="44" xfId="43" applyFont="1" applyFill="1" applyBorder="1"/>
    <xf numFmtId="2" fontId="70" fillId="40" borderId="0" xfId="43" applyNumberFormat="1" applyFont="1" applyFill="1" applyBorder="1" applyAlignment="1">
      <alignment horizontal="center"/>
    </xf>
    <xf numFmtId="2" fontId="70" fillId="40" borderId="44" xfId="43" applyNumberFormat="1" applyFont="1" applyFill="1" applyBorder="1" applyAlignment="1">
      <alignment horizontal="center"/>
    </xf>
    <xf numFmtId="0" fontId="70" fillId="40" borderId="34" xfId="43" applyFont="1" applyFill="1" applyBorder="1"/>
    <xf numFmtId="2" fontId="70" fillId="40" borderId="10" xfId="43" applyNumberFormat="1" applyFont="1" applyFill="1" applyBorder="1" applyAlignment="1">
      <alignment horizontal="center"/>
    </xf>
    <xf numFmtId="2" fontId="70" fillId="40" borderId="34" xfId="43" applyNumberFormat="1" applyFont="1" applyFill="1" applyBorder="1" applyAlignment="1">
      <alignment horizontal="center"/>
    </xf>
    <xf numFmtId="0" fontId="78" fillId="37" borderId="0" xfId="911" applyFont="1" applyFill="1"/>
    <xf numFmtId="0" fontId="77" fillId="37" borderId="0" xfId="911" applyFont="1" applyFill="1"/>
    <xf numFmtId="0" fontId="67" fillId="40" borderId="0" xfId="911" applyFont="1" applyFill="1" applyBorder="1" applyAlignment="1">
      <alignment horizontal="left" vertical="center" wrapText="1"/>
    </xf>
    <xf numFmtId="0" fontId="67" fillId="40" borderId="0" xfId="43" applyFont="1" applyFill="1" applyBorder="1" applyAlignment="1">
      <alignment horizontal="left" vertical="center"/>
    </xf>
    <xf numFmtId="0" fontId="67" fillId="40" borderId="0" xfId="43" applyFont="1" applyFill="1" applyBorder="1" applyAlignment="1">
      <alignment horizontal="left"/>
    </xf>
    <xf numFmtId="0" fontId="65" fillId="40" borderId="0" xfId="43" applyFont="1" applyFill="1" applyBorder="1" applyAlignment="1">
      <alignment horizontal="left"/>
    </xf>
    <xf numFmtId="0" fontId="67" fillId="40" borderId="0" xfId="911" applyFont="1" applyFill="1"/>
    <xf numFmtId="168" fontId="70" fillId="40" borderId="0" xfId="43" quotePrefix="1" applyNumberFormat="1" applyFont="1" applyFill="1" applyBorder="1" applyAlignment="1">
      <alignment horizontal="left" vertical="center"/>
    </xf>
    <xf numFmtId="168" fontId="70" fillId="40" borderId="0" xfId="43" applyNumberFormat="1" applyFont="1" applyFill="1" applyBorder="1" applyAlignment="1">
      <alignment horizontal="left"/>
    </xf>
    <xf numFmtId="0" fontId="67" fillId="40" borderId="0" xfId="911" applyFont="1" applyFill="1" applyBorder="1" applyAlignment="1">
      <alignment horizontal="left"/>
    </xf>
    <xf numFmtId="0" fontId="67" fillId="40" borderId="0" xfId="911" quotePrefix="1" applyFont="1" applyFill="1" applyBorder="1" applyAlignment="1">
      <alignment horizontal="left"/>
    </xf>
    <xf numFmtId="0" fontId="70" fillId="40" borderId="0" xfId="43" quotePrefix="1" applyFont="1" applyFill="1" applyBorder="1" applyAlignment="1">
      <alignment horizontal="left" vertical="center"/>
    </xf>
    <xf numFmtId="0" fontId="70" fillId="40" borderId="26" xfId="43" applyFont="1" applyFill="1" applyBorder="1" applyAlignment="1">
      <alignment horizontal="left"/>
    </xf>
    <xf numFmtId="175" fontId="70" fillId="40" borderId="26" xfId="43" applyNumberFormat="1" applyFont="1" applyFill="1" applyBorder="1" applyAlignment="1">
      <alignment horizontal="center"/>
    </xf>
    <xf numFmtId="172" fontId="70" fillId="40" borderId="26" xfId="43" applyNumberFormat="1" applyFont="1" applyFill="1" applyBorder="1" applyAlignment="1">
      <alignment horizontal="center"/>
    </xf>
    <xf numFmtId="0" fontId="77" fillId="37" borderId="0" xfId="903" applyFont="1" applyFill="1"/>
    <xf numFmtId="0" fontId="78" fillId="37" borderId="0" xfId="909" applyFont="1" applyFill="1"/>
    <xf numFmtId="0" fontId="77" fillId="37" borderId="0" xfId="909" applyFont="1" applyFill="1"/>
    <xf numFmtId="0" fontId="67" fillId="72" borderId="0" xfId="909" applyFont="1" applyFill="1"/>
    <xf numFmtId="0" fontId="67" fillId="40" borderId="0" xfId="909" applyFont="1" applyFill="1"/>
    <xf numFmtId="0" fontId="65" fillId="40" borderId="0" xfId="909" applyFont="1" applyFill="1"/>
    <xf numFmtId="0" fontId="73" fillId="40" borderId="28" xfId="43" applyFont="1" applyFill="1" applyBorder="1" applyAlignment="1">
      <alignment horizontal="center" vertical="center"/>
    </xf>
    <xf numFmtId="0" fontId="73" fillId="40" borderId="30" xfId="43" applyFont="1" applyFill="1" applyBorder="1" applyAlignment="1">
      <alignment horizontal="center" vertical="center"/>
    </xf>
    <xf numFmtId="0" fontId="73" fillId="40" borderId="46" xfId="43" applyFont="1" applyFill="1" applyBorder="1" applyAlignment="1">
      <alignment horizontal="center" vertical="center"/>
    </xf>
    <xf numFmtId="0" fontId="73" fillId="40" borderId="31" xfId="43" applyFont="1" applyFill="1" applyBorder="1" applyAlignment="1">
      <alignment horizontal="center" vertical="center"/>
    </xf>
    <xf numFmtId="0" fontId="73" fillId="40" borderId="27" xfId="43" applyFont="1" applyFill="1" applyBorder="1" applyAlignment="1">
      <alignment horizontal="center" vertical="center"/>
    </xf>
    <xf numFmtId="0" fontId="73" fillId="40" borderId="11" xfId="43" applyFont="1" applyFill="1" applyBorder="1" applyAlignment="1">
      <alignment horizontal="center" vertical="center"/>
    </xf>
    <xf numFmtId="0" fontId="73" fillId="40" borderId="29" xfId="43" applyFont="1" applyFill="1" applyBorder="1" applyAlignment="1">
      <alignment horizontal="center" vertical="center"/>
    </xf>
    <xf numFmtId="0" fontId="67" fillId="40" borderId="0" xfId="909" applyFont="1" applyFill="1" applyAlignment="1">
      <alignment horizontal="center" vertical="center"/>
    </xf>
    <xf numFmtId="0" fontId="67" fillId="40" borderId="0" xfId="909" quotePrefix="1" applyFont="1" applyFill="1" applyAlignment="1">
      <alignment horizontal="center" vertical="center"/>
    </xf>
    <xf numFmtId="0" fontId="67" fillId="40" borderId="0" xfId="909" applyFont="1" applyFill="1" applyAlignment="1">
      <alignment horizontal="left" vertical="center"/>
    </xf>
    <xf numFmtId="170" fontId="67" fillId="40" borderId="46" xfId="1391" applyNumberFormat="1" applyFont="1" applyFill="1" applyBorder="1" applyAlignment="1">
      <alignment horizontal="center" vertical="center"/>
    </xf>
    <xf numFmtId="170" fontId="67" fillId="40" borderId="31" xfId="1391" applyNumberFormat="1" applyFont="1" applyFill="1" applyBorder="1" applyAlignment="1">
      <alignment horizontal="center" vertical="center"/>
    </xf>
    <xf numFmtId="9" fontId="67" fillId="40" borderId="46" xfId="1391" applyFont="1" applyFill="1" applyBorder="1" applyAlignment="1">
      <alignment horizontal="center" vertical="center"/>
    </xf>
    <xf numFmtId="9" fontId="67" fillId="40" borderId="31" xfId="1391" applyFont="1" applyFill="1" applyBorder="1" applyAlignment="1">
      <alignment horizontal="center" vertical="center"/>
    </xf>
    <xf numFmtId="9" fontId="70" fillId="40" borderId="46" xfId="1491" applyFont="1" applyFill="1" applyBorder="1" applyAlignment="1">
      <alignment horizontal="center" vertical="center"/>
    </xf>
    <xf numFmtId="9" fontId="70" fillId="40" borderId="31" xfId="1491" applyFont="1" applyFill="1" applyBorder="1" applyAlignment="1">
      <alignment horizontal="center" vertical="center"/>
    </xf>
    <xf numFmtId="168" fontId="70" fillId="40" borderId="46" xfId="43" applyNumberFormat="1" applyFont="1" applyFill="1" applyBorder="1" applyAlignment="1">
      <alignment horizontal="center" vertical="center"/>
    </xf>
    <xf numFmtId="2" fontId="70" fillId="40" borderId="46" xfId="43" applyNumberFormat="1" applyFont="1" applyFill="1" applyBorder="1" applyAlignment="1">
      <alignment horizontal="center" vertical="center"/>
    </xf>
    <xf numFmtId="2" fontId="70" fillId="40" borderId="31" xfId="43" applyNumberFormat="1" applyFont="1" applyFill="1" applyBorder="1" applyAlignment="1">
      <alignment horizontal="center" vertical="center"/>
    </xf>
    <xf numFmtId="170" fontId="67" fillId="40" borderId="0" xfId="1391" applyNumberFormat="1" applyFont="1" applyFill="1" applyBorder="1" applyAlignment="1">
      <alignment horizontal="center" vertical="center"/>
    </xf>
    <xf numFmtId="170" fontId="67" fillId="40" borderId="44" xfId="1391" applyNumberFormat="1" applyFont="1" applyFill="1" applyBorder="1" applyAlignment="1">
      <alignment horizontal="center" vertical="center"/>
    </xf>
    <xf numFmtId="9" fontId="67" fillId="40" borderId="0" xfId="1391" applyFont="1" applyFill="1" applyBorder="1" applyAlignment="1">
      <alignment horizontal="center" vertical="center"/>
    </xf>
    <xf numFmtId="9" fontId="70" fillId="40" borderId="0" xfId="1491" applyFont="1" applyFill="1" applyBorder="1" applyAlignment="1">
      <alignment horizontal="center" vertical="center"/>
    </xf>
    <xf numFmtId="9" fontId="70" fillId="40" borderId="44" xfId="1491" applyFont="1" applyFill="1" applyBorder="1" applyAlignment="1">
      <alignment horizontal="center" vertical="center"/>
    </xf>
    <xf numFmtId="168" fontId="70" fillId="40" borderId="0" xfId="43" applyNumberFormat="1" applyFont="1" applyFill="1" applyBorder="1" applyAlignment="1">
      <alignment horizontal="center" vertical="center"/>
    </xf>
    <xf numFmtId="2" fontId="70" fillId="40" borderId="0" xfId="43" applyNumberFormat="1" applyFont="1" applyFill="1" applyBorder="1" applyAlignment="1">
      <alignment horizontal="center" vertical="center"/>
    </xf>
    <xf numFmtId="2" fontId="70" fillId="40" borderId="44" xfId="43" applyNumberFormat="1" applyFont="1" applyFill="1" applyBorder="1" applyAlignment="1">
      <alignment horizontal="center" vertical="center"/>
    </xf>
    <xf numFmtId="170" fontId="67" fillId="40" borderId="10" xfId="1391" applyNumberFormat="1" applyFont="1" applyFill="1" applyBorder="1" applyAlignment="1">
      <alignment horizontal="center" vertical="center"/>
    </xf>
    <xf numFmtId="170" fontId="67" fillId="40" borderId="34" xfId="1391" applyNumberFormat="1" applyFont="1" applyFill="1" applyBorder="1" applyAlignment="1">
      <alignment horizontal="center" vertical="center"/>
    </xf>
    <xf numFmtId="9" fontId="70" fillId="40" borderId="10" xfId="1491" applyFont="1" applyFill="1" applyBorder="1" applyAlignment="1">
      <alignment horizontal="center" vertical="center"/>
    </xf>
    <xf numFmtId="9" fontId="70" fillId="40" borderId="34" xfId="1491" applyFont="1" applyFill="1" applyBorder="1" applyAlignment="1">
      <alignment horizontal="center" vertical="center"/>
    </xf>
    <xf numFmtId="168" fontId="70" fillId="40" borderId="10" xfId="43" applyNumberFormat="1" applyFont="1" applyFill="1" applyBorder="1" applyAlignment="1">
      <alignment horizontal="center" vertical="center"/>
    </xf>
    <xf numFmtId="2" fontId="70" fillId="40" borderId="10" xfId="43" applyNumberFormat="1" applyFont="1" applyFill="1" applyBorder="1" applyAlignment="1">
      <alignment horizontal="center" vertical="center"/>
    </xf>
    <xf numFmtId="2" fontId="70" fillId="40" borderId="34" xfId="43" applyNumberFormat="1" applyFont="1" applyFill="1" applyBorder="1" applyAlignment="1">
      <alignment horizontal="center" vertical="center"/>
    </xf>
    <xf numFmtId="168" fontId="67" fillId="72" borderId="0" xfId="909" applyNumberFormat="1" applyFont="1" applyFill="1"/>
    <xf numFmtId="0" fontId="68" fillId="70" borderId="0" xfId="43" applyFont="1" applyFill="1"/>
    <xf numFmtId="0" fontId="67" fillId="40" borderId="0" xfId="43" applyFont="1" applyFill="1" applyBorder="1" applyAlignment="1">
      <alignment horizontal="left"/>
    </xf>
    <xf numFmtId="174" fontId="70" fillId="40" borderId="26" xfId="43" applyNumberFormat="1" applyFont="1" applyFill="1" applyBorder="1" applyAlignment="1">
      <alignment horizontal="center" vertical="center"/>
    </xf>
    <xf numFmtId="9" fontId="67" fillId="40" borderId="45" xfId="1391" applyNumberFormat="1" applyFont="1" applyFill="1" applyBorder="1" applyAlignment="1">
      <alignment horizontal="center" vertical="center"/>
    </xf>
    <xf numFmtId="9" fontId="67" fillId="40" borderId="33" xfId="1391" applyNumberFormat="1" applyFont="1" applyFill="1" applyBorder="1" applyAlignment="1">
      <alignment horizontal="center" vertical="center"/>
    </xf>
    <xf numFmtId="170" fontId="67" fillId="40" borderId="0" xfId="1491" applyNumberFormat="1" applyFont="1" applyFill="1" applyBorder="1" applyAlignment="1">
      <alignment horizontal="left" vertical="center"/>
    </xf>
    <xf numFmtId="0" fontId="67" fillId="40" borderId="0" xfId="911" applyFont="1" applyFill="1" applyAlignment="1">
      <alignment horizontal="left" vertical="center"/>
    </xf>
    <xf numFmtId="0" fontId="67" fillId="72" borderId="0" xfId="911" applyFont="1" applyFill="1" applyAlignment="1"/>
    <xf numFmtId="0" fontId="70" fillId="40" borderId="26" xfId="43" applyFont="1" applyFill="1" applyBorder="1" applyAlignment="1">
      <alignment horizontal="center" vertical="center"/>
    </xf>
    <xf numFmtId="3" fontId="70" fillId="0" borderId="26" xfId="43" applyNumberFormat="1" applyFont="1" applyBorder="1" applyAlignment="1">
      <alignment horizontal="center" vertical="center"/>
    </xf>
    <xf numFmtId="174" fontId="70" fillId="0" borderId="26" xfId="43" applyNumberFormat="1" applyFont="1" applyBorder="1" applyAlignment="1">
      <alignment horizontal="center" vertical="center"/>
    </xf>
    <xf numFmtId="1" fontId="67" fillId="40" borderId="50" xfId="0" applyNumberFormat="1" applyFont="1" applyFill="1" applyBorder="1" applyAlignment="1">
      <alignment horizontal="right" vertical="center"/>
    </xf>
    <xf numFmtId="1" fontId="67" fillId="40" borderId="26" xfId="0" applyNumberFormat="1" applyFont="1" applyFill="1" applyBorder="1" applyAlignment="1">
      <alignment horizontal="right" vertical="center"/>
    </xf>
    <xf numFmtId="2" fontId="67" fillId="40" borderId="27" xfId="0" applyNumberFormat="1" applyFont="1" applyFill="1" applyBorder="1" applyAlignment="1">
      <alignment horizontal="right" vertical="center"/>
    </xf>
    <xf numFmtId="170" fontId="67" fillId="40" borderId="40" xfId="1491" applyNumberFormat="1" applyFont="1" applyFill="1" applyBorder="1" applyAlignment="1">
      <alignment horizontal="right" vertical="center"/>
    </xf>
    <xf numFmtId="169" fontId="70" fillId="40" borderId="58" xfId="1490" applyNumberFormat="1" applyFont="1" applyFill="1" applyBorder="1" applyAlignment="1">
      <alignment horizontal="right" vertical="center"/>
    </xf>
    <xf numFmtId="0" fontId="67" fillId="40" borderId="26" xfId="899" applyFont="1" applyFill="1" applyBorder="1" applyAlignment="1">
      <alignment horizontal="center" wrapText="1"/>
    </xf>
    <xf numFmtId="0" fontId="67" fillId="40" borderId="26" xfId="899" applyFont="1" applyFill="1" applyBorder="1" applyAlignment="1">
      <alignment horizontal="center"/>
    </xf>
    <xf numFmtId="168" fontId="67" fillId="40" borderId="56" xfId="0" applyNumberFormat="1" applyFont="1" applyFill="1" applyBorder="1" applyAlignment="1">
      <alignment horizontal="right" vertical="center"/>
    </xf>
    <xf numFmtId="2" fontId="70" fillId="40" borderId="28" xfId="43" applyNumberFormat="1" applyFont="1" applyFill="1" applyBorder="1" applyAlignment="1">
      <alignment horizontal="center" vertical="center"/>
    </xf>
    <xf numFmtId="2" fontId="70" fillId="40" borderId="32" xfId="43" applyNumberFormat="1" applyFont="1" applyFill="1" applyBorder="1" applyAlignment="1">
      <alignment horizontal="center" vertical="center"/>
    </xf>
    <xf numFmtId="2" fontId="70" fillId="40" borderId="35" xfId="43" applyNumberFormat="1" applyFont="1" applyFill="1" applyBorder="1" applyAlignment="1">
      <alignment horizontal="center" vertical="center"/>
    </xf>
    <xf numFmtId="0" fontId="68" fillId="74" borderId="0" xfId="43" applyFont="1" applyFill="1" applyBorder="1" applyAlignment="1">
      <alignment horizontal="center" vertical="center" wrapText="1"/>
    </xf>
    <xf numFmtId="0" fontId="67" fillId="0" borderId="0" xfId="909" quotePrefix="1" applyFont="1" applyFill="1" applyAlignment="1">
      <alignment horizontal="center" vertical="center"/>
    </xf>
    <xf numFmtId="0" fontId="78" fillId="72" borderId="0" xfId="911" applyFont="1" applyFill="1"/>
    <xf numFmtId="0" fontId="77" fillId="72" borderId="0" xfId="911" applyFont="1" applyFill="1"/>
    <xf numFmtId="0" fontId="68" fillId="74" borderId="31" xfId="43" applyFont="1" applyFill="1" applyBorder="1" applyAlignment="1">
      <alignment horizontal="center" vertical="top" wrapText="1"/>
    </xf>
    <xf numFmtId="0" fontId="78" fillId="72" borderId="0" xfId="43" applyFont="1" applyFill="1"/>
    <xf numFmtId="0" fontId="77" fillId="72" borderId="0" xfId="43" applyFont="1" applyFill="1"/>
    <xf numFmtId="0" fontId="68" fillId="37" borderId="0" xfId="43" applyFont="1" applyFill="1" applyAlignment="1"/>
    <xf numFmtId="9" fontId="67" fillId="40" borderId="0" xfId="43" applyNumberFormat="1" applyFont="1" applyFill="1" applyBorder="1" applyAlignment="1">
      <alignment horizontal="center"/>
    </xf>
    <xf numFmtId="0" fontId="67" fillId="72" borderId="0" xfId="897" applyFont="1" applyFill="1" applyBorder="1"/>
    <xf numFmtId="0" fontId="68" fillId="74" borderId="0" xfId="43" applyFont="1" applyFill="1" applyBorder="1" applyAlignment="1">
      <alignment horizontal="center" vertical="top" wrapText="1"/>
    </xf>
    <xf numFmtId="0" fontId="70" fillId="40" borderId="0" xfId="43" applyFont="1" applyFill="1" applyBorder="1"/>
    <xf numFmtId="2" fontId="70" fillId="40" borderId="0" xfId="706" applyNumberFormat="1" applyFont="1" applyFill="1" applyBorder="1" applyAlignment="1">
      <alignment horizontal="center" vertical="top"/>
    </xf>
    <xf numFmtId="0" fontId="68" fillId="74" borderId="10" xfId="43" applyFont="1" applyFill="1" applyBorder="1" applyAlignment="1">
      <alignment horizontal="center" vertical="center" wrapText="1"/>
    </xf>
    <xf numFmtId="2" fontId="67" fillId="40" borderId="39" xfId="0" applyNumberFormat="1" applyFont="1" applyFill="1" applyBorder="1" applyAlignment="1">
      <alignment horizontal="left" vertical="top" wrapText="1"/>
    </xf>
    <xf numFmtId="2" fontId="67" fillId="40" borderId="26" xfId="0" applyNumberFormat="1" applyFont="1" applyFill="1" applyBorder="1" applyAlignment="1">
      <alignment vertical="center"/>
    </xf>
    <xf numFmtId="2" fontId="67" fillId="40" borderId="50" xfId="0" applyNumberFormat="1" applyFont="1" applyFill="1" applyBorder="1" applyAlignment="1">
      <alignment vertical="center"/>
    </xf>
    <xf numFmtId="2" fontId="67" fillId="40" borderId="51" xfId="0" applyNumberFormat="1" applyFont="1" applyFill="1" applyBorder="1" applyAlignment="1">
      <alignment vertical="center"/>
    </xf>
    <xf numFmtId="10" fontId="68" fillId="73" borderId="0" xfId="8" applyNumberFormat="1" applyFont="1" applyFill="1" applyBorder="1" applyAlignment="1">
      <alignment horizontal="center" wrapText="1"/>
    </xf>
    <xf numFmtId="176" fontId="85" fillId="76" borderId="0" xfId="0" applyNumberFormat="1" applyFont="1" applyFill="1" applyAlignment="1">
      <alignment vertical="center"/>
    </xf>
    <xf numFmtId="0" fontId="65" fillId="34" borderId="73" xfId="0" applyFont="1" applyFill="1" applyBorder="1" applyAlignment="1">
      <alignment horizontal="center" vertical="center"/>
    </xf>
    <xf numFmtId="0" fontId="65" fillId="34" borderId="52" xfId="0" applyFont="1" applyFill="1" applyBorder="1" applyAlignment="1">
      <alignment horizontal="center" vertical="center"/>
    </xf>
    <xf numFmtId="0" fontId="65" fillId="34" borderId="84" xfId="0" applyFont="1" applyFill="1" applyBorder="1" applyAlignment="1">
      <alignment horizontal="center" vertical="center"/>
    </xf>
    <xf numFmtId="177" fontId="67" fillId="40" borderId="67" xfId="1490" applyNumberFormat="1" applyFont="1" applyFill="1" applyBorder="1" applyAlignment="1">
      <alignment horizontal="right" vertical="center"/>
    </xf>
    <xf numFmtId="2" fontId="67" fillId="40" borderId="59" xfId="0" applyNumberFormat="1" applyFont="1" applyFill="1" applyBorder="1" applyAlignment="1">
      <alignment vertical="center"/>
    </xf>
    <xf numFmtId="0" fontId="73" fillId="40" borderId="57" xfId="0" applyFont="1" applyFill="1" applyBorder="1" applyAlignment="1">
      <alignment vertical="center"/>
    </xf>
    <xf numFmtId="0" fontId="67" fillId="40" borderId="44" xfId="0" applyFont="1" applyFill="1" applyBorder="1" applyAlignment="1">
      <alignment vertical="center"/>
    </xf>
    <xf numFmtId="169" fontId="67" fillId="0" borderId="26" xfId="1490" applyNumberFormat="1" applyFont="1" applyBorder="1" applyAlignment="1">
      <alignment horizontal="center"/>
    </xf>
    <xf numFmtId="169" fontId="67" fillId="0" borderId="26" xfId="1490" applyNumberFormat="1" applyFont="1" applyBorder="1" applyAlignment="1">
      <alignment horizontal="center" vertical="center"/>
    </xf>
    <xf numFmtId="0" fontId="68" fillId="73" borderId="46" xfId="43" applyFont="1" applyFill="1" applyBorder="1" applyAlignment="1">
      <alignment horizontal="center" vertical="center" wrapText="1"/>
    </xf>
    <xf numFmtId="9" fontId="67" fillId="40" borderId="44" xfId="1491" applyFont="1" applyFill="1" applyBorder="1" applyAlignment="1">
      <alignment horizontal="center" vertical="center"/>
    </xf>
    <xf numFmtId="9" fontId="67" fillId="40" borderId="34" xfId="1491" applyFont="1" applyFill="1" applyBorder="1" applyAlignment="1">
      <alignment horizontal="center" vertical="center"/>
    </xf>
    <xf numFmtId="0" fontId="68" fillId="73" borderId="32" xfId="43" applyFont="1" applyFill="1" applyBorder="1" applyAlignment="1">
      <alignment horizontal="center" vertical="center"/>
    </xf>
    <xf numFmtId="0" fontId="67" fillId="0" borderId="86" xfId="938" applyFont="1" applyFill="1" applyBorder="1"/>
    <xf numFmtId="0" fontId="86" fillId="0" borderId="86" xfId="938" applyFont="1" applyFill="1" applyBorder="1" applyAlignment="1">
      <alignment horizontal="center" vertical="center"/>
    </xf>
    <xf numFmtId="0" fontId="67" fillId="0" borderId="86" xfId="938" applyFont="1" applyFill="1" applyBorder="1" applyAlignment="1">
      <alignment horizontal="center"/>
    </xf>
    <xf numFmtId="0" fontId="68" fillId="73" borderId="44" xfId="938" applyFont="1" applyFill="1" applyBorder="1" applyAlignment="1">
      <alignment vertical="center"/>
    </xf>
    <xf numFmtId="0" fontId="67" fillId="40" borderId="0" xfId="938" applyFont="1" applyFill="1" applyBorder="1" applyAlignment="1">
      <alignment horizontal="center"/>
    </xf>
    <xf numFmtId="9" fontId="67" fillId="40" borderId="44" xfId="938" applyNumberFormat="1" applyFont="1" applyFill="1" applyBorder="1" applyAlignment="1">
      <alignment horizontal="center"/>
    </xf>
    <xf numFmtId="9" fontId="67" fillId="40" borderId="34" xfId="938" applyNumberFormat="1" applyFont="1" applyFill="1" applyBorder="1" applyAlignment="1">
      <alignment horizontal="center"/>
    </xf>
    <xf numFmtId="43" fontId="67" fillId="72" borderId="0" xfId="938" applyNumberFormat="1" applyFont="1" applyFill="1"/>
    <xf numFmtId="1" fontId="67" fillId="40" borderId="86" xfId="938" applyNumberFormat="1" applyFont="1" applyFill="1" applyBorder="1" applyAlignment="1">
      <alignment horizontal="center" vertical="center"/>
    </xf>
    <xf numFmtId="0" fontId="67" fillId="40" borderId="86" xfId="938" applyFont="1" applyFill="1" applyBorder="1" applyAlignment="1">
      <alignment horizontal="center" vertical="center"/>
    </xf>
    <xf numFmtId="169" fontId="67" fillId="0" borderId="26" xfId="899" applyNumberFormat="1" applyFont="1" applyBorder="1" applyAlignment="1">
      <alignment horizontal="center"/>
    </xf>
    <xf numFmtId="0" fontId="68" fillId="73" borderId="44" xfId="43" applyFont="1" applyFill="1" applyBorder="1" applyAlignment="1">
      <alignment horizontal="center" vertical="center"/>
    </xf>
    <xf numFmtId="0" fontId="67" fillId="40" borderId="45" xfId="938" applyFont="1" applyFill="1" applyBorder="1" applyAlignment="1">
      <alignment horizontal="center"/>
    </xf>
    <xf numFmtId="9" fontId="67" fillId="40" borderId="44" xfId="1391" applyFont="1" applyFill="1" applyBorder="1" applyAlignment="1">
      <alignment horizontal="center"/>
    </xf>
    <xf numFmtId="0" fontId="67" fillId="40" borderId="10" xfId="938" applyFont="1" applyFill="1" applyBorder="1" applyAlignment="1">
      <alignment horizontal="center"/>
    </xf>
    <xf numFmtId="9" fontId="67" fillId="40" borderId="34" xfId="1391" applyFont="1" applyFill="1" applyBorder="1" applyAlignment="1">
      <alignment horizontal="center"/>
    </xf>
    <xf numFmtId="0" fontId="67" fillId="40" borderId="0" xfId="938" applyFont="1" applyFill="1" applyBorder="1" applyAlignment="1" applyProtection="1">
      <alignment horizontal="center"/>
      <protection hidden="1"/>
    </xf>
    <xf numFmtId="0" fontId="67" fillId="40" borderId="10" xfId="938" applyFont="1" applyFill="1" applyBorder="1" applyAlignment="1" applyProtection="1">
      <alignment horizontal="center"/>
      <protection hidden="1"/>
    </xf>
    <xf numFmtId="0" fontId="70" fillId="40" borderId="33" xfId="1039" applyFont="1" applyFill="1" applyBorder="1" applyAlignment="1">
      <alignment horizontal="center"/>
    </xf>
    <xf numFmtId="1" fontId="67" fillId="40" borderId="0" xfId="938" applyNumberFormat="1" applyFont="1" applyFill="1" applyBorder="1" applyAlignment="1">
      <alignment horizontal="center"/>
    </xf>
    <xf numFmtId="1" fontId="70" fillId="40" borderId="10" xfId="1039" applyNumberFormat="1" applyFont="1" applyFill="1" applyBorder="1" applyAlignment="1">
      <alignment horizontal="center"/>
    </xf>
    <xf numFmtId="0" fontId="68" fillId="73" borderId="45" xfId="938" applyFont="1" applyFill="1" applyBorder="1" applyAlignment="1">
      <alignment horizontal="center" vertical="center" wrapText="1"/>
    </xf>
    <xf numFmtId="0" fontId="68" fillId="73" borderId="0" xfId="938" applyFont="1" applyFill="1" applyBorder="1" applyAlignment="1">
      <alignment horizontal="center" vertical="center" wrapText="1"/>
    </xf>
    <xf numFmtId="0" fontId="78" fillId="37" borderId="0" xfId="43" applyFont="1" applyFill="1" applyAlignment="1">
      <alignment horizontal="center"/>
    </xf>
    <xf numFmtId="0" fontId="77" fillId="37" borderId="0" xfId="43" applyFont="1" applyFill="1" applyAlignment="1">
      <alignment horizontal="center"/>
    </xf>
    <xf numFmtId="0" fontId="70" fillId="72" borderId="0" xfId="43" applyFont="1" applyFill="1" applyAlignment="1">
      <alignment horizontal="center"/>
    </xf>
    <xf numFmtId="0" fontId="67" fillId="72" borderId="0" xfId="899" applyFont="1" applyFill="1" applyAlignment="1">
      <alignment horizontal="center"/>
    </xf>
    <xf numFmtId="2" fontId="70" fillId="72" borderId="0" xfId="43" applyNumberFormat="1" applyFont="1" applyFill="1" applyAlignment="1">
      <alignment horizontal="center"/>
    </xf>
    <xf numFmtId="9" fontId="70" fillId="72" borderId="0" xfId="43" applyNumberFormat="1" applyFont="1" applyFill="1" applyAlignment="1">
      <alignment horizontal="center"/>
    </xf>
    <xf numFmtId="10" fontId="20" fillId="40" borderId="26" xfId="8" applyNumberFormat="1" applyFont="1" applyFill="1" applyBorder="1" applyAlignment="1">
      <alignment horizontal="center" vertical="center"/>
    </xf>
    <xf numFmtId="0" fontId="70" fillId="33" borderId="86" xfId="43" applyFont="1" applyFill="1" applyBorder="1" applyAlignment="1">
      <alignment horizontal="center" vertical="center" wrapText="1"/>
    </xf>
    <xf numFmtId="0" fontId="70" fillId="33" borderId="87" xfId="43" applyFont="1" applyFill="1" applyBorder="1" applyAlignment="1">
      <alignment horizontal="center" vertical="center" wrapText="1"/>
    </xf>
    <xf numFmtId="0" fontId="70" fillId="33" borderId="89" xfId="43" applyFont="1" applyFill="1" applyBorder="1" applyAlignment="1">
      <alignment horizontal="center" vertical="center" wrapText="1"/>
    </xf>
    <xf numFmtId="0" fontId="70" fillId="33" borderId="88" xfId="43" applyFont="1" applyFill="1" applyBorder="1" applyAlignment="1">
      <alignment horizontal="center" vertical="center" wrapText="1"/>
    </xf>
    <xf numFmtId="0" fontId="70" fillId="40" borderId="87" xfId="43" applyFont="1" applyFill="1" applyBorder="1"/>
    <xf numFmtId="0" fontId="70" fillId="40" borderId="88" xfId="43" applyFont="1" applyFill="1" applyBorder="1"/>
    <xf numFmtId="0" fontId="70" fillId="40" borderId="89" xfId="43" applyFont="1" applyFill="1" applyBorder="1"/>
    <xf numFmtId="9" fontId="70" fillId="40" borderId="86" xfId="1491" applyFont="1" applyFill="1" applyBorder="1"/>
    <xf numFmtId="0" fontId="68" fillId="73" borderId="0" xfId="43" applyFont="1" applyFill="1" applyBorder="1" applyAlignment="1">
      <alignment horizontal="center" vertical="center" wrapText="1"/>
    </xf>
    <xf numFmtId="0" fontId="68" fillId="74" borderId="0" xfId="43" applyFont="1" applyFill="1" applyBorder="1" applyAlignment="1">
      <alignment horizontal="center" vertical="center" wrapText="1"/>
    </xf>
    <xf numFmtId="9" fontId="70" fillId="40" borderId="28" xfId="43" quotePrefix="1" applyNumberFormat="1" applyFont="1" applyFill="1" applyBorder="1" applyAlignment="1">
      <alignment horizontal="center"/>
    </xf>
    <xf numFmtId="178" fontId="70" fillId="40" borderId="0" xfId="1488" applyNumberFormat="1" applyFont="1" applyFill="1" applyBorder="1" applyAlignment="1">
      <alignment horizontal="center"/>
    </xf>
    <xf numFmtId="10" fontId="70" fillId="40" borderId="0" xfId="1491" applyNumberFormat="1" applyFont="1" applyFill="1" applyBorder="1" applyAlignment="1">
      <alignment horizontal="center"/>
    </xf>
    <xf numFmtId="0" fontId="67" fillId="40" borderId="0" xfId="906" applyFont="1" applyFill="1"/>
    <xf numFmtId="0" fontId="67" fillId="73" borderId="0" xfId="906" applyFont="1" applyFill="1"/>
    <xf numFmtId="0" fontId="70" fillId="40" borderId="0" xfId="906" applyFont="1" applyFill="1"/>
    <xf numFmtId="0" fontId="68" fillId="73" borderId="0" xfId="43" applyFont="1" applyFill="1" applyBorder="1" applyAlignment="1">
      <alignment horizontal="center" vertical="center" wrapText="1"/>
    </xf>
    <xf numFmtId="2" fontId="67" fillId="72" borderId="80" xfId="0" applyNumberFormat="1" applyFont="1" applyFill="1" applyBorder="1" applyAlignment="1">
      <alignment vertical="center"/>
    </xf>
    <xf numFmtId="2" fontId="67" fillId="72" borderId="69" xfId="0" applyNumberFormat="1" applyFont="1" applyFill="1" applyBorder="1" applyAlignment="1">
      <alignment vertical="center"/>
    </xf>
    <xf numFmtId="2" fontId="67" fillId="72" borderId="47" xfId="0" applyNumberFormat="1" applyFont="1" applyFill="1" applyBorder="1" applyAlignment="1">
      <alignment vertical="center"/>
    </xf>
    <xf numFmtId="171" fontId="67" fillId="40" borderId="0" xfId="906" applyNumberFormat="1" applyFont="1" applyFill="1"/>
    <xf numFmtId="166" fontId="70" fillId="70" borderId="0" xfId="43" applyNumberFormat="1" applyFont="1" applyFill="1"/>
    <xf numFmtId="173" fontId="70" fillId="40" borderId="68" xfId="1488" applyNumberFormat="1" applyFont="1" applyFill="1" applyBorder="1" applyAlignment="1">
      <alignment horizontal="right" vertical="center"/>
    </xf>
    <xf numFmtId="43" fontId="67" fillId="40" borderId="58" xfId="1490" applyFont="1" applyFill="1" applyBorder="1" applyAlignment="1">
      <alignment horizontal="right" vertical="center"/>
    </xf>
    <xf numFmtId="2" fontId="70" fillId="40" borderId="56" xfId="0" applyNumberFormat="1" applyFont="1" applyFill="1" applyBorder="1" applyAlignment="1">
      <alignment horizontal="right" vertical="center"/>
    </xf>
    <xf numFmtId="169" fontId="70" fillId="40" borderId="28" xfId="1490" applyNumberFormat="1" applyFont="1" applyFill="1" applyBorder="1" applyAlignment="1">
      <alignment horizontal="right" vertical="center"/>
    </xf>
    <xf numFmtId="169" fontId="70" fillId="40" borderId="31" xfId="1490" applyNumberFormat="1" applyFont="1" applyFill="1" applyBorder="1" applyAlignment="1">
      <alignment horizontal="right" vertical="center"/>
    </xf>
    <xf numFmtId="169" fontId="70" fillId="40" borderId="56" xfId="1490" applyNumberFormat="1" applyFont="1" applyFill="1" applyBorder="1" applyAlignment="1">
      <alignment horizontal="right" vertical="center"/>
    </xf>
    <xf numFmtId="9" fontId="70" fillId="40" borderId="32" xfId="1491" applyFont="1" applyFill="1" applyBorder="1" applyAlignment="1">
      <alignment horizontal="right" vertical="center"/>
    </xf>
    <xf numFmtId="9" fontId="70" fillId="40" borderId="58" xfId="1491" applyFont="1" applyFill="1" applyBorder="1" applyAlignment="1">
      <alignment horizontal="right" vertical="center"/>
    </xf>
    <xf numFmtId="179" fontId="73" fillId="40" borderId="64" xfId="1490" applyNumberFormat="1" applyFont="1" applyFill="1" applyBorder="1" applyAlignment="1">
      <alignment horizontal="right" vertical="center"/>
    </xf>
    <xf numFmtId="0" fontId="65" fillId="34" borderId="36" xfId="0" applyFont="1" applyFill="1" applyBorder="1" applyAlignment="1">
      <alignment vertical="center"/>
    </xf>
    <xf numFmtId="0" fontId="65" fillId="34" borderId="37" xfId="0" applyFont="1" applyFill="1" applyBorder="1" applyAlignment="1">
      <alignment vertical="center"/>
    </xf>
    <xf numFmtId="0" fontId="67" fillId="34" borderId="37" xfId="0" applyFont="1" applyFill="1" applyBorder="1" applyAlignment="1">
      <alignment vertical="center"/>
    </xf>
    <xf numFmtId="0" fontId="67" fillId="34" borderId="38" xfId="0" applyFont="1" applyFill="1" applyBorder="1" applyAlignment="1">
      <alignment vertical="center"/>
    </xf>
    <xf numFmtId="0" fontId="67" fillId="40" borderId="0" xfId="0" quotePrefix="1" applyFont="1" applyFill="1" applyBorder="1" applyAlignment="1">
      <alignment vertical="center"/>
    </xf>
    <xf numFmtId="0" fontId="70" fillId="40" borderId="36" xfId="0" applyFont="1" applyFill="1" applyBorder="1" applyAlignment="1">
      <alignment vertical="center"/>
    </xf>
    <xf numFmtId="0" fontId="70" fillId="40" borderId="37" xfId="0" applyFont="1" applyFill="1" applyBorder="1" applyAlignment="1">
      <alignment vertical="center"/>
    </xf>
    <xf numFmtId="0" fontId="70" fillId="40" borderId="38" xfId="0" applyFont="1" applyFill="1" applyBorder="1" applyAlignment="1">
      <alignment vertical="center"/>
    </xf>
    <xf numFmtId="0" fontId="70" fillId="40" borderId="40" xfId="0" applyFont="1" applyFill="1" applyBorder="1" applyAlignment="1">
      <alignment vertical="center"/>
    </xf>
    <xf numFmtId="0" fontId="67" fillId="40" borderId="41" xfId="0" applyFont="1" applyFill="1" applyBorder="1" applyAlignment="1">
      <alignment vertical="center"/>
    </xf>
    <xf numFmtId="0" fontId="67" fillId="40" borderId="42" xfId="0" applyFont="1" applyFill="1" applyBorder="1" applyAlignment="1">
      <alignment vertical="center"/>
    </xf>
    <xf numFmtId="0" fontId="67" fillId="40" borderId="43" xfId="0" applyFont="1" applyFill="1" applyBorder="1" applyAlignment="1">
      <alignment vertical="center"/>
    </xf>
    <xf numFmtId="173" fontId="67" fillId="40" borderId="28" xfId="1488" applyNumberFormat="1" applyFont="1" applyFill="1" applyBorder="1" applyAlignment="1">
      <alignment vertical="center"/>
    </xf>
    <xf numFmtId="173" fontId="67" fillId="40" borderId="46" xfId="1488" applyNumberFormat="1" applyFont="1" applyFill="1" applyBorder="1" applyAlignment="1">
      <alignment vertical="center"/>
    </xf>
    <xf numFmtId="173" fontId="67" fillId="40" borderId="56" xfId="1488" applyNumberFormat="1" applyFont="1" applyFill="1" applyBorder="1" applyAlignment="1">
      <alignment vertical="center"/>
    </xf>
    <xf numFmtId="173" fontId="67" fillId="40" borderId="32" xfId="1488" applyNumberFormat="1" applyFont="1" applyFill="1" applyBorder="1" applyAlignment="1">
      <alignment vertical="center"/>
    </xf>
    <xf numFmtId="173" fontId="67" fillId="40" borderId="0" xfId="1488" applyNumberFormat="1" applyFont="1" applyFill="1" applyBorder="1" applyAlignment="1">
      <alignment vertical="center"/>
    </xf>
    <xf numFmtId="173" fontId="67" fillId="40" borderId="58" xfId="1488" applyNumberFormat="1" applyFont="1" applyFill="1" applyBorder="1" applyAlignment="1">
      <alignment vertical="center"/>
    </xf>
    <xf numFmtId="43" fontId="67" fillId="40" borderId="27" xfId="1490" applyFont="1" applyFill="1" applyBorder="1" applyAlignment="1">
      <alignment horizontal="right" vertical="center"/>
    </xf>
    <xf numFmtId="1" fontId="67" fillId="40" borderId="27" xfId="0" applyNumberFormat="1" applyFont="1" applyFill="1" applyBorder="1" applyAlignment="1">
      <alignment horizontal="right" vertical="center"/>
    </xf>
    <xf numFmtId="169" fontId="67" fillId="40" borderId="70" xfId="1490" applyNumberFormat="1" applyFont="1" applyFill="1" applyBorder="1" applyAlignment="1">
      <alignment horizontal="right" vertical="center"/>
    </xf>
    <xf numFmtId="169" fontId="67" fillId="40" borderId="71" xfId="1490" applyNumberFormat="1" applyFont="1" applyFill="1" applyBorder="1" applyAlignment="1">
      <alignment horizontal="right" vertical="center"/>
    </xf>
    <xf numFmtId="169" fontId="67" fillId="40" borderId="72" xfId="1490" applyNumberFormat="1" applyFont="1" applyFill="1" applyBorder="1" applyAlignment="1">
      <alignment horizontal="right" vertical="center"/>
    </xf>
    <xf numFmtId="179" fontId="73" fillId="40" borderId="90" xfId="1490" applyNumberFormat="1" applyFont="1" applyFill="1" applyBorder="1" applyAlignment="1">
      <alignment horizontal="right" vertical="center"/>
    </xf>
    <xf numFmtId="180" fontId="67" fillId="40" borderId="32" xfId="1490" applyNumberFormat="1" applyFont="1" applyFill="1" applyBorder="1" applyAlignment="1">
      <alignment horizontal="right" vertical="center"/>
    </xf>
    <xf numFmtId="180" fontId="67" fillId="40" borderId="40" xfId="1490" applyNumberFormat="1" applyFont="1" applyFill="1" applyBorder="1" applyAlignment="1">
      <alignment horizontal="right" vertical="center"/>
    </xf>
    <xf numFmtId="0" fontId="72" fillId="40" borderId="0" xfId="42" applyFont="1" applyFill="1" applyBorder="1"/>
    <xf numFmtId="0" fontId="70" fillId="40" borderId="0" xfId="911" quotePrefix="1" applyFont="1" applyFill="1" applyAlignment="1">
      <alignment horizontal="left"/>
    </xf>
    <xf numFmtId="172" fontId="70" fillId="0" borderId="26" xfId="43" applyNumberFormat="1" applyFont="1" applyFill="1" applyBorder="1" applyAlignment="1">
      <alignment horizontal="center"/>
    </xf>
    <xf numFmtId="181" fontId="67" fillId="72" borderId="0" xfId="906" applyNumberFormat="1" applyFont="1" applyFill="1"/>
    <xf numFmtId="182" fontId="67" fillId="72" borderId="0" xfId="906" applyNumberFormat="1" applyFont="1" applyFill="1"/>
    <xf numFmtId="170" fontId="70" fillId="40" borderId="32" xfId="1436" applyNumberFormat="1" applyFont="1" applyFill="1" applyBorder="1" applyAlignment="1">
      <alignment horizontal="center" vertical="center"/>
    </xf>
    <xf numFmtId="170" fontId="70" fillId="40" borderId="35" xfId="1436" applyNumberFormat="1" applyFont="1" applyFill="1" applyBorder="1" applyAlignment="1">
      <alignment horizontal="center" vertical="center"/>
    </xf>
    <xf numFmtId="0" fontId="73" fillId="40" borderId="28" xfId="43" applyFont="1" applyFill="1" applyBorder="1" applyAlignment="1">
      <alignment horizontal="center" vertical="center" wrapText="1"/>
    </xf>
    <xf numFmtId="0" fontId="68" fillId="69" borderId="86" xfId="0" applyFont="1" applyFill="1" applyBorder="1"/>
    <xf numFmtId="0" fontId="70" fillId="70" borderId="0" xfId="43" applyFont="1" applyFill="1" applyAlignment="1"/>
    <xf numFmtId="0" fontId="71" fillId="70" borderId="0" xfId="43" applyFont="1" applyFill="1"/>
    <xf numFmtId="0" fontId="67" fillId="38" borderId="38" xfId="43" applyFont="1" applyFill="1" applyBorder="1" applyAlignment="1">
      <alignment horizontal="right"/>
    </xf>
    <xf numFmtId="0" fontId="67" fillId="38" borderId="43" xfId="43" applyFont="1" applyFill="1" applyBorder="1" applyAlignment="1">
      <alignment horizontal="right"/>
    </xf>
    <xf numFmtId="0" fontId="14" fillId="0" borderId="0" xfId="0" applyFont="1"/>
    <xf numFmtId="0" fontId="88" fillId="70" borderId="0" xfId="43" applyFont="1" applyFill="1" applyAlignment="1"/>
    <xf numFmtId="0" fontId="76" fillId="70" borderId="0" xfId="43" applyFont="1" applyFill="1" applyAlignment="1"/>
    <xf numFmtId="0" fontId="76" fillId="70" borderId="0" xfId="43" applyFont="1" applyFill="1" applyAlignment="1">
      <alignment horizontal="center"/>
    </xf>
    <xf numFmtId="0" fontId="68" fillId="74" borderId="0" xfId="43" applyFont="1" applyFill="1" applyBorder="1" applyAlignment="1">
      <alignment horizontal="center" vertical="center" wrapText="1"/>
    </xf>
    <xf numFmtId="0" fontId="68" fillId="73" borderId="44" xfId="43" applyFont="1" applyFill="1" applyBorder="1" applyAlignment="1">
      <alignment horizontal="center" vertical="center"/>
    </xf>
    <xf numFmtId="0" fontId="67" fillId="40" borderId="0" xfId="43" applyFont="1" applyFill="1" applyBorder="1" applyAlignment="1">
      <alignment horizontal="left"/>
    </xf>
    <xf numFmtId="0" fontId="0" fillId="0" borderId="0" xfId="0" applyFont="1"/>
    <xf numFmtId="0" fontId="89" fillId="0" borderId="0" xfId="0" applyFont="1"/>
    <xf numFmtId="0" fontId="90" fillId="0" borderId="0" xfId="0" applyFont="1"/>
    <xf numFmtId="0" fontId="16" fillId="0" borderId="0" xfId="0" applyFont="1"/>
    <xf numFmtId="0" fontId="85" fillId="80" borderId="38" xfId="43" applyFont="1" applyFill="1" applyBorder="1" applyAlignment="1">
      <alignment horizontal="right"/>
    </xf>
    <xf numFmtId="0" fontId="85" fillId="80" borderId="43" xfId="43" applyFont="1" applyFill="1" applyBorder="1" applyAlignment="1">
      <alignment horizontal="right"/>
    </xf>
    <xf numFmtId="170" fontId="67" fillId="40" borderId="0" xfId="1491" applyNumberFormat="1" applyFont="1" applyFill="1" applyBorder="1" applyAlignment="1">
      <alignment horizontal="center" vertical="center"/>
    </xf>
    <xf numFmtId="0" fontId="70" fillId="33" borderId="45" xfId="43" applyFont="1" applyFill="1" applyBorder="1" applyAlignment="1">
      <alignment horizontal="center" vertical="center" wrapText="1"/>
    </xf>
    <xf numFmtId="0" fontId="70" fillId="33" borderId="44" xfId="43" applyFont="1" applyFill="1" applyBorder="1" applyAlignment="1">
      <alignment horizontal="center" vertical="center" wrapText="1"/>
    </xf>
    <xf numFmtId="170" fontId="67" fillId="40" borderId="44" xfId="1491" applyNumberFormat="1" applyFont="1" applyFill="1" applyBorder="1" applyAlignment="1">
      <alignment horizontal="center" vertical="center"/>
    </xf>
    <xf numFmtId="9" fontId="67" fillId="40" borderId="44" xfId="1491" applyNumberFormat="1" applyFont="1" applyFill="1" applyBorder="1" applyAlignment="1">
      <alignment horizontal="center" vertical="center"/>
    </xf>
    <xf numFmtId="9" fontId="67" fillId="40" borderId="34" xfId="1491" applyNumberFormat="1" applyFont="1" applyFill="1" applyBorder="1" applyAlignment="1">
      <alignment horizontal="center" vertical="center"/>
    </xf>
    <xf numFmtId="9" fontId="70" fillId="40" borderId="45" xfId="43" applyNumberFormat="1" applyFont="1" applyFill="1" applyBorder="1" applyAlignment="1">
      <alignment horizontal="left" vertical="center"/>
    </xf>
    <xf numFmtId="9" fontId="70" fillId="40" borderId="33" xfId="43" applyNumberFormat="1" applyFont="1" applyFill="1" applyBorder="1" applyAlignment="1">
      <alignment horizontal="left" vertical="center"/>
    </xf>
    <xf numFmtId="0" fontId="70" fillId="33" borderId="30" xfId="43" applyFont="1" applyFill="1" applyBorder="1" applyAlignment="1">
      <alignment horizontal="center" vertical="center" wrapText="1"/>
    </xf>
    <xf numFmtId="0" fontId="70" fillId="33" borderId="31" xfId="43" applyFont="1" applyFill="1" applyBorder="1" applyAlignment="1">
      <alignment horizontal="center" vertical="center" wrapText="1"/>
    </xf>
    <xf numFmtId="170" fontId="67" fillId="40" borderId="45" xfId="1491" applyNumberFormat="1" applyFont="1" applyFill="1" applyBorder="1" applyAlignment="1">
      <alignment horizontal="center" vertical="center"/>
    </xf>
    <xf numFmtId="9" fontId="67" fillId="40" borderId="45" xfId="1491" applyNumberFormat="1" applyFont="1" applyFill="1" applyBorder="1" applyAlignment="1">
      <alignment horizontal="center" vertical="center"/>
    </xf>
    <xf numFmtId="9" fontId="67" fillId="40" borderId="33" xfId="1491" applyNumberFormat="1" applyFont="1" applyFill="1" applyBorder="1" applyAlignment="1">
      <alignment horizontal="center" vertical="center"/>
    </xf>
    <xf numFmtId="170" fontId="67" fillId="40" borderId="45" xfId="1491" applyNumberFormat="1" applyFont="1" applyFill="1" applyBorder="1" applyAlignment="1">
      <alignment horizontal="center"/>
    </xf>
    <xf numFmtId="0" fontId="0" fillId="40" borderId="44" xfId="0" applyFill="1" applyBorder="1"/>
    <xf numFmtId="9" fontId="0" fillId="40" borderId="34" xfId="0" applyNumberFormat="1" applyFill="1" applyBorder="1"/>
    <xf numFmtId="0" fontId="68" fillId="72" borderId="0" xfId="43" applyFont="1" applyFill="1"/>
    <xf numFmtId="0" fontId="83" fillId="72" borderId="0" xfId="43" applyFont="1" applyFill="1"/>
    <xf numFmtId="0" fontId="67" fillId="37" borderId="0" xfId="938" applyFont="1" applyFill="1"/>
    <xf numFmtId="0" fontId="70" fillId="72" borderId="0" xfId="938" applyFont="1" applyFill="1" applyAlignment="1">
      <alignment wrapText="1"/>
    </xf>
    <xf numFmtId="0" fontId="77" fillId="37" borderId="0" xfId="43" applyFont="1" applyFill="1" applyBorder="1"/>
    <xf numFmtId="0" fontId="77" fillId="72" borderId="0" xfId="43" applyFont="1" applyFill="1" applyBorder="1"/>
    <xf numFmtId="0" fontId="67" fillId="72" borderId="0" xfId="897" applyFont="1" applyFill="1" applyBorder="1" applyAlignment="1">
      <alignment wrapText="1"/>
    </xf>
    <xf numFmtId="169" fontId="67" fillId="40" borderId="0" xfId="1490" applyNumberFormat="1" applyFont="1" applyFill="1" applyBorder="1" applyAlignment="1"/>
    <xf numFmtId="0" fontId="67" fillId="40" borderId="0" xfId="911" applyFont="1" applyFill="1" applyAlignment="1">
      <alignment vertical="top" wrapText="1"/>
    </xf>
    <xf numFmtId="0" fontId="68" fillId="79" borderId="0" xfId="43" applyFont="1" applyFill="1" applyAlignment="1"/>
    <xf numFmtId="0" fontId="70" fillId="0" borderId="50" xfId="0" applyFont="1" applyFill="1" applyBorder="1" applyAlignment="1">
      <alignment horizontal="left" vertical="center"/>
    </xf>
    <xf numFmtId="0" fontId="70" fillId="0" borderId="51" xfId="0" applyFont="1" applyFill="1" applyBorder="1" applyAlignment="1">
      <alignment horizontal="left" vertical="center"/>
    </xf>
    <xf numFmtId="0" fontId="70" fillId="0" borderId="51" xfId="0" applyFont="1" applyFill="1" applyBorder="1" applyAlignment="1">
      <alignment horizontal="left" vertical="center" wrapText="1"/>
    </xf>
    <xf numFmtId="1" fontId="70" fillId="0" borderId="51" xfId="0" applyNumberFormat="1" applyFont="1" applyFill="1" applyBorder="1" applyAlignment="1">
      <alignment horizontal="left" vertical="center"/>
    </xf>
    <xf numFmtId="2" fontId="70" fillId="0" borderId="51" xfId="0" applyNumberFormat="1" applyFont="1" applyFill="1" applyBorder="1" applyAlignment="1">
      <alignment horizontal="left" vertical="center" wrapText="1"/>
    </xf>
    <xf numFmtId="2" fontId="70" fillId="0" borderId="51" xfId="0" applyNumberFormat="1" applyFont="1" applyFill="1" applyBorder="1" applyAlignment="1">
      <alignment horizontal="left" vertical="center"/>
    </xf>
    <xf numFmtId="168" fontId="70" fillId="0" borderId="51" xfId="0" applyNumberFormat="1" applyFont="1" applyFill="1" applyBorder="1" applyAlignment="1">
      <alignment vertical="center"/>
    </xf>
    <xf numFmtId="0" fontId="70" fillId="0" borderId="83" xfId="0" applyFont="1" applyFill="1" applyBorder="1" applyAlignment="1">
      <alignment horizontal="left" vertical="center"/>
    </xf>
    <xf numFmtId="168" fontId="70" fillId="0" borderId="56" xfId="0" applyNumberFormat="1" applyFont="1" applyFill="1" applyBorder="1" applyAlignment="1">
      <alignment horizontal="left" vertical="center"/>
    </xf>
    <xf numFmtId="2" fontId="67" fillId="40" borderId="56" xfId="0" applyNumberFormat="1" applyFont="1" applyFill="1" applyBorder="1" applyAlignment="1">
      <alignment horizontal="left" vertical="center"/>
    </xf>
    <xf numFmtId="0" fontId="70" fillId="0" borderId="47" xfId="0" applyFont="1" applyFill="1" applyBorder="1" applyAlignment="1">
      <alignment horizontal="left" vertical="center"/>
    </xf>
    <xf numFmtId="0" fontId="70" fillId="0" borderId="91" xfId="0" applyFont="1" applyFill="1" applyBorder="1" applyAlignment="1">
      <alignment horizontal="left" vertical="center"/>
    </xf>
    <xf numFmtId="0" fontId="67" fillId="40" borderId="89" xfId="0" applyFont="1" applyFill="1" applyBorder="1" applyAlignment="1">
      <alignment horizontal="left" vertical="center"/>
    </xf>
    <xf numFmtId="0" fontId="67" fillId="40" borderId="92" xfId="0" applyFont="1" applyFill="1" applyBorder="1" applyAlignment="1">
      <alignment horizontal="left" vertical="center"/>
    </xf>
    <xf numFmtId="0" fontId="70" fillId="40" borderId="44" xfId="0" applyFont="1" applyFill="1" applyBorder="1" applyAlignment="1">
      <alignment vertical="center"/>
    </xf>
    <xf numFmtId="0" fontId="67" fillId="40" borderId="44" xfId="0" applyFont="1" applyFill="1" applyBorder="1" applyAlignment="1">
      <alignment horizontal="left" vertical="center"/>
    </xf>
    <xf numFmtId="0" fontId="70" fillId="40" borderId="66" xfId="0" applyFont="1" applyFill="1" applyBorder="1" applyAlignment="1">
      <alignment vertical="center"/>
    </xf>
    <xf numFmtId="1" fontId="67" fillId="40" borderId="58" xfId="0" applyNumberFormat="1" applyFont="1" applyFill="1" applyBorder="1" applyAlignment="1">
      <alignment horizontal="right" vertical="center"/>
    </xf>
    <xf numFmtId="0" fontId="70" fillId="40" borderId="93" xfId="0" applyFont="1" applyFill="1" applyBorder="1" applyAlignment="1">
      <alignment vertical="center"/>
    </xf>
    <xf numFmtId="0" fontId="73" fillId="34" borderId="48" xfId="0" applyFont="1" applyFill="1" applyBorder="1" applyAlignment="1">
      <alignment vertical="center"/>
    </xf>
    <xf numFmtId="0" fontId="73" fillId="34" borderId="60" xfId="0" applyFont="1" applyFill="1" applyBorder="1" applyAlignment="1">
      <alignment vertical="center"/>
    </xf>
    <xf numFmtId="0" fontId="73" fillId="34" borderId="54" xfId="0" applyFont="1" applyFill="1" applyBorder="1" applyAlignment="1">
      <alignment horizontal="center" vertical="center"/>
    </xf>
    <xf numFmtId="169" fontId="67" fillId="0" borderId="86" xfId="899" applyNumberFormat="1" applyFont="1" applyBorder="1" applyAlignment="1">
      <alignment vertical="center"/>
    </xf>
    <xf numFmtId="169" fontId="73" fillId="40" borderId="28" xfId="1490" applyNumberFormat="1" applyFont="1" applyFill="1" applyBorder="1" applyAlignment="1">
      <alignment horizontal="center" vertical="center" wrapText="1"/>
    </xf>
    <xf numFmtId="44" fontId="67" fillId="72" borderId="0" xfId="906" applyNumberFormat="1" applyFont="1" applyFill="1"/>
    <xf numFmtId="169" fontId="70" fillId="37" borderId="0" xfId="1490" applyNumberFormat="1" applyFont="1" applyFill="1" applyAlignment="1">
      <alignment horizontal="center" vertical="center"/>
    </xf>
    <xf numFmtId="169" fontId="70" fillId="70" borderId="0" xfId="1490" applyNumberFormat="1" applyFont="1" applyFill="1" applyAlignment="1">
      <alignment horizontal="center" vertical="center"/>
    </xf>
    <xf numFmtId="169" fontId="82" fillId="70" borderId="0" xfId="1490" applyNumberFormat="1" applyFont="1" applyFill="1" applyAlignment="1">
      <alignment horizontal="center" vertical="center"/>
    </xf>
    <xf numFmtId="2" fontId="67" fillId="0" borderId="51" xfId="0" applyNumberFormat="1" applyFont="1" applyFill="1" applyBorder="1" applyAlignment="1">
      <alignment horizontal="left" vertical="center"/>
    </xf>
    <xf numFmtId="9" fontId="70" fillId="40" borderId="86" xfId="43" applyNumberFormat="1" applyFont="1" applyFill="1" applyBorder="1" applyAlignment="1">
      <alignment horizontal="center"/>
    </xf>
    <xf numFmtId="1" fontId="67" fillId="34" borderId="60" xfId="0" applyNumberFormat="1" applyFont="1" applyFill="1" applyBorder="1" applyAlignment="1">
      <alignment horizontal="left" vertical="center"/>
    </xf>
    <xf numFmtId="1" fontId="67" fillId="34" borderId="49" xfId="0" applyNumberFormat="1" applyFont="1" applyFill="1" applyBorder="1" applyAlignment="1">
      <alignment horizontal="left" vertical="center"/>
    </xf>
    <xf numFmtId="168" fontId="65" fillId="34" borderId="48" xfId="0" applyNumberFormat="1" applyFont="1" applyFill="1" applyBorder="1" applyAlignment="1">
      <alignment horizontal="left" vertical="center"/>
    </xf>
    <xf numFmtId="0" fontId="68" fillId="73" borderId="0" xfId="43" applyFont="1" applyFill="1" applyBorder="1" applyAlignment="1">
      <alignment horizontal="center" vertical="center" wrapText="1"/>
    </xf>
    <xf numFmtId="0" fontId="0" fillId="0" borderId="0" xfId="0"/>
    <xf numFmtId="0" fontId="14" fillId="0" borderId="0" xfId="0" applyFont="1"/>
    <xf numFmtId="0" fontId="0" fillId="0" borderId="0" xfId="0" applyFont="1"/>
    <xf numFmtId="0" fontId="90" fillId="0" borderId="0" xfId="0" applyFont="1"/>
    <xf numFmtId="0" fontId="16" fillId="0" borderId="0" xfId="0" applyFont="1"/>
    <xf numFmtId="0" fontId="70" fillId="70" borderId="0" xfId="43" applyFont="1" applyFill="1"/>
    <xf numFmtId="0" fontId="73" fillId="0" borderId="28" xfId="43" applyFont="1" applyFill="1" applyBorder="1" applyAlignment="1">
      <alignment horizontal="center" vertical="center" wrapText="1"/>
    </xf>
    <xf numFmtId="165" fontId="67" fillId="72" borderId="0" xfId="911" applyNumberFormat="1" applyFont="1" applyFill="1"/>
    <xf numFmtId="8" fontId="67" fillId="72" borderId="0" xfId="911" applyNumberFormat="1" applyFont="1" applyFill="1"/>
    <xf numFmtId="1" fontId="16" fillId="0" borderId="0" xfId="0" applyNumberFormat="1" applyFont="1"/>
    <xf numFmtId="1" fontId="0" fillId="0" borderId="0" xfId="0" applyNumberFormat="1"/>
    <xf numFmtId="1" fontId="14" fillId="0" borderId="0" xfId="0" applyNumberFormat="1" applyFont="1"/>
    <xf numFmtId="1" fontId="0" fillId="0" borderId="0" xfId="0" applyNumberFormat="1" applyFont="1"/>
    <xf numFmtId="1" fontId="0" fillId="0" borderId="0" xfId="1490" applyNumberFormat="1" applyFont="1"/>
    <xf numFmtId="1" fontId="90" fillId="0" borderId="0" xfId="0" applyNumberFormat="1" applyFont="1"/>
    <xf numFmtId="168" fontId="16" fillId="0" borderId="0" xfId="0" applyNumberFormat="1" applyFont="1"/>
    <xf numFmtId="168" fontId="0" fillId="0" borderId="0" xfId="0" applyNumberFormat="1"/>
    <xf numFmtId="168" fontId="14" fillId="0" borderId="0" xfId="0" applyNumberFormat="1" applyFont="1"/>
    <xf numFmtId="168" fontId="0" fillId="0" borderId="0" xfId="0" applyNumberFormat="1" applyFont="1"/>
    <xf numFmtId="168" fontId="90" fillId="0" borderId="0" xfId="0" applyNumberFormat="1" applyFont="1"/>
    <xf numFmtId="3" fontId="16" fillId="0" borderId="0" xfId="0" applyNumberFormat="1" applyFont="1"/>
    <xf numFmtId="3" fontId="0" fillId="0" borderId="0" xfId="0" applyNumberFormat="1"/>
    <xf numFmtId="170" fontId="0" fillId="0" borderId="0" xfId="1491" applyNumberFormat="1" applyFont="1"/>
    <xf numFmtId="170" fontId="0" fillId="0" borderId="0" xfId="0" applyNumberFormat="1"/>
    <xf numFmtId="8" fontId="0" fillId="0" borderId="0" xfId="0" applyNumberFormat="1"/>
    <xf numFmtId="171" fontId="67" fillId="76" borderId="0" xfId="0" quotePrefix="1" applyNumberFormat="1" applyFont="1" applyFill="1" applyAlignment="1">
      <alignment vertical="center" wrapText="1"/>
    </xf>
    <xf numFmtId="175" fontId="67" fillId="72" borderId="0" xfId="906" applyNumberFormat="1" applyFont="1" applyFill="1"/>
    <xf numFmtId="0" fontId="0" fillId="0" borderId="0" xfId="0" applyAlignment="1">
      <alignment wrapText="1"/>
    </xf>
    <xf numFmtId="171" fontId="0" fillId="0" borderId="0" xfId="0" applyNumberFormat="1"/>
    <xf numFmtId="9" fontId="0" fillId="0" borderId="0" xfId="1491" applyFont="1"/>
    <xf numFmtId="0" fontId="0" fillId="0" borderId="0" xfId="0" applyAlignment="1"/>
    <xf numFmtId="0" fontId="0" fillId="0" borderId="0" xfId="0" applyAlignment="1">
      <alignment horizontal="center" wrapText="1"/>
    </xf>
    <xf numFmtId="165" fontId="67" fillId="81" borderId="0" xfId="911" applyNumberFormat="1" applyFont="1" applyFill="1"/>
    <xf numFmtId="0" fontId="67" fillId="81" borderId="0" xfId="911" applyFont="1" applyFill="1"/>
    <xf numFmtId="0" fontId="70" fillId="40" borderId="0" xfId="42" applyFont="1" applyFill="1" applyBorder="1" applyAlignment="1">
      <alignment horizontal="left" vertical="top" wrapText="1"/>
    </xf>
    <xf numFmtId="0" fontId="70" fillId="40" borderId="10" xfId="42" applyFont="1" applyFill="1" applyBorder="1" applyAlignment="1">
      <alignment horizontal="left" vertical="top" wrapText="1"/>
    </xf>
    <xf numFmtId="0" fontId="70" fillId="40" borderId="0" xfId="42" applyFont="1" applyFill="1" applyAlignment="1">
      <alignment horizontal="left" vertical="top" wrapText="1"/>
    </xf>
    <xf numFmtId="0" fontId="68" fillId="69" borderId="0" xfId="43" applyFont="1" applyFill="1" applyBorder="1" applyAlignment="1">
      <alignment horizontal="center" vertical="center"/>
    </xf>
    <xf numFmtId="0" fontId="68" fillId="69" borderId="0" xfId="43" applyFont="1" applyFill="1" applyBorder="1" applyAlignment="1">
      <alignment horizontal="center" vertical="center" wrapText="1"/>
    </xf>
    <xf numFmtId="0" fontId="68" fillId="71" borderId="26" xfId="43" applyFont="1" applyFill="1" applyBorder="1" applyAlignment="1">
      <alignment horizontal="center"/>
    </xf>
    <xf numFmtId="0" fontId="68" fillId="71" borderId="10" xfId="43" applyFont="1" applyFill="1" applyBorder="1" applyAlignment="1">
      <alignment horizontal="center"/>
    </xf>
    <xf numFmtId="9" fontId="74" fillId="40" borderId="26" xfId="1391" applyFont="1" applyFill="1" applyBorder="1" applyAlignment="1">
      <alignment horizontal="center" vertical="center" wrapText="1"/>
    </xf>
    <xf numFmtId="0" fontId="74" fillId="0" borderId="26" xfId="43" applyFont="1" applyFill="1" applyBorder="1" applyAlignment="1">
      <alignment horizontal="center" vertical="center"/>
    </xf>
    <xf numFmtId="0" fontId="74" fillId="40" borderId="26" xfId="43" applyFont="1" applyFill="1" applyBorder="1" applyAlignment="1">
      <alignment horizontal="center" vertical="center"/>
    </xf>
    <xf numFmtId="0" fontId="73" fillId="40" borderId="28" xfId="43" applyFont="1" applyFill="1" applyBorder="1" applyAlignment="1">
      <alignment horizontal="center" vertical="center" wrapText="1"/>
    </xf>
    <xf numFmtId="0" fontId="73" fillId="40" borderId="32" xfId="43" applyFont="1" applyFill="1" applyBorder="1" applyAlignment="1">
      <alignment horizontal="center" vertical="center" wrapText="1"/>
    </xf>
    <xf numFmtId="0" fontId="73" fillId="40" borderId="35" xfId="43" applyFont="1" applyFill="1" applyBorder="1" applyAlignment="1">
      <alignment horizontal="center" vertical="center" wrapText="1"/>
    </xf>
    <xf numFmtId="0" fontId="73" fillId="40" borderId="30" xfId="43" applyFont="1" applyFill="1" applyBorder="1" applyAlignment="1">
      <alignment horizontal="center" vertical="center" wrapText="1"/>
    </xf>
    <xf numFmtId="0" fontId="73" fillId="40" borderId="31" xfId="43" applyFont="1" applyFill="1" applyBorder="1" applyAlignment="1">
      <alignment horizontal="center" vertical="center" wrapText="1"/>
    </xf>
    <xf numFmtId="0" fontId="73" fillId="40" borderId="33" xfId="43" applyFont="1" applyFill="1" applyBorder="1" applyAlignment="1">
      <alignment horizontal="center" vertical="center" wrapText="1"/>
    </xf>
    <xf numFmtId="0" fontId="73" fillId="40" borderId="34" xfId="43" applyFont="1" applyFill="1" applyBorder="1" applyAlignment="1">
      <alignment horizontal="center" vertical="center" wrapText="1"/>
    </xf>
    <xf numFmtId="0" fontId="73" fillId="40" borderId="26" xfId="43" applyFont="1" applyFill="1" applyBorder="1" applyAlignment="1">
      <alignment horizontal="center" vertical="center" wrapText="1"/>
    </xf>
    <xf numFmtId="165" fontId="73" fillId="40" borderId="26" xfId="43" applyNumberFormat="1" applyFont="1" applyFill="1" applyBorder="1" applyAlignment="1">
      <alignment horizontal="center" vertical="center" wrapText="1"/>
    </xf>
    <xf numFmtId="0" fontId="70" fillId="70" borderId="0" xfId="43" applyFont="1" applyFill="1" applyAlignment="1">
      <alignment horizontal="left" vertical="top" wrapText="1"/>
    </xf>
    <xf numFmtId="0" fontId="67" fillId="40" borderId="76" xfId="0" applyFont="1" applyFill="1" applyBorder="1" applyAlignment="1">
      <alignment horizontal="center" vertical="center" textRotation="90" wrapText="1"/>
    </xf>
    <xf numFmtId="0" fontId="67" fillId="40" borderId="81" xfId="0" applyFont="1" applyFill="1" applyBorder="1" applyAlignment="1">
      <alignment horizontal="center" vertical="center" textRotation="90" wrapText="1"/>
    </xf>
    <xf numFmtId="0" fontId="67" fillId="40" borderId="77" xfId="0" applyFont="1" applyFill="1" applyBorder="1" applyAlignment="1">
      <alignment horizontal="center" vertical="center" textRotation="90" wrapText="1"/>
    </xf>
    <xf numFmtId="0" fontId="65" fillId="40" borderId="33" xfId="906" applyFont="1" applyFill="1" applyBorder="1" applyAlignment="1">
      <alignment horizontal="center" vertical="center" wrapText="1"/>
    </xf>
    <xf numFmtId="0" fontId="65" fillId="40" borderId="34" xfId="906" applyFont="1" applyFill="1" applyBorder="1" applyAlignment="1">
      <alignment horizontal="center" vertical="center" wrapText="1"/>
    </xf>
    <xf numFmtId="0" fontId="68" fillId="73" borderId="0" xfId="43" applyFont="1" applyFill="1" applyBorder="1" applyAlignment="1">
      <alignment horizontal="center" vertical="center" wrapText="1"/>
    </xf>
    <xf numFmtId="0" fontId="65" fillId="40" borderId="10" xfId="906" applyFont="1" applyFill="1" applyBorder="1" applyAlignment="1">
      <alignment horizontal="center" vertical="center" wrapText="1"/>
    </xf>
    <xf numFmtId="0" fontId="68" fillId="69" borderId="0" xfId="43" applyFont="1" applyFill="1" applyBorder="1" applyAlignment="1">
      <alignment horizontal="center"/>
    </xf>
    <xf numFmtId="0" fontId="68" fillId="73" borderId="10" xfId="43" applyFont="1" applyFill="1" applyBorder="1" applyAlignment="1">
      <alignment horizontal="center" vertical="center" wrapText="1"/>
    </xf>
    <xf numFmtId="0" fontId="65" fillId="40" borderId="27" xfId="906" applyFont="1" applyFill="1" applyBorder="1" applyAlignment="1">
      <alignment horizontal="center" vertical="center" wrapText="1"/>
    </xf>
    <xf numFmtId="0" fontId="65" fillId="40" borderId="29" xfId="906" applyFont="1" applyFill="1" applyBorder="1" applyAlignment="1">
      <alignment horizontal="center" vertical="center" wrapText="1"/>
    </xf>
    <xf numFmtId="0" fontId="68" fillId="69" borderId="0" xfId="0" applyFont="1" applyFill="1" applyAlignment="1">
      <alignment horizontal="center"/>
    </xf>
    <xf numFmtId="0" fontId="68" fillId="74" borderId="0" xfId="43" applyFont="1" applyFill="1" applyBorder="1" applyAlignment="1">
      <alignment horizontal="center" vertical="center" wrapText="1"/>
    </xf>
    <xf numFmtId="0" fontId="68" fillId="74" borderId="10" xfId="43" applyFont="1" applyFill="1" applyBorder="1" applyAlignment="1">
      <alignment horizontal="center" vertical="center" wrapText="1"/>
    </xf>
    <xf numFmtId="10" fontId="65" fillId="40" borderId="27" xfId="906" applyNumberFormat="1" applyFont="1" applyFill="1" applyBorder="1" applyAlignment="1">
      <alignment horizontal="center" vertical="center" wrapText="1"/>
    </xf>
    <xf numFmtId="10" fontId="65" fillId="40" borderId="11" xfId="906" applyNumberFormat="1" applyFont="1" applyFill="1" applyBorder="1" applyAlignment="1">
      <alignment horizontal="center" vertical="center" wrapText="1"/>
    </xf>
    <xf numFmtId="0" fontId="65" fillId="40" borderId="11" xfId="906" applyFont="1" applyFill="1" applyBorder="1" applyAlignment="1">
      <alignment horizontal="center" vertical="center" wrapText="1"/>
    </xf>
    <xf numFmtId="10" fontId="65" fillId="40" borderId="87" xfId="906" applyNumberFormat="1" applyFont="1" applyFill="1" applyBorder="1" applyAlignment="1">
      <alignment horizontal="center" vertical="center" wrapText="1"/>
    </xf>
    <xf numFmtId="10" fontId="65" fillId="40" borderId="88" xfId="906" applyNumberFormat="1" applyFont="1" applyFill="1" applyBorder="1" applyAlignment="1">
      <alignment horizontal="center" vertical="center" wrapText="1"/>
    </xf>
    <xf numFmtId="0" fontId="65" fillId="40" borderId="88" xfId="906" applyFont="1" applyFill="1" applyBorder="1" applyAlignment="1">
      <alignment horizontal="center" vertical="center" wrapText="1"/>
    </xf>
    <xf numFmtId="0" fontId="65" fillId="40" borderId="89" xfId="906" applyFont="1" applyFill="1" applyBorder="1" applyAlignment="1">
      <alignment horizontal="center" vertical="center" wrapText="1"/>
    </xf>
    <xf numFmtId="0" fontId="65" fillId="40" borderId="87" xfId="906" applyFont="1" applyFill="1" applyBorder="1" applyAlignment="1">
      <alignment horizontal="center" vertical="center" wrapText="1"/>
    </xf>
    <xf numFmtId="2" fontId="67" fillId="40" borderId="56" xfId="0" applyNumberFormat="1" applyFont="1" applyFill="1" applyBorder="1" applyAlignment="1">
      <alignment horizontal="center" vertical="center" wrapText="1"/>
    </xf>
    <xf numFmtId="2" fontId="67" fillId="40" borderId="58" xfId="0" applyNumberFormat="1" applyFont="1" applyFill="1" applyBorder="1" applyAlignment="1">
      <alignment horizontal="center" vertical="center" wrapText="1"/>
    </xf>
    <xf numFmtId="2" fontId="67" fillId="40" borderId="55" xfId="0" applyNumberFormat="1" applyFont="1" applyFill="1" applyBorder="1" applyAlignment="1">
      <alignment horizontal="center" vertical="center" wrapText="1"/>
    </xf>
    <xf numFmtId="0" fontId="67" fillId="0" borderId="0" xfId="0" applyFont="1" applyFill="1" applyAlignment="1">
      <alignment horizontal="left" vertical="top" wrapText="1"/>
    </xf>
    <xf numFmtId="0" fontId="73" fillId="34" borderId="48" xfId="0" applyFont="1" applyFill="1" applyBorder="1" applyAlignment="1">
      <alignment horizontal="center" vertical="center"/>
    </xf>
    <xf numFmtId="0" fontId="73" fillId="34" borderId="60" xfId="0" applyFont="1" applyFill="1" applyBorder="1" applyAlignment="1">
      <alignment horizontal="center" vertical="center"/>
    </xf>
    <xf numFmtId="0" fontId="73" fillId="34" borderId="49" xfId="0" applyFont="1" applyFill="1" applyBorder="1" applyAlignment="1">
      <alignment horizontal="center" vertical="center"/>
    </xf>
    <xf numFmtId="2" fontId="67" fillId="40" borderId="39" xfId="0" applyNumberFormat="1" applyFont="1" applyFill="1" applyBorder="1" applyAlignment="1">
      <alignment horizontal="left" vertical="top" wrapText="1" indent="1"/>
    </xf>
    <xf numFmtId="2" fontId="67" fillId="40" borderId="0" xfId="0" applyNumberFormat="1" applyFont="1" applyFill="1" applyBorder="1" applyAlignment="1">
      <alignment horizontal="left" vertical="top" wrapText="1" indent="1"/>
    </xf>
    <xf numFmtId="2" fontId="67" fillId="40" borderId="40" xfId="0" applyNumberFormat="1" applyFont="1" applyFill="1" applyBorder="1" applyAlignment="1">
      <alignment horizontal="left" vertical="top" wrapText="1" indent="1"/>
    </xf>
    <xf numFmtId="2" fontId="67" fillId="40" borderId="41" xfId="0" applyNumberFormat="1" applyFont="1" applyFill="1" applyBorder="1" applyAlignment="1">
      <alignment horizontal="left" vertical="top" wrapText="1" indent="1"/>
    </xf>
    <xf numFmtId="2" fontId="67" fillId="40" borderId="42" xfId="0" applyNumberFormat="1" applyFont="1" applyFill="1" applyBorder="1" applyAlignment="1">
      <alignment horizontal="left" vertical="top" wrapText="1" indent="1"/>
    </xf>
    <xf numFmtId="2" fontId="67" fillId="40" borderId="43" xfId="0" applyNumberFormat="1" applyFont="1" applyFill="1" applyBorder="1" applyAlignment="1">
      <alignment horizontal="left" vertical="top" wrapText="1" indent="1"/>
    </xf>
    <xf numFmtId="0" fontId="65" fillId="34" borderId="36" xfId="0" applyFont="1" applyFill="1" applyBorder="1" applyAlignment="1">
      <alignment horizontal="center" vertical="center"/>
    </xf>
    <xf numFmtId="0" fontId="65" fillId="34" borderId="37" xfId="0" applyFont="1" applyFill="1" applyBorder="1" applyAlignment="1">
      <alignment horizontal="center" vertical="center"/>
    </xf>
    <xf numFmtId="0" fontId="65" fillId="34" borderId="38" xfId="0" applyFont="1" applyFill="1" applyBorder="1" applyAlignment="1">
      <alignment horizontal="center" vertical="center"/>
    </xf>
    <xf numFmtId="0" fontId="65" fillId="34" borderId="48" xfId="0" applyFont="1" applyFill="1" applyBorder="1" applyAlignment="1">
      <alignment horizontal="center" vertical="center"/>
    </xf>
    <xf numFmtId="0" fontId="65" fillId="34" borderId="60" xfId="0" applyFont="1" applyFill="1" applyBorder="1" applyAlignment="1">
      <alignment horizontal="center" vertical="center"/>
    </xf>
    <xf numFmtId="0" fontId="65" fillId="34" borderId="49" xfId="0" applyFont="1" applyFill="1" applyBorder="1" applyAlignment="1">
      <alignment horizontal="center" vertical="center"/>
    </xf>
    <xf numFmtId="0" fontId="73" fillId="34" borderId="76" xfId="0" applyFont="1" applyFill="1" applyBorder="1" applyAlignment="1">
      <alignment horizontal="center" vertical="center" wrapText="1"/>
    </xf>
    <xf numFmtId="0" fontId="73" fillId="34" borderId="77" xfId="0" applyFont="1" applyFill="1" applyBorder="1" applyAlignment="1">
      <alignment horizontal="center" vertical="center" wrapText="1"/>
    </xf>
    <xf numFmtId="0" fontId="70" fillId="0" borderId="0" xfId="43" applyFont="1" applyFill="1" applyAlignment="1">
      <alignment horizontal="left" vertical="top" wrapText="1"/>
    </xf>
    <xf numFmtId="0" fontId="68" fillId="37" borderId="0" xfId="43" applyFont="1" applyFill="1" applyAlignment="1">
      <alignment horizontal="left"/>
    </xf>
    <xf numFmtId="169" fontId="67" fillId="0" borderId="26" xfId="899" applyNumberFormat="1" applyFont="1" applyBorder="1" applyAlignment="1">
      <alignment horizontal="center" vertical="center"/>
    </xf>
    <xf numFmtId="0" fontId="67" fillId="33" borderId="0" xfId="899" applyFont="1" applyFill="1" applyBorder="1" applyAlignment="1">
      <alignment horizontal="center"/>
    </xf>
    <xf numFmtId="0" fontId="67" fillId="33" borderId="0" xfId="899" applyFont="1" applyFill="1" applyAlignment="1">
      <alignment horizontal="center"/>
    </xf>
    <xf numFmtId="0" fontId="68" fillId="69" borderId="30" xfId="43" applyFont="1" applyFill="1" applyBorder="1" applyAlignment="1">
      <alignment horizontal="center" vertical="center"/>
    </xf>
    <xf numFmtId="0" fontId="68" fillId="69" borderId="46" xfId="43" applyFont="1" applyFill="1" applyBorder="1" applyAlignment="1">
      <alignment horizontal="center" vertical="center"/>
    </xf>
    <xf numFmtId="0" fontId="68" fillId="69" borderId="31" xfId="43" applyFont="1" applyFill="1" applyBorder="1" applyAlignment="1">
      <alignment horizontal="center" vertical="center"/>
    </xf>
    <xf numFmtId="0" fontId="68" fillId="73" borderId="45" xfId="43" applyFont="1" applyFill="1" applyBorder="1" applyAlignment="1">
      <alignment horizontal="center" vertical="center"/>
    </xf>
    <xf numFmtId="0" fontId="68" fillId="73" borderId="0" xfId="43" applyFont="1" applyFill="1" applyBorder="1" applyAlignment="1">
      <alignment horizontal="center" vertical="center"/>
    </xf>
    <xf numFmtId="0" fontId="67" fillId="33" borderId="11" xfId="899" applyFont="1" applyFill="1" applyBorder="1" applyAlignment="1">
      <alignment horizontal="center"/>
    </xf>
    <xf numFmtId="0" fontId="68" fillId="69" borderId="87" xfId="43" applyFont="1" applyFill="1" applyBorder="1" applyAlignment="1">
      <alignment horizontal="center" vertical="center"/>
    </xf>
    <xf numFmtId="0" fontId="68" fillId="69" borderId="88" xfId="43" applyFont="1" applyFill="1" applyBorder="1" applyAlignment="1">
      <alignment horizontal="center" vertical="center"/>
    </xf>
    <xf numFmtId="0" fontId="68" fillId="69" borderId="89" xfId="43" applyFont="1" applyFill="1" applyBorder="1" applyAlignment="1">
      <alignment horizontal="center" vertical="center"/>
    </xf>
    <xf numFmtId="0" fontId="68" fillId="74" borderId="87" xfId="899" applyNumberFormat="1" applyFont="1" applyFill="1" applyBorder="1" applyAlignment="1">
      <alignment horizontal="center" vertical="center" wrapText="1"/>
    </xf>
    <xf numFmtId="0" fontId="68" fillId="74" borderId="88" xfId="899" applyNumberFormat="1" applyFont="1" applyFill="1" applyBorder="1" applyAlignment="1">
      <alignment horizontal="center" vertical="center" wrapText="1"/>
    </xf>
    <xf numFmtId="0" fontId="68" fillId="74" borderId="89" xfId="899" applyNumberFormat="1" applyFont="1" applyFill="1" applyBorder="1" applyAlignment="1">
      <alignment horizontal="center" vertical="center" wrapText="1"/>
    </xf>
    <xf numFmtId="0" fontId="68" fillId="73" borderId="44" xfId="43" applyFont="1" applyFill="1" applyBorder="1" applyAlignment="1">
      <alignment horizontal="center" vertical="center"/>
    </xf>
    <xf numFmtId="169" fontId="67" fillId="0" borderId="87" xfId="899" applyNumberFormat="1" applyFont="1" applyBorder="1" applyAlignment="1">
      <alignment horizontal="center" vertical="center"/>
    </xf>
    <xf numFmtId="169" fontId="67" fillId="0" borderId="89" xfId="899" applyNumberFormat="1" applyFont="1" applyBorder="1" applyAlignment="1">
      <alignment horizontal="center" vertical="center"/>
    </xf>
    <xf numFmtId="0" fontId="68" fillId="69" borderId="10" xfId="43" applyFont="1" applyFill="1" applyBorder="1" applyAlignment="1">
      <alignment horizontal="center" vertical="center"/>
    </xf>
    <xf numFmtId="0" fontId="19" fillId="73" borderId="87" xfId="0" applyFont="1" applyFill="1" applyBorder="1" applyAlignment="1">
      <alignment horizontal="center" vertical="center"/>
    </xf>
    <xf numFmtId="0" fontId="19" fillId="73" borderId="88" xfId="0" applyFont="1" applyFill="1" applyBorder="1" applyAlignment="1">
      <alignment horizontal="center" vertical="center"/>
    </xf>
    <xf numFmtId="0" fontId="19" fillId="73" borderId="89" xfId="0" applyFont="1" applyFill="1" applyBorder="1" applyAlignment="1">
      <alignment horizontal="center" vertical="center"/>
    </xf>
    <xf numFmtId="0" fontId="67" fillId="40" borderId="87" xfId="938" applyFont="1" applyFill="1" applyBorder="1" applyAlignment="1">
      <alignment horizontal="center"/>
    </xf>
    <xf numFmtId="0" fontId="67" fillId="40" borderId="88" xfId="938" applyFont="1" applyFill="1" applyBorder="1" applyAlignment="1">
      <alignment horizontal="center"/>
    </xf>
    <xf numFmtId="0" fontId="67" fillId="40" borderId="89" xfId="938" applyFont="1" applyFill="1" applyBorder="1" applyAlignment="1">
      <alignment horizontal="center"/>
    </xf>
    <xf numFmtId="0" fontId="67" fillId="40" borderId="0" xfId="938" applyFont="1" applyFill="1" applyAlignment="1">
      <alignment horizontal="left" vertical="top" wrapText="1"/>
    </xf>
    <xf numFmtId="0" fontId="70" fillId="40" borderId="0" xfId="43" applyFont="1" applyFill="1" applyAlignment="1">
      <alignment vertical="top" wrapText="1"/>
    </xf>
    <xf numFmtId="0" fontId="68" fillId="69" borderId="0" xfId="911" applyFont="1" applyFill="1" applyBorder="1" applyAlignment="1">
      <alignment horizontal="center"/>
    </xf>
    <xf numFmtId="0" fontId="67" fillId="40" borderId="0" xfId="911" applyFont="1" applyFill="1" applyAlignment="1">
      <alignment horizontal="left" vertical="top" wrapText="1"/>
    </xf>
    <xf numFmtId="0" fontId="67" fillId="40" borderId="0" xfId="43" applyFont="1" applyFill="1" applyBorder="1" applyAlignment="1">
      <alignment horizontal="left"/>
    </xf>
    <xf numFmtId="0" fontId="68" fillId="73" borderId="46" xfId="43" applyFont="1" applyFill="1" applyBorder="1" applyAlignment="1">
      <alignment horizontal="center" vertical="center" wrapText="1"/>
    </xf>
    <xf numFmtId="0" fontId="92" fillId="72" borderId="0" xfId="911" applyFont="1" applyFill="1" applyAlignment="1">
      <alignment vertical="top" wrapText="1"/>
    </xf>
    <xf numFmtId="0" fontId="68" fillId="69" borderId="10" xfId="911" applyFont="1" applyFill="1" applyBorder="1" applyAlignment="1">
      <alignment horizontal="center"/>
    </xf>
    <xf numFmtId="0" fontId="0" fillId="0" borderId="0" xfId="0" applyAlignment="1">
      <alignment horizontal="center"/>
    </xf>
    <xf numFmtId="10" fontId="68" fillId="69" borderId="0" xfId="43" applyNumberFormat="1" applyFont="1" applyFill="1" applyBorder="1" applyAlignment="1">
      <alignment horizontal="center" vertical="center" wrapText="1"/>
    </xf>
    <xf numFmtId="0" fontId="70" fillId="40" borderId="0" xfId="43" applyFont="1" applyFill="1" applyAlignment="1">
      <alignment horizontal="left" wrapText="1"/>
    </xf>
    <xf numFmtId="0" fontId="19" fillId="37" borderId="0" xfId="43" applyFont="1" applyFill="1" applyAlignment="1">
      <alignment horizontal="left"/>
    </xf>
    <xf numFmtId="0" fontId="62" fillId="0" borderId="0" xfId="43" applyFont="1" applyFill="1" applyAlignment="1">
      <alignment horizontal="left" wrapText="1"/>
    </xf>
    <xf numFmtId="0" fontId="68" fillId="37" borderId="0" xfId="43" applyFont="1" applyFill="1" applyAlignment="1">
      <alignment horizontal="left" vertical="top"/>
    </xf>
    <xf numFmtId="0" fontId="67" fillId="40" borderId="0" xfId="909" applyFont="1" applyFill="1" applyAlignment="1">
      <alignment horizontal="left" vertical="top" wrapText="1"/>
    </xf>
    <xf numFmtId="0" fontId="68" fillId="73" borderId="10" xfId="43" applyFont="1" applyFill="1" applyBorder="1" applyAlignment="1">
      <alignment horizontal="center"/>
    </xf>
    <xf numFmtId="0" fontId="65" fillId="40" borderId="28" xfId="43" applyFont="1" applyFill="1" applyBorder="1" applyAlignment="1">
      <alignment horizontal="center" vertical="center"/>
    </xf>
    <xf numFmtId="0" fontId="65" fillId="40" borderId="35" xfId="43" applyFont="1" applyFill="1" applyBorder="1" applyAlignment="1">
      <alignment horizontal="center" vertical="center"/>
    </xf>
    <xf numFmtId="0" fontId="65" fillId="40" borderId="30" xfId="43" applyFont="1" applyFill="1" applyBorder="1" applyAlignment="1">
      <alignment horizontal="center" vertical="center"/>
    </xf>
    <xf numFmtId="0" fontId="65" fillId="40" borderId="46" xfId="43" applyFont="1" applyFill="1" applyBorder="1" applyAlignment="1">
      <alignment horizontal="center" vertical="center"/>
    </xf>
    <xf numFmtId="0" fontId="65" fillId="40" borderId="31" xfId="43" applyFont="1" applyFill="1" applyBorder="1" applyAlignment="1">
      <alignment horizontal="center" vertical="center"/>
    </xf>
    <xf numFmtId="0" fontId="65" fillId="40" borderId="33" xfId="43" applyFont="1" applyFill="1" applyBorder="1" applyAlignment="1">
      <alignment horizontal="center" vertical="center"/>
    </xf>
    <xf numFmtId="0" fontId="65" fillId="40" borderId="10" xfId="43" applyFont="1" applyFill="1" applyBorder="1" applyAlignment="1">
      <alignment horizontal="center" vertical="center"/>
    </xf>
    <xf numFmtId="0" fontId="65" fillId="40" borderId="34" xfId="43" applyFont="1" applyFill="1" applyBorder="1" applyAlignment="1">
      <alignment horizontal="center" vertical="center"/>
    </xf>
    <xf numFmtId="0" fontId="65" fillId="40" borderId="45" xfId="43" applyFont="1" applyFill="1" applyBorder="1" applyAlignment="1">
      <alignment horizontal="center" vertical="center"/>
    </xf>
    <xf numFmtId="0" fontId="65" fillId="40" borderId="0" xfId="43" applyFont="1" applyFill="1" applyBorder="1" applyAlignment="1">
      <alignment horizontal="center" vertical="center"/>
    </xf>
    <xf numFmtId="0" fontId="65" fillId="40" borderId="44" xfId="43" applyFont="1" applyFill="1" applyBorder="1" applyAlignment="1">
      <alignment horizontal="center" vertical="center"/>
    </xf>
  </cellXfs>
  <cellStyles count="1670">
    <cellStyle name="_x0013_" xfId="44"/>
    <cellStyle name="_x0013_ 10" xfId="45"/>
    <cellStyle name="_x0013_ 100" xfId="46"/>
    <cellStyle name="_x0013_ 101" xfId="47"/>
    <cellStyle name="_x0013_ 102" xfId="48"/>
    <cellStyle name="_x0013_ 103" xfId="49"/>
    <cellStyle name="_x0013_ 104" xfId="50"/>
    <cellStyle name="_x0013_ 105" xfId="51"/>
    <cellStyle name="_x0013_ 106" xfId="52"/>
    <cellStyle name="_x0013_ 107" xfId="53"/>
    <cellStyle name="_x0013_ 108" xfId="54"/>
    <cellStyle name="_x0013_ 109" xfId="55"/>
    <cellStyle name="_x0013_ 11" xfId="56"/>
    <cellStyle name="_x0013_ 110" xfId="57"/>
    <cellStyle name="_x0013_ 110 2" xfId="58"/>
    <cellStyle name="_x0013_ 111" xfId="59"/>
    <cellStyle name="_x0013_ 112" xfId="60"/>
    <cellStyle name="_x0013_ 113" xfId="61"/>
    <cellStyle name="_x0013_ 114" xfId="62"/>
    <cellStyle name="_x0013_ 12" xfId="63"/>
    <cellStyle name="_x0013_ 13" xfId="64"/>
    <cellStyle name="_x0013_ 14" xfId="65"/>
    <cellStyle name="_x0013_ 15" xfId="66"/>
    <cellStyle name="_x0013_ 16" xfId="67"/>
    <cellStyle name="_x0013_ 17" xfId="68"/>
    <cellStyle name="_x0013_ 18" xfId="69"/>
    <cellStyle name="_x0013_ 19" xfId="70"/>
    <cellStyle name="_x0013_ 2" xfId="71"/>
    <cellStyle name="_x0013_ 20" xfId="72"/>
    <cellStyle name="_x0013_ 21" xfId="73"/>
    <cellStyle name="_x0013_ 22" xfId="74"/>
    <cellStyle name="_x0013_ 23" xfId="75"/>
    <cellStyle name="_x0013_ 24" xfId="76"/>
    <cellStyle name="_x0013_ 25" xfId="77"/>
    <cellStyle name="_x0013_ 26" xfId="78"/>
    <cellStyle name="_x0013_ 27" xfId="79"/>
    <cellStyle name="_x0013_ 28" xfId="80"/>
    <cellStyle name="_x0013_ 29" xfId="81"/>
    <cellStyle name="_x0013_ 3" xfId="82"/>
    <cellStyle name="_x0013_ 30" xfId="83"/>
    <cellStyle name="_x0013_ 31" xfId="84"/>
    <cellStyle name="_x0013_ 32" xfId="85"/>
    <cellStyle name="_x0013_ 33" xfId="86"/>
    <cellStyle name="_x0013_ 34" xfId="87"/>
    <cellStyle name="_x0013_ 35" xfId="88"/>
    <cellStyle name="_x0013_ 36" xfId="89"/>
    <cellStyle name="_x0013_ 37" xfId="90"/>
    <cellStyle name="_x0013_ 38" xfId="91"/>
    <cellStyle name="_x0013_ 39" xfId="92"/>
    <cellStyle name="_x0013_ 4" xfId="93"/>
    <cellStyle name="_x0013_ 40" xfId="94"/>
    <cellStyle name="_x0013_ 41" xfId="95"/>
    <cellStyle name="_x0013_ 42" xfId="96"/>
    <cellStyle name="_x0013_ 43" xfId="97"/>
    <cellStyle name="_x0013_ 44" xfId="98"/>
    <cellStyle name="_x0013_ 45" xfId="99"/>
    <cellStyle name="_x0013_ 46" xfId="100"/>
    <cellStyle name="_x0013_ 47" xfId="101"/>
    <cellStyle name="_x0013_ 48" xfId="102"/>
    <cellStyle name="_x0013_ 49" xfId="103"/>
    <cellStyle name="_x0013_ 5" xfId="104"/>
    <cellStyle name="_x0013_ 50" xfId="105"/>
    <cellStyle name="_x0013_ 51" xfId="106"/>
    <cellStyle name="_x0013_ 52" xfId="107"/>
    <cellStyle name="_x0013_ 53" xfId="108"/>
    <cellStyle name="_x0013_ 54" xfId="109"/>
    <cellStyle name="_x0013_ 55" xfId="110"/>
    <cellStyle name="_x0013_ 56" xfId="111"/>
    <cellStyle name="_x0013_ 57" xfId="112"/>
    <cellStyle name="_x0013_ 58" xfId="113"/>
    <cellStyle name="_x0013_ 59" xfId="114"/>
    <cellStyle name="_x0013_ 6" xfId="115"/>
    <cellStyle name="_x0013_ 60" xfId="116"/>
    <cellStyle name="_x0013_ 61" xfId="117"/>
    <cellStyle name="_x0013_ 62" xfId="118"/>
    <cellStyle name="_x0013_ 63" xfId="119"/>
    <cellStyle name="_x0013_ 64" xfId="120"/>
    <cellStyle name="_x0013_ 65" xfId="121"/>
    <cellStyle name="_x0013_ 66" xfId="122"/>
    <cellStyle name="_x0013_ 67" xfId="123"/>
    <cellStyle name="_x0013_ 68" xfId="124"/>
    <cellStyle name="_x0013_ 69" xfId="125"/>
    <cellStyle name="_x0013_ 7" xfId="126"/>
    <cellStyle name="_x0013_ 70" xfId="127"/>
    <cellStyle name="_x0013_ 71" xfId="128"/>
    <cellStyle name="_x0013_ 72" xfId="129"/>
    <cellStyle name="_x0013_ 73" xfId="130"/>
    <cellStyle name="_x0013_ 74" xfId="131"/>
    <cellStyle name="_x0013_ 75" xfId="132"/>
    <cellStyle name="_x0013_ 76" xfId="133"/>
    <cellStyle name="_x0013_ 77" xfId="134"/>
    <cellStyle name="_x0013_ 78" xfId="135"/>
    <cellStyle name="_x0013_ 79" xfId="136"/>
    <cellStyle name="_x0013_ 8" xfId="137"/>
    <cellStyle name="_x0013_ 80" xfId="138"/>
    <cellStyle name="_x0013_ 81" xfId="139"/>
    <cellStyle name="_x0013_ 82" xfId="140"/>
    <cellStyle name="_x0013_ 83" xfId="141"/>
    <cellStyle name="_x0013_ 84" xfId="142"/>
    <cellStyle name="_x0013_ 85" xfId="143"/>
    <cellStyle name="_x0013_ 86" xfId="144"/>
    <cellStyle name="_x0013_ 87" xfId="145"/>
    <cellStyle name="_x0013_ 88" xfId="146"/>
    <cellStyle name="_x0013_ 89" xfId="147"/>
    <cellStyle name="_x0013_ 9" xfId="148"/>
    <cellStyle name="_x0013_ 90" xfId="149"/>
    <cellStyle name="_x0013_ 91" xfId="150"/>
    <cellStyle name="_x0013_ 92" xfId="151"/>
    <cellStyle name="_x0013_ 93" xfId="152"/>
    <cellStyle name="_x0013_ 94" xfId="153"/>
    <cellStyle name="_x0013_ 95" xfId="154"/>
    <cellStyle name="_x0013_ 96" xfId="155"/>
    <cellStyle name="_x0013_ 97" xfId="156"/>
    <cellStyle name="_x0013_ 98" xfId="157"/>
    <cellStyle name="_x0013_ 99" xfId="158"/>
    <cellStyle name="_x0013__BCEPS_Markups_2010.02.02" xfId="159"/>
    <cellStyle name="_x0013__Handoff Document 02-02-2010" xfId="160"/>
    <cellStyle name="_x0013__Handoff Document 02-03-2010" xfId="161"/>
    <cellStyle name="20% - Accent1" xfId="19" builtinId="30" customBuiltin="1"/>
    <cellStyle name="20% - Accent1 10" xfId="162"/>
    <cellStyle name="20% - Accent1 11" xfId="163"/>
    <cellStyle name="20% - Accent1 2" xfId="164"/>
    <cellStyle name="20% - Accent1 2 2" xfId="165"/>
    <cellStyle name="20% - Accent1 2 3" xfId="166"/>
    <cellStyle name="20% - Accent1 2 4" xfId="167"/>
    <cellStyle name="20% - Accent1 2 5" xfId="168"/>
    <cellStyle name="20% - Accent1 2 6" xfId="169"/>
    <cellStyle name="20% - Accent1 2 7" xfId="170"/>
    <cellStyle name="20% - Accent1 2 8" xfId="171"/>
    <cellStyle name="20% - Accent1 2_Handoff Document 3.12.2010_IT_MRJ" xfId="172"/>
    <cellStyle name="20% - Accent1 3" xfId="173"/>
    <cellStyle name="20% - Accent1 3 2" xfId="174"/>
    <cellStyle name="20% - Accent1 3 3" xfId="175"/>
    <cellStyle name="20% - Accent1 3 4" xfId="176"/>
    <cellStyle name="20% - Accent1 3 5" xfId="177"/>
    <cellStyle name="20% - Accent1 3 6" xfId="178"/>
    <cellStyle name="20% - Accent1 3_Handoff Document 3.12.2010_IT_MRJ" xfId="179"/>
    <cellStyle name="20% - Accent1 4" xfId="180"/>
    <cellStyle name="20% - Accent1 4 2" xfId="181"/>
    <cellStyle name="20% - Accent1 4 3" xfId="182"/>
    <cellStyle name="20% - Accent1 4 4" xfId="183"/>
    <cellStyle name="20% - Accent1 4 5" xfId="184"/>
    <cellStyle name="20% - Accent1 4 6" xfId="185"/>
    <cellStyle name="20% - Accent1 4_Handoff Document 3.12.2010_IT_MRJ" xfId="186"/>
    <cellStyle name="20% - Accent1 5" xfId="187"/>
    <cellStyle name="20% - Accent1 5 2" xfId="188"/>
    <cellStyle name="20% - Accent1 5 3" xfId="189"/>
    <cellStyle name="20% - Accent1 5 4" xfId="190"/>
    <cellStyle name="20% - Accent1 5 5" xfId="191"/>
    <cellStyle name="20% - Accent1 5 6" xfId="192"/>
    <cellStyle name="20% - Accent1 5_Handoff Document 3.12.2010_IT_MRJ" xfId="193"/>
    <cellStyle name="20% - Accent1 6" xfId="194"/>
    <cellStyle name="20% - Accent1 7" xfId="195"/>
    <cellStyle name="20% - Accent1 8" xfId="196"/>
    <cellStyle name="20% - Accent1 9" xfId="197"/>
    <cellStyle name="20% - Accent2" xfId="23" builtinId="34" customBuiltin="1"/>
    <cellStyle name="20% - Accent2 10" xfId="198"/>
    <cellStyle name="20% - Accent2 11" xfId="199"/>
    <cellStyle name="20% - Accent2 2" xfId="200"/>
    <cellStyle name="20% - Accent2 2 2" xfId="201"/>
    <cellStyle name="20% - Accent2 2 3" xfId="202"/>
    <cellStyle name="20% - Accent2 2 4" xfId="203"/>
    <cellStyle name="20% - Accent2 2 5" xfId="204"/>
    <cellStyle name="20% - Accent2 2 6" xfId="205"/>
    <cellStyle name="20% - Accent2 2_Handoff Document 3.12.2010_IT_MRJ" xfId="206"/>
    <cellStyle name="20% - Accent2 3" xfId="207"/>
    <cellStyle name="20% - Accent2 3 2" xfId="208"/>
    <cellStyle name="20% - Accent2 3 3" xfId="209"/>
    <cellStyle name="20% - Accent2 3 4" xfId="210"/>
    <cellStyle name="20% - Accent2 3 5" xfId="211"/>
    <cellStyle name="20% - Accent2 3 6" xfId="212"/>
    <cellStyle name="20% - Accent2 3_Handoff Document 3.12.2010_IT_MRJ" xfId="213"/>
    <cellStyle name="20% - Accent2 4" xfId="214"/>
    <cellStyle name="20% - Accent2 4 2" xfId="215"/>
    <cellStyle name="20% - Accent2 4 3" xfId="216"/>
    <cellStyle name="20% - Accent2 4 4" xfId="217"/>
    <cellStyle name="20% - Accent2 4 5" xfId="218"/>
    <cellStyle name="20% - Accent2 4 6" xfId="219"/>
    <cellStyle name="20% - Accent2 4_Handoff Document 3.12.2010_IT_MRJ" xfId="220"/>
    <cellStyle name="20% - Accent2 5" xfId="221"/>
    <cellStyle name="20% - Accent2 5 2" xfId="222"/>
    <cellStyle name="20% - Accent2 5 3" xfId="223"/>
    <cellStyle name="20% - Accent2 5 4" xfId="224"/>
    <cellStyle name="20% - Accent2 5 5" xfId="225"/>
    <cellStyle name="20% - Accent2 5 6" xfId="226"/>
    <cellStyle name="20% - Accent2 5_Handoff Document 3.12.2010_IT_MRJ" xfId="227"/>
    <cellStyle name="20% - Accent2 6" xfId="228"/>
    <cellStyle name="20% - Accent2 7" xfId="229"/>
    <cellStyle name="20% - Accent2 8" xfId="230"/>
    <cellStyle name="20% - Accent2 9" xfId="231"/>
    <cellStyle name="20% - Accent3" xfId="27" builtinId="38" customBuiltin="1"/>
    <cellStyle name="20% - Accent3 10" xfId="232"/>
    <cellStyle name="20% - Accent3 11" xfId="233"/>
    <cellStyle name="20% - Accent3 2" xfId="234"/>
    <cellStyle name="20% - Accent3 2 2" xfId="235"/>
    <cellStyle name="20% - Accent3 2 3" xfId="236"/>
    <cellStyle name="20% - Accent3 2 4" xfId="237"/>
    <cellStyle name="20% - Accent3 2 5" xfId="238"/>
    <cellStyle name="20% - Accent3 2 6" xfId="239"/>
    <cellStyle name="20% - Accent3 2 7" xfId="240"/>
    <cellStyle name="20% - Accent3 2 8" xfId="241"/>
    <cellStyle name="20% - Accent3 2_Handoff Document 3.12.2010_IT_MRJ" xfId="242"/>
    <cellStyle name="20% - Accent3 3" xfId="243"/>
    <cellStyle name="20% - Accent3 3 2" xfId="244"/>
    <cellStyle name="20% - Accent3 3 3" xfId="245"/>
    <cellStyle name="20% - Accent3 3 4" xfId="246"/>
    <cellStyle name="20% - Accent3 3 5" xfId="247"/>
    <cellStyle name="20% - Accent3 3 6" xfId="248"/>
    <cellStyle name="20% - Accent3 3_Handoff Document 3.12.2010_IT_MRJ" xfId="249"/>
    <cellStyle name="20% - Accent3 4" xfId="250"/>
    <cellStyle name="20% - Accent3 4 2" xfId="251"/>
    <cellStyle name="20% - Accent3 4 3" xfId="252"/>
    <cellStyle name="20% - Accent3 4 4" xfId="253"/>
    <cellStyle name="20% - Accent3 4 5" xfId="254"/>
    <cellStyle name="20% - Accent3 4 6" xfId="255"/>
    <cellStyle name="20% - Accent3 4_Handoff Document 3.12.2010_IT_MRJ" xfId="256"/>
    <cellStyle name="20% - Accent3 5" xfId="257"/>
    <cellStyle name="20% - Accent3 5 2" xfId="258"/>
    <cellStyle name="20% - Accent3 5 3" xfId="259"/>
    <cellStyle name="20% - Accent3 5 4" xfId="260"/>
    <cellStyle name="20% - Accent3 5 5" xfId="261"/>
    <cellStyle name="20% - Accent3 5 6" xfId="262"/>
    <cellStyle name="20% - Accent3 5_Handoff Document 3.12.2010_IT_MRJ" xfId="263"/>
    <cellStyle name="20% - Accent3 6" xfId="264"/>
    <cellStyle name="20% - Accent3 7" xfId="265"/>
    <cellStyle name="20% - Accent3 8" xfId="266"/>
    <cellStyle name="20% - Accent3 9" xfId="267"/>
    <cellStyle name="20% - Accent4" xfId="31" builtinId="42" customBuiltin="1"/>
    <cellStyle name="20% - Accent4 10" xfId="268"/>
    <cellStyle name="20% - Accent4 11" xfId="269"/>
    <cellStyle name="20% - Accent4 2" xfId="270"/>
    <cellStyle name="20% - Accent4 2 2" xfId="271"/>
    <cellStyle name="20% - Accent4 2 3" xfId="272"/>
    <cellStyle name="20% - Accent4 2 4" xfId="273"/>
    <cellStyle name="20% - Accent4 2 5" xfId="274"/>
    <cellStyle name="20% - Accent4 2 6" xfId="275"/>
    <cellStyle name="20% - Accent4 2 7" xfId="276"/>
    <cellStyle name="20% - Accent4 2 8" xfId="277"/>
    <cellStyle name="20% - Accent4 2_Handoff Document 3.12.2010_IT_MRJ" xfId="278"/>
    <cellStyle name="20% - Accent4 3" xfId="279"/>
    <cellStyle name="20% - Accent4 3 2" xfId="280"/>
    <cellStyle name="20% - Accent4 3 3" xfId="281"/>
    <cellStyle name="20% - Accent4 3 4" xfId="282"/>
    <cellStyle name="20% - Accent4 3 5" xfId="283"/>
    <cellStyle name="20% - Accent4 3 6" xfId="284"/>
    <cellStyle name="20% - Accent4 3_Handoff Document 3.12.2010_IT_MRJ" xfId="285"/>
    <cellStyle name="20% - Accent4 4" xfId="286"/>
    <cellStyle name="20% - Accent4 4 2" xfId="287"/>
    <cellStyle name="20% - Accent4 4 3" xfId="288"/>
    <cellStyle name="20% - Accent4 4 4" xfId="289"/>
    <cellStyle name="20% - Accent4 4 5" xfId="290"/>
    <cellStyle name="20% - Accent4 4 6" xfId="291"/>
    <cellStyle name="20% - Accent4 4_Handoff Document 3.12.2010_IT_MRJ" xfId="292"/>
    <cellStyle name="20% - Accent4 5" xfId="293"/>
    <cellStyle name="20% - Accent4 5 2" xfId="294"/>
    <cellStyle name="20% - Accent4 5 3" xfId="295"/>
    <cellStyle name="20% - Accent4 5 4" xfId="296"/>
    <cellStyle name="20% - Accent4 5 5" xfId="297"/>
    <cellStyle name="20% - Accent4 5 6" xfId="298"/>
    <cellStyle name="20% - Accent4 5_Handoff Document 3.12.2010_IT_MRJ" xfId="299"/>
    <cellStyle name="20% - Accent4 6" xfId="300"/>
    <cellStyle name="20% - Accent4 7" xfId="301"/>
    <cellStyle name="20% - Accent4 8" xfId="302"/>
    <cellStyle name="20% - Accent4 9" xfId="303"/>
    <cellStyle name="20% - Accent5" xfId="35" builtinId="46" customBuiltin="1"/>
    <cellStyle name="20% - Accent5 10" xfId="304"/>
    <cellStyle name="20% - Accent5 11" xfId="305"/>
    <cellStyle name="20% - Accent5 2" xfId="306"/>
    <cellStyle name="20% - Accent5 2 2" xfId="307"/>
    <cellStyle name="20% - Accent5 2 3" xfId="308"/>
    <cellStyle name="20% - Accent5 2 4" xfId="309"/>
    <cellStyle name="20% - Accent5 2 5" xfId="310"/>
    <cellStyle name="20% - Accent5 2 6" xfId="311"/>
    <cellStyle name="20% - Accent5 2 7" xfId="312"/>
    <cellStyle name="20% - Accent5 2 8" xfId="313"/>
    <cellStyle name="20% - Accent5 2_Handoff Document 3.12.2010_IT_MRJ" xfId="314"/>
    <cellStyle name="20% - Accent5 3" xfId="315"/>
    <cellStyle name="20% - Accent5 3 2" xfId="316"/>
    <cellStyle name="20% - Accent5 3 3" xfId="317"/>
    <cellStyle name="20% - Accent5 3 4" xfId="318"/>
    <cellStyle name="20% - Accent5 3 5" xfId="319"/>
    <cellStyle name="20% - Accent5 3 6" xfId="320"/>
    <cellStyle name="20% - Accent5 3_Handoff Document 3.12.2010_IT_MRJ" xfId="321"/>
    <cellStyle name="20% - Accent5 4" xfId="322"/>
    <cellStyle name="20% - Accent5 4 2" xfId="323"/>
    <cellStyle name="20% - Accent5 4 3" xfId="324"/>
    <cellStyle name="20% - Accent5 4 4" xfId="325"/>
    <cellStyle name="20% - Accent5 4 5" xfId="326"/>
    <cellStyle name="20% - Accent5 4 6" xfId="327"/>
    <cellStyle name="20% - Accent5 4_Handoff Document 3.12.2010_IT_MRJ" xfId="328"/>
    <cellStyle name="20% - Accent5 5" xfId="329"/>
    <cellStyle name="20% - Accent5 5 2" xfId="330"/>
    <cellStyle name="20% - Accent5 5 3" xfId="331"/>
    <cellStyle name="20% - Accent5 5 4" xfId="332"/>
    <cellStyle name="20% - Accent5 5 5" xfId="333"/>
    <cellStyle name="20% - Accent5 5 6" xfId="334"/>
    <cellStyle name="20% - Accent5 5_Handoff Document 3.12.2010_IT_MRJ" xfId="335"/>
    <cellStyle name="20% - Accent5 6" xfId="336"/>
    <cellStyle name="20% - Accent5 7" xfId="337"/>
    <cellStyle name="20% - Accent5 8" xfId="338"/>
    <cellStyle name="20% - Accent5 9" xfId="339"/>
    <cellStyle name="20% - Accent6" xfId="39" builtinId="50" customBuiltin="1"/>
    <cellStyle name="20% - Accent6 10" xfId="340"/>
    <cellStyle name="20% - Accent6 11" xfId="341"/>
    <cellStyle name="20% - Accent6 2" xfId="342"/>
    <cellStyle name="20% - Accent6 2 2" xfId="343"/>
    <cellStyle name="20% - Accent6 2 3" xfId="344"/>
    <cellStyle name="20% - Accent6 2 4" xfId="345"/>
    <cellStyle name="20% - Accent6 2 5" xfId="346"/>
    <cellStyle name="20% - Accent6 2 6" xfId="347"/>
    <cellStyle name="20% - Accent6 2 7" xfId="348"/>
    <cellStyle name="20% - Accent6 2 8" xfId="349"/>
    <cellStyle name="20% - Accent6 2_Handoff Document 3.12.2010_IT_MRJ" xfId="350"/>
    <cellStyle name="20% - Accent6 3" xfId="351"/>
    <cellStyle name="20% - Accent6 3 2" xfId="352"/>
    <cellStyle name="20% - Accent6 3 3" xfId="353"/>
    <cellStyle name="20% - Accent6 3 4" xfId="354"/>
    <cellStyle name="20% - Accent6 3 5" xfId="355"/>
    <cellStyle name="20% - Accent6 3 6" xfId="356"/>
    <cellStyle name="20% - Accent6 3_Handoff Document 3.12.2010_IT_MRJ" xfId="357"/>
    <cellStyle name="20% - Accent6 4" xfId="358"/>
    <cellStyle name="20% - Accent6 4 2" xfId="359"/>
    <cellStyle name="20% - Accent6 4 3" xfId="360"/>
    <cellStyle name="20% - Accent6 4 4" xfId="361"/>
    <cellStyle name="20% - Accent6 4 5" xfId="362"/>
    <cellStyle name="20% - Accent6 4 6" xfId="363"/>
    <cellStyle name="20% - Accent6 4_Handoff Document 3.12.2010_IT_MRJ" xfId="364"/>
    <cellStyle name="20% - Accent6 5" xfId="365"/>
    <cellStyle name="20% - Accent6 5 2" xfId="366"/>
    <cellStyle name="20% - Accent6 5 3" xfId="367"/>
    <cellStyle name="20% - Accent6 5 4" xfId="368"/>
    <cellStyle name="20% - Accent6 5 5" xfId="369"/>
    <cellStyle name="20% - Accent6 5 6" xfId="370"/>
    <cellStyle name="20% - Accent6 5_Handoff Document 3.12.2010_IT_MRJ" xfId="371"/>
    <cellStyle name="20% - Accent6 6" xfId="372"/>
    <cellStyle name="20% - Accent6 7" xfId="373"/>
    <cellStyle name="20% - Accent6 8" xfId="374"/>
    <cellStyle name="20% - Accent6 9" xfId="375"/>
    <cellStyle name="40% - Accent1" xfId="20" builtinId="31" customBuiltin="1"/>
    <cellStyle name="40% - Accent1 10" xfId="376"/>
    <cellStyle name="40% - Accent1 11" xfId="377"/>
    <cellStyle name="40% - Accent1 2" xfId="378"/>
    <cellStyle name="40% - Accent1 2 2" xfId="379"/>
    <cellStyle name="40% - Accent1 2 3" xfId="380"/>
    <cellStyle name="40% - Accent1 2 4" xfId="381"/>
    <cellStyle name="40% - Accent1 2 5" xfId="382"/>
    <cellStyle name="40% - Accent1 2 6" xfId="383"/>
    <cellStyle name="40% - Accent1 2 7" xfId="384"/>
    <cellStyle name="40% - Accent1 2 8" xfId="385"/>
    <cellStyle name="40% - Accent1 2 9" xfId="1494"/>
    <cellStyle name="40% - Accent1 2_Handoff Document 3.12.2010_IT_MRJ" xfId="386"/>
    <cellStyle name="40% - Accent1 3" xfId="387"/>
    <cellStyle name="40% - Accent1 3 2" xfId="388"/>
    <cellStyle name="40% - Accent1 3 3" xfId="389"/>
    <cellStyle name="40% - Accent1 3 4" xfId="390"/>
    <cellStyle name="40% - Accent1 3 5" xfId="391"/>
    <cellStyle name="40% - Accent1 3 6" xfId="392"/>
    <cellStyle name="40% - Accent1 3_Handoff Document 3.12.2010_IT_MRJ" xfId="393"/>
    <cellStyle name="40% - Accent1 4" xfId="394"/>
    <cellStyle name="40% - Accent1 4 2" xfId="395"/>
    <cellStyle name="40% - Accent1 4 3" xfId="396"/>
    <cellStyle name="40% - Accent1 4 4" xfId="397"/>
    <cellStyle name="40% - Accent1 4 5" xfId="398"/>
    <cellStyle name="40% - Accent1 4 6" xfId="399"/>
    <cellStyle name="40% - Accent1 4_Handoff Document 3.12.2010_IT_MRJ" xfId="400"/>
    <cellStyle name="40% - Accent1 5" xfId="401"/>
    <cellStyle name="40% - Accent1 5 2" xfId="402"/>
    <cellStyle name="40% - Accent1 5 3" xfId="403"/>
    <cellStyle name="40% - Accent1 5 4" xfId="404"/>
    <cellStyle name="40% - Accent1 5 5" xfId="405"/>
    <cellStyle name="40% - Accent1 5 6" xfId="406"/>
    <cellStyle name="40% - Accent1 5_Handoff Document 3.12.2010_IT_MRJ" xfId="407"/>
    <cellStyle name="40% - Accent1 6" xfId="408"/>
    <cellStyle name="40% - Accent1 7" xfId="409"/>
    <cellStyle name="40% - Accent1 8" xfId="410"/>
    <cellStyle name="40% - Accent1 9" xfId="411"/>
    <cellStyle name="40% - Accent2" xfId="24" builtinId="35" customBuiltin="1"/>
    <cellStyle name="40% - Accent2 10" xfId="412"/>
    <cellStyle name="40% - Accent2 11" xfId="413"/>
    <cellStyle name="40% - Accent2 2" xfId="414"/>
    <cellStyle name="40% - Accent2 2 2" xfId="415"/>
    <cellStyle name="40% - Accent2 2 3" xfId="416"/>
    <cellStyle name="40% - Accent2 2 4" xfId="417"/>
    <cellStyle name="40% - Accent2 2 5" xfId="418"/>
    <cellStyle name="40% - Accent2 2 6" xfId="419"/>
    <cellStyle name="40% - Accent2 2 7" xfId="420"/>
    <cellStyle name="40% - Accent2 2 8" xfId="421"/>
    <cellStyle name="40% - Accent2 2 9" xfId="1495"/>
    <cellStyle name="40% - Accent2 2_Handoff Document 3.12.2010_IT_MRJ" xfId="422"/>
    <cellStyle name="40% - Accent2 3" xfId="423"/>
    <cellStyle name="40% - Accent2 3 2" xfId="424"/>
    <cellStyle name="40% - Accent2 3 3" xfId="425"/>
    <cellStyle name="40% - Accent2 3 4" xfId="426"/>
    <cellStyle name="40% - Accent2 3 5" xfId="427"/>
    <cellStyle name="40% - Accent2 3 6" xfId="428"/>
    <cellStyle name="40% - Accent2 3_Handoff Document 3.12.2010_IT_MRJ" xfId="429"/>
    <cellStyle name="40% - Accent2 4" xfId="430"/>
    <cellStyle name="40% - Accent2 4 2" xfId="431"/>
    <cellStyle name="40% - Accent2 4 3" xfId="432"/>
    <cellStyle name="40% - Accent2 4 4" xfId="433"/>
    <cellStyle name="40% - Accent2 4 5" xfId="434"/>
    <cellStyle name="40% - Accent2 4 6" xfId="435"/>
    <cellStyle name="40% - Accent2 4_Handoff Document 3.12.2010_IT_MRJ" xfId="436"/>
    <cellStyle name="40% - Accent2 5" xfId="437"/>
    <cellStyle name="40% - Accent2 5 2" xfId="438"/>
    <cellStyle name="40% - Accent2 5 3" xfId="439"/>
    <cellStyle name="40% - Accent2 5 4" xfId="440"/>
    <cellStyle name="40% - Accent2 5 5" xfId="441"/>
    <cellStyle name="40% - Accent2 5 6" xfId="442"/>
    <cellStyle name="40% - Accent2 5_Handoff Document 3.12.2010_IT_MRJ" xfId="443"/>
    <cellStyle name="40% - Accent2 6" xfId="444"/>
    <cellStyle name="40% - Accent2 7" xfId="445"/>
    <cellStyle name="40% - Accent2 8" xfId="446"/>
    <cellStyle name="40% - Accent2 9" xfId="447"/>
    <cellStyle name="40% - Accent3" xfId="28" builtinId="39" customBuiltin="1"/>
    <cellStyle name="40% - Accent3 10" xfId="448"/>
    <cellStyle name="40% - Accent3 11" xfId="449"/>
    <cellStyle name="40% - Accent3 2" xfId="450"/>
    <cellStyle name="40% - Accent3 2 2" xfId="451"/>
    <cellStyle name="40% - Accent3 2 3" xfId="452"/>
    <cellStyle name="40% - Accent3 2 4" xfId="453"/>
    <cellStyle name="40% - Accent3 2 5" xfId="454"/>
    <cellStyle name="40% - Accent3 2 6" xfId="455"/>
    <cellStyle name="40% - Accent3 2 7" xfId="456"/>
    <cellStyle name="40% - Accent3 2 8" xfId="457"/>
    <cellStyle name="40% - Accent3 2_Handoff Document 3.12.2010_IT_MRJ" xfId="458"/>
    <cellStyle name="40% - Accent3 3" xfId="459"/>
    <cellStyle name="40% - Accent3 3 2" xfId="460"/>
    <cellStyle name="40% - Accent3 3 3" xfId="461"/>
    <cellStyle name="40% - Accent3 3 4" xfId="462"/>
    <cellStyle name="40% - Accent3 3 5" xfId="463"/>
    <cellStyle name="40% - Accent3 3 6" xfId="464"/>
    <cellStyle name="40% - Accent3 3_Handoff Document 3.12.2010_IT_MRJ" xfId="465"/>
    <cellStyle name="40% - Accent3 4" xfId="466"/>
    <cellStyle name="40% - Accent3 4 2" xfId="467"/>
    <cellStyle name="40% - Accent3 4 3" xfId="468"/>
    <cellStyle name="40% - Accent3 4 4" xfId="469"/>
    <cellStyle name="40% - Accent3 4 5" xfId="470"/>
    <cellStyle name="40% - Accent3 4 6" xfId="471"/>
    <cellStyle name="40% - Accent3 4_Handoff Document 3.12.2010_IT_MRJ" xfId="472"/>
    <cellStyle name="40% - Accent3 5" xfId="473"/>
    <cellStyle name="40% - Accent3 5 2" xfId="474"/>
    <cellStyle name="40% - Accent3 5 3" xfId="475"/>
    <cellStyle name="40% - Accent3 5 4" xfId="476"/>
    <cellStyle name="40% - Accent3 5 5" xfId="477"/>
    <cellStyle name="40% - Accent3 5 6" xfId="478"/>
    <cellStyle name="40% - Accent3 5_Handoff Document 3.12.2010_IT_MRJ" xfId="479"/>
    <cellStyle name="40% - Accent3 6" xfId="480"/>
    <cellStyle name="40% - Accent3 7" xfId="481"/>
    <cellStyle name="40% - Accent3 8" xfId="482"/>
    <cellStyle name="40% - Accent3 9" xfId="483"/>
    <cellStyle name="40% - Accent4" xfId="32" builtinId="43" customBuiltin="1"/>
    <cellStyle name="40% - Accent4 10" xfId="484"/>
    <cellStyle name="40% - Accent4 11" xfId="485"/>
    <cellStyle name="40% - Accent4 12" xfId="486"/>
    <cellStyle name="40% - Accent4 2" xfId="487"/>
    <cellStyle name="40% - Accent4 2 2" xfId="488"/>
    <cellStyle name="40% - Accent4 2 3" xfId="489"/>
    <cellStyle name="40% - Accent4 2 4" xfId="490"/>
    <cellStyle name="40% - Accent4 2 5" xfId="491"/>
    <cellStyle name="40% - Accent4 2 6" xfId="492"/>
    <cellStyle name="40% - Accent4 2 7" xfId="493"/>
    <cellStyle name="40% - Accent4 2 8" xfId="494"/>
    <cellStyle name="40% - Accent4 2_Handoff Document 3.12.2010_IT_MRJ" xfId="495"/>
    <cellStyle name="40% - Accent4 3" xfId="496"/>
    <cellStyle name="40% - Accent4 3 2" xfId="497"/>
    <cellStyle name="40% - Accent4 3 3" xfId="498"/>
    <cellStyle name="40% - Accent4 3 4" xfId="499"/>
    <cellStyle name="40% - Accent4 3 5" xfId="500"/>
    <cellStyle name="40% - Accent4 3 6" xfId="501"/>
    <cellStyle name="40% - Accent4 3_Handoff Document 3.12.2010_IT_MRJ" xfId="502"/>
    <cellStyle name="40% - Accent4 4" xfId="503"/>
    <cellStyle name="40% - Accent4 4 2" xfId="504"/>
    <cellStyle name="40% - Accent4 4 3" xfId="505"/>
    <cellStyle name="40% - Accent4 4 4" xfId="506"/>
    <cellStyle name="40% - Accent4 4 5" xfId="507"/>
    <cellStyle name="40% - Accent4 4 6" xfId="508"/>
    <cellStyle name="40% - Accent4 4_Handoff Document 3.12.2010_IT_MRJ" xfId="509"/>
    <cellStyle name="40% - Accent4 5" xfId="510"/>
    <cellStyle name="40% - Accent4 5 2" xfId="511"/>
    <cellStyle name="40% - Accent4 5 3" xfId="512"/>
    <cellStyle name="40% - Accent4 5 4" xfId="513"/>
    <cellStyle name="40% - Accent4 5 5" xfId="514"/>
    <cellStyle name="40% - Accent4 5 6" xfId="515"/>
    <cellStyle name="40% - Accent4 5_Handoff Document 3.12.2010_IT_MRJ" xfId="516"/>
    <cellStyle name="40% - Accent4 6" xfId="517"/>
    <cellStyle name="40% - Accent4 7" xfId="518"/>
    <cellStyle name="40% - Accent4 8" xfId="519"/>
    <cellStyle name="40% - Accent4 9" xfId="520"/>
    <cellStyle name="40% - Accent5" xfId="36" builtinId="47" customBuiltin="1"/>
    <cellStyle name="40% - Accent5 10" xfId="521"/>
    <cellStyle name="40% - Accent5 11" xfId="522"/>
    <cellStyle name="40% - Accent5 2" xfId="523"/>
    <cellStyle name="40% - Accent5 2 2" xfId="524"/>
    <cellStyle name="40% - Accent5 2 3" xfId="525"/>
    <cellStyle name="40% - Accent5 2 4" xfId="526"/>
    <cellStyle name="40% - Accent5 2 5" xfId="527"/>
    <cellStyle name="40% - Accent5 2 6" xfId="528"/>
    <cellStyle name="40% - Accent5 2 7" xfId="529"/>
    <cellStyle name="40% - Accent5 2 8" xfId="530"/>
    <cellStyle name="40% - Accent5 2_Handoff Document 3.12.2010_IT_MRJ" xfId="531"/>
    <cellStyle name="40% - Accent5 3" xfId="532"/>
    <cellStyle name="40% - Accent5 3 2" xfId="533"/>
    <cellStyle name="40% - Accent5 3 3" xfId="534"/>
    <cellStyle name="40% - Accent5 3 4" xfId="535"/>
    <cellStyle name="40% - Accent5 3 5" xfId="536"/>
    <cellStyle name="40% - Accent5 3 6" xfId="537"/>
    <cellStyle name="40% - Accent5 3_Handoff Document 3.12.2010_IT_MRJ" xfId="538"/>
    <cellStyle name="40% - Accent5 4" xfId="539"/>
    <cellStyle name="40% - Accent5 4 2" xfId="540"/>
    <cellStyle name="40% - Accent5 4 3" xfId="541"/>
    <cellStyle name="40% - Accent5 4 4" xfId="542"/>
    <cellStyle name="40% - Accent5 4 5" xfId="543"/>
    <cellStyle name="40% - Accent5 4 6" xfId="544"/>
    <cellStyle name="40% - Accent5 4_Handoff Document 3.12.2010_IT_MRJ" xfId="545"/>
    <cellStyle name="40% - Accent5 5" xfId="546"/>
    <cellStyle name="40% - Accent5 5 2" xfId="547"/>
    <cellStyle name="40% - Accent5 5 3" xfId="548"/>
    <cellStyle name="40% - Accent5 5 4" xfId="549"/>
    <cellStyle name="40% - Accent5 5 5" xfId="550"/>
    <cellStyle name="40% - Accent5 5 6" xfId="551"/>
    <cellStyle name="40% - Accent5 5_Handoff Document 3.12.2010_IT_MRJ" xfId="552"/>
    <cellStyle name="40% - Accent5 6" xfId="553"/>
    <cellStyle name="40% - Accent5 7" xfId="554"/>
    <cellStyle name="40% - Accent5 8" xfId="555"/>
    <cellStyle name="40% - Accent5 9" xfId="556"/>
    <cellStyle name="40% - Accent6" xfId="40" builtinId="51" customBuiltin="1"/>
    <cellStyle name="40% - Accent6 10" xfId="557"/>
    <cellStyle name="40% - Accent6 11" xfId="558"/>
    <cellStyle name="40% - Accent6 2" xfId="559"/>
    <cellStyle name="40% - Accent6 2 2" xfId="560"/>
    <cellStyle name="40% - Accent6 2 3" xfId="561"/>
    <cellStyle name="40% - Accent6 2 4" xfId="562"/>
    <cellStyle name="40% - Accent6 2 5" xfId="563"/>
    <cellStyle name="40% - Accent6 2 6" xfId="564"/>
    <cellStyle name="40% - Accent6 2 7" xfId="565"/>
    <cellStyle name="40% - Accent6 2 8" xfId="566"/>
    <cellStyle name="40% - Accent6 2_Handoff Document 3.12.2010_IT_MRJ" xfId="567"/>
    <cellStyle name="40% - Accent6 3" xfId="568"/>
    <cellStyle name="40% - Accent6 3 2" xfId="569"/>
    <cellStyle name="40% - Accent6 3 3" xfId="570"/>
    <cellStyle name="40% - Accent6 3 4" xfId="571"/>
    <cellStyle name="40% - Accent6 3 5" xfId="572"/>
    <cellStyle name="40% - Accent6 3 6" xfId="573"/>
    <cellStyle name="40% - Accent6 3_Handoff Document 3.12.2010_IT_MRJ" xfId="574"/>
    <cellStyle name="40% - Accent6 4" xfId="575"/>
    <cellStyle name="40% - Accent6 4 2" xfId="576"/>
    <cellStyle name="40% - Accent6 4 3" xfId="577"/>
    <cellStyle name="40% - Accent6 4 4" xfId="578"/>
    <cellStyle name="40% - Accent6 4 5" xfId="579"/>
    <cellStyle name="40% - Accent6 4 6" xfId="580"/>
    <cellStyle name="40% - Accent6 4_Handoff Document 3.12.2010_IT_MRJ" xfId="581"/>
    <cellStyle name="40% - Accent6 5" xfId="582"/>
    <cellStyle name="40% - Accent6 5 2" xfId="583"/>
    <cellStyle name="40% - Accent6 5 3" xfId="584"/>
    <cellStyle name="40% - Accent6 5 4" xfId="585"/>
    <cellStyle name="40% - Accent6 5 5" xfId="586"/>
    <cellStyle name="40% - Accent6 5 6" xfId="587"/>
    <cellStyle name="40% - Accent6 5_Handoff Document 3.12.2010_IT_MRJ" xfId="588"/>
    <cellStyle name="40% - Accent6 6" xfId="589"/>
    <cellStyle name="40% - Accent6 7" xfId="590"/>
    <cellStyle name="40% - Accent6 8" xfId="591"/>
    <cellStyle name="40% - Accent6 9" xfId="592"/>
    <cellStyle name="60% - Accent1" xfId="21" builtinId="32" customBuiltin="1"/>
    <cellStyle name="60% - Accent1 2" xfId="593"/>
    <cellStyle name="60% - Accent1 2 2" xfId="594"/>
    <cellStyle name="60% - Accent1 2 3" xfId="595"/>
    <cellStyle name="60% - Accent1 3" xfId="596"/>
    <cellStyle name="60% - Accent1 4" xfId="597"/>
    <cellStyle name="60% - Accent1 5" xfId="598"/>
    <cellStyle name="60% - Accent1 6" xfId="599"/>
    <cellStyle name="60% - Accent2" xfId="25" builtinId="36" customBuiltin="1"/>
    <cellStyle name="60% - Accent2 2" xfId="600"/>
    <cellStyle name="60% - Accent2 2 2" xfId="601"/>
    <cellStyle name="60% - Accent2 2 3" xfId="602"/>
    <cellStyle name="60% - Accent2 3" xfId="603"/>
    <cellStyle name="60% - Accent2 4" xfId="604"/>
    <cellStyle name="60% - Accent2 5" xfId="605"/>
    <cellStyle name="60% - Accent3" xfId="29" builtinId="40" customBuiltin="1"/>
    <cellStyle name="60% - Accent3 2" xfId="606"/>
    <cellStyle name="60% - Accent3 2 2" xfId="607"/>
    <cellStyle name="60% - Accent3 2 3" xfId="608"/>
    <cellStyle name="60% - Accent3 3" xfId="609"/>
    <cellStyle name="60% - Accent3 4" xfId="610"/>
    <cellStyle name="60% - Accent3 5" xfId="611"/>
    <cellStyle name="60% - Accent3 6" xfId="612"/>
    <cellStyle name="60% - Accent4" xfId="33" builtinId="44" customBuiltin="1"/>
    <cellStyle name="60% - Accent4 2" xfId="613"/>
    <cellStyle name="60% - Accent4 2 2" xfId="614"/>
    <cellStyle name="60% - Accent4 2 3" xfId="615"/>
    <cellStyle name="60% - Accent4 3" xfId="616"/>
    <cellStyle name="60% - Accent4 4" xfId="617"/>
    <cellStyle name="60% - Accent4 5" xfId="618"/>
    <cellStyle name="60% - Accent5" xfId="37" builtinId="48" customBuiltin="1"/>
    <cellStyle name="60% - Accent5 2" xfId="619"/>
    <cellStyle name="60% - Accent5 2 2" xfId="620"/>
    <cellStyle name="60% - Accent5 2 3" xfId="621"/>
    <cellStyle name="60% - Accent5 3" xfId="622"/>
    <cellStyle name="60% - Accent5 4" xfId="623"/>
    <cellStyle name="60% - Accent5 5" xfId="624"/>
    <cellStyle name="60% - Accent6" xfId="41" builtinId="52" customBuiltin="1"/>
    <cellStyle name="60% - Accent6 2" xfId="625"/>
    <cellStyle name="60% - Accent6 2 2" xfId="626"/>
    <cellStyle name="60% - Accent6 2 3" xfId="627"/>
    <cellStyle name="60% - Accent6 3" xfId="628"/>
    <cellStyle name="60% - Accent6 4" xfId="629"/>
    <cellStyle name="60% - Accent6 5" xfId="630"/>
    <cellStyle name="Accent1" xfId="18" builtinId="29" customBuiltin="1"/>
    <cellStyle name="Accent1 2" xfId="631"/>
    <cellStyle name="Accent1 2 2" xfId="632"/>
    <cellStyle name="Accent1 2 3" xfId="633"/>
    <cellStyle name="Accent1 3" xfId="634"/>
    <cellStyle name="Accent1 4" xfId="635"/>
    <cellStyle name="Accent1 5" xfId="636"/>
    <cellStyle name="Accent1 6" xfId="637"/>
    <cellStyle name="Accent2" xfId="22" builtinId="33" customBuiltin="1"/>
    <cellStyle name="Accent2 2" xfId="638"/>
    <cellStyle name="Accent2 2 2" xfId="639"/>
    <cellStyle name="Accent2 2 3" xfId="640"/>
    <cellStyle name="Accent2 3" xfId="641"/>
    <cellStyle name="Accent2 4" xfId="642"/>
    <cellStyle name="Accent2 5" xfId="643"/>
    <cellStyle name="Accent3" xfId="26" builtinId="37" customBuiltin="1"/>
    <cellStyle name="Accent3 2" xfId="644"/>
    <cellStyle name="Accent3 2 2" xfId="645"/>
    <cellStyle name="Accent3 2 3" xfId="646"/>
    <cellStyle name="Accent3 3" xfId="647"/>
    <cellStyle name="Accent3 4" xfId="648"/>
    <cellStyle name="Accent3 5" xfId="649"/>
    <cellStyle name="Accent4" xfId="30" builtinId="41" customBuiltin="1"/>
    <cellStyle name="Accent4 2" xfId="650"/>
    <cellStyle name="Accent4 2 2" xfId="651"/>
    <cellStyle name="Accent4 2 3" xfId="652"/>
    <cellStyle name="Accent4 3" xfId="653"/>
    <cellStyle name="Accent4 4" xfId="654"/>
    <cellStyle name="Accent4 5" xfId="655"/>
    <cellStyle name="Accent5" xfId="34" builtinId="45" customBuiltin="1"/>
    <cellStyle name="Accent5 2" xfId="656"/>
    <cellStyle name="Accent5 3" xfId="657"/>
    <cellStyle name="Accent5 4" xfId="658"/>
    <cellStyle name="Accent5 5" xfId="659"/>
    <cellStyle name="Accent6" xfId="38" builtinId="49" customBuiltin="1"/>
    <cellStyle name="Accent6 2" xfId="660"/>
    <cellStyle name="Accent6 2 2" xfId="661"/>
    <cellStyle name="Accent6 2 3" xfId="662"/>
    <cellStyle name="Accent6 3" xfId="663"/>
    <cellStyle name="Accent6 4" xfId="664"/>
    <cellStyle name="Accent6 5" xfId="665"/>
    <cellStyle name="Bad" xfId="7" builtinId="27" customBuiltin="1"/>
    <cellStyle name="Bad 2" xfId="666"/>
    <cellStyle name="Bad 2 2" xfId="667"/>
    <cellStyle name="Bad 2 3" xfId="668"/>
    <cellStyle name="Bad 3" xfId="669"/>
    <cellStyle name="Bad 4" xfId="670"/>
    <cellStyle name="Bad 5" xfId="671"/>
    <cellStyle name="Calculation" xfId="11" builtinId="22" customBuiltin="1"/>
    <cellStyle name="Calculation 2" xfId="672"/>
    <cellStyle name="Calculation 2 2" xfId="673"/>
    <cellStyle name="Calculation 2 2 2" xfId="1559"/>
    <cellStyle name="Calculation 2 2 3" xfId="1568"/>
    <cellStyle name="Calculation 2 3" xfId="674"/>
    <cellStyle name="Calculation 2 3 2" xfId="1560"/>
    <cellStyle name="Calculation 2 3 3" xfId="1567"/>
    <cellStyle name="Calculation 2 4" xfId="1558"/>
    <cellStyle name="Calculation 2 5" xfId="1569"/>
    <cellStyle name="Calculation 3" xfId="675"/>
    <cellStyle name="Calculation 3 2" xfId="1561"/>
    <cellStyle name="Calculation 3 3" xfId="1566"/>
    <cellStyle name="Calculation 4" xfId="676"/>
    <cellStyle name="Calculation 4 2" xfId="1562"/>
    <cellStyle name="Calculation 4 3" xfId="1565"/>
    <cellStyle name="Calculation 5" xfId="677"/>
    <cellStyle name="Calculation 5 2" xfId="1563"/>
    <cellStyle name="Calculation 5 3" xfId="1564"/>
    <cellStyle name="Check Cell" xfId="13" builtinId="23" customBuiltin="1"/>
    <cellStyle name="Check Cell 2" xfId="678"/>
    <cellStyle name="Check Cell 2 2" xfId="679"/>
    <cellStyle name="Check Cell 2 3" xfId="680"/>
    <cellStyle name="Check Cell 2 4" xfId="681"/>
    <cellStyle name="Check Cell 2 5" xfId="682"/>
    <cellStyle name="Check Cell 2 6" xfId="683"/>
    <cellStyle name="Check Cell 2_Handoff Document 3.12.2010_IT_MRJ" xfId="684"/>
    <cellStyle name="Check Cell 3" xfId="685"/>
    <cellStyle name="Check Cell 3 2" xfId="686"/>
    <cellStyle name="Check Cell 3 3" xfId="687"/>
    <cellStyle name="Check Cell 3 4" xfId="688"/>
    <cellStyle name="Check Cell 3 5" xfId="689"/>
    <cellStyle name="Check Cell 3 6" xfId="690"/>
    <cellStyle name="Check Cell 3_Handoff Document 3.12.2010_IT_MRJ" xfId="691"/>
    <cellStyle name="Check Cell 4" xfId="692"/>
    <cellStyle name="Check Cell 4 2" xfId="693"/>
    <cellStyle name="Check Cell 4 3" xfId="694"/>
    <cellStyle name="Check Cell 4 4" xfId="695"/>
    <cellStyle name="Check Cell 4 5" xfId="696"/>
    <cellStyle name="Check Cell 4 6" xfId="697"/>
    <cellStyle name="Check Cell 4_Handoff Document 3.12.2010_IT_MRJ" xfId="698"/>
    <cellStyle name="Check Cell 5" xfId="699"/>
    <cellStyle name="Check Cell 5 2" xfId="700"/>
    <cellStyle name="Check Cell 5 3" xfId="701"/>
    <cellStyle name="Check Cell 5 4" xfId="702"/>
    <cellStyle name="Check Cell 5 5" xfId="703"/>
    <cellStyle name="Check Cell 5 6" xfId="704"/>
    <cellStyle name="Check Cell 5_Handoff Document 3.12.2010_IT_MRJ" xfId="705"/>
    <cellStyle name="Comma" xfId="1490" builtinId="3"/>
    <cellStyle name="Comma 10" xfId="706"/>
    <cellStyle name="Comma 10 2" xfId="707"/>
    <cellStyle name="Comma 11" xfId="708"/>
    <cellStyle name="Comma 2" xfId="709"/>
    <cellStyle name="Comma 2 2" xfId="710"/>
    <cellStyle name="Comma 2 2 2" xfId="711"/>
    <cellStyle name="Comma 2 2 3" xfId="712"/>
    <cellStyle name="Comma 2 3" xfId="713"/>
    <cellStyle name="Comma 2 3 2" xfId="714"/>
    <cellStyle name="Comma 2 3 3" xfId="715"/>
    <cellStyle name="Comma 2 4" xfId="716"/>
    <cellStyle name="Comma 2 5" xfId="717"/>
    <cellStyle name="Comma 3" xfId="718"/>
    <cellStyle name="Comma 3 2" xfId="1497"/>
    <cellStyle name="Comma 3 3" xfId="1496"/>
    <cellStyle name="Comma 4" xfId="719"/>
    <cellStyle name="Comma 4 2" xfId="720"/>
    <cellStyle name="Comma 4 3" xfId="721"/>
    <cellStyle name="Comma 4 4" xfId="722"/>
    <cellStyle name="Comma 5" xfId="723"/>
    <cellStyle name="Comma 5 2" xfId="724"/>
    <cellStyle name="Comma 5 3" xfId="725"/>
    <cellStyle name="Comma 6" xfId="726"/>
    <cellStyle name="Comma 7" xfId="727"/>
    <cellStyle name="Comma 7 2" xfId="728"/>
    <cellStyle name="Comma 8" xfId="729"/>
    <cellStyle name="Comma 8 2" xfId="730"/>
    <cellStyle name="Comma 9" xfId="731"/>
    <cellStyle name="Comma0" xfId="732"/>
    <cellStyle name="Currency" xfId="1488" builtinId="4"/>
    <cellStyle name="Currency 2" xfId="733"/>
    <cellStyle name="Currency 2 10" xfId="734"/>
    <cellStyle name="Currency 2 11" xfId="735"/>
    <cellStyle name="Currency 2 12" xfId="736"/>
    <cellStyle name="Currency 2 13" xfId="737"/>
    <cellStyle name="Currency 2 14" xfId="738"/>
    <cellStyle name="Currency 2 2" xfId="739"/>
    <cellStyle name="Currency 2 3" xfId="740"/>
    <cellStyle name="Currency 2 4" xfId="741"/>
    <cellStyle name="Currency 2 5" xfId="742"/>
    <cellStyle name="Currency 2 6" xfId="743"/>
    <cellStyle name="Currency 2 7" xfId="744"/>
    <cellStyle name="Currency 2 8" xfId="745"/>
    <cellStyle name="Currency 2 9" xfId="746"/>
    <cellStyle name="Currency 3" xfId="747"/>
    <cellStyle name="Currency 3 2" xfId="748"/>
    <cellStyle name="Currency 3 3" xfId="749"/>
    <cellStyle name="Currency 3 4" xfId="750"/>
    <cellStyle name="Currency0" xfId="751"/>
    <cellStyle name="Date" xfId="752"/>
    <cellStyle name="Dezimal [0]_DATEN" xfId="753"/>
    <cellStyle name="Dezimal_DATEN" xfId="754"/>
    <cellStyle name="Explanatory Text" xfId="16" builtinId="53" customBuiltin="1"/>
    <cellStyle name="Explanatory Text 2" xfId="755"/>
    <cellStyle name="Explanatory Text 3" xfId="756"/>
    <cellStyle name="Explanatory Text 4" xfId="757"/>
    <cellStyle name="Explanatory Text 5" xfId="758"/>
    <cellStyle name="Fixed" xfId="759"/>
    <cellStyle name="Followed Hyperlink" xfId="1669" builtinId="9" hidden="1"/>
    <cellStyle name="Good" xfId="6" builtinId="26" customBuiltin="1"/>
    <cellStyle name="Good 2" xfId="760"/>
    <cellStyle name="Good 2 2" xfId="761"/>
    <cellStyle name="Good 2 3" xfId="762"/>
    <cellStyle name="Good 3" xfId="763"/>
    <cellStyle name="Good 4" xfId="764"/>
    <cellStyle name="Good 5" xfId="765"/>
    <cellStyle name="Heading 1" xfId="2" builtinId="16" customBuiltin="1"/>
    <cellStyle name="Heading 1 2" xfId="766"/>
    <cellStyle name="Heading 1 2 2" xfId="767"/>
    <cellStyle name="Heading 1 2 2 2" xfId="768"/>
    <cellStyle name="Heading 1 2 2 3" xfId="769"/>
    <cellStyle name="Heading 1 2 3" xfId="770"/>
    <cellStyle name="Heading 1 2 4" xfId="771"/>
    <cellStyle name="Heading 1 3" xfId="772"/>
    <cellStyle name="Heading 1 4" xfId="773"/>
    <cellStyle name="Heading 1 5" xfId="774"/>
    <cellStyle name="Heading 2" xfId="3" builtinId="17" customBuiltin="1"/>
    <cellStyle name="Heading 2 2" xfId="775"/>
    <cellStyle name="Heading 2 2 2" xfId="776"/>
    <cellStyle name="Heading 2 2 2 2" xfId="777"/>
    <cellStyle name="Heading 2 2 2 3" xfId="778"/>
    <cellStyle name="Heading 2 2 3" xfId="779"/>
    <cellStyle name="Heading 2 2 4" xfId="780"/>
    <cellStyle name="Heading 2 3" xfId="781"/>
    <cellStyle name="Heading 2 4" xfId="782"/>
    <cellStyle name="Heading 2 5" xfId="783"/>
    <cellStyle name="Heading 2 6" xfId="784"/>
    <cellStyle name="Heading 3" xfId="4" builtinId="18" customBuiltin="1"/>
    <cellStyle name="Heading 3 2" xfId="785"/>
    <cellStyle name="Heading 3 2 2" xfId="786"/>
    <cellStyle name="Heading 3 2 2 2" xfId="1571"/>
    <cellStyle name="Heading 3 2 2 3" xfId="1556"/>
    <cellStyle name="Heading 3 2 3" xfId="787"/>
    <cellStyle name="Heading 3 2 3 2" xfId="1572"/>
    <cellStyle name="Heading 3 2 3 3" xfId="1555"/>
    <cellStyle name="Heading 3 2 4" xfId="1570"/>
    <cellStyle name="Heading 3 2 5" xfId="1557"/>
    <cellStyle name="Heading 3 3" xfId="788"/>
    <cellStyle name="Heading 3 3 2" xfId="1573"/>
    <cellStyle name="Heading 3 3 3" xfId="1554"/>
    <cellStyle name="Heading 3 4" xfId="789"/>
    <cellStyle name="Heading 3 4 2" xfId="1574"/>
    <cellStyle name="Heading 3 4 3" xfId="1553"/>
    <cellStyle name="Heading 3 5" xfId="790"/>
    <cellStyle name="Heading 3 5 2" xfId="1575"/>
    <cellStyle name="Heading 3 5 3" xfId="1515"/>
    <cellStyle name="Heading 4" xfId="5" builtinId="19" customBuiltin="1"/>
    <cellStyle name="Heading 4 2" xfId="791"/>
    <cellStyle name="Heading 4 2 2" xfId="792"/>
    <cellStyle name="Heading 4 2 3" xfId="793"/>
    <cellStyle name="Heading 4 3" xfId="794"/>
    <cellStyle name="Heading 4 4" xfId="795"/>
    <cellStyle name="Heading 4 5" xfId="796"/>
    <cellStyle name="Heading 4 6" xfId="797"/>
    <cellStyle name="Hyperlink" xfId="1668" builtinId="8" hidden="1"/>
    <cellStyle name="Hyperlink 2" xfId="798"/>
    <cellStyle name="Hyperlink 2 2" xfId="799"/>
    <cellStyle name="Hyperlink 2 3" xfId="800"/>
    <cellStyle name="Input" xfId="9" builtinId="20" customBuiltin="1"/>
    <cellStyle name="Input 2" xfId="801"/>
    <cellStyle name="Input 2 2" xfId="802"/>
    <cellStyle name="Input 2 2 2" xfId="1577"/>
    <cellStyle name="Input 2 2 3" xfId="1514"/>
    <cellStyle name="Input 2 3" xfId="803"/>
    <cellStyle name="Input 2 3 2" xfId="1578"/>
    <cellStyle name="Input 2 3 3" xfId="1551"/>
    <cellStyle name="Input 2 4" xfId="1576"/>
    <cellStyle name="Input 2 5" xfId="1552"/>
    <cellStyle name="Input 3" xfId="804"/>
    <cellStyle name="Input 3 2" xfId="1579"/>
    <cellStyle name="Input 3 3" xfId="1550"/>
    <cellStyle name="Input 4" xfId="805"/>
    <cellStyle name="Input 4 2" xfId="1580"/>
    <cellStyle name="Input 4 3" xfId="1549"/>
    <cellStyle name="Input 5" xfId="806"/>
    <cellStyle name="Input 5 2" xfId="1581"/>
    <cellStyle name="Input 5 3" xfId="1548"/>
    <cellStyle name="Linked Cell" xfId="12" builtinId="24" customBuiltin="1"/>
    <cellStyle name="Linked Cell 2" xfId="807"/>
    <cellStyle name="Linked Cell 3" xfId="808"/>
    <cellStyle name="Linked Cell 4" xfId="809"/>
    <cellStyle name="Linked Cell 5" xfId="810"/>
    <cellStyle name="Neutral" xfId="8" builtinId="28" customBuiltin="1"/>
    <cellStyle name="Neutral 2" xfId="811"/>
    <cellStyle name="Neutral 2 2" xfId="812"/>
    <cellStyle name="Neutral 2 3" xfId="813"/>
    <cellStyle name="Neutral 3" xfId="814"/>
    <cellStyle name="Neutral 4" xfId="815"/>
    <cellStyle name="Neutral 5" xfId="816"/>
    <cellStyle name="New Rep Unit" xfId="817"/>
    <cellStyle name="New Rep Unit 2" xfId="818"/>
    <cellStyle name="New Rep Unit 3" xfId="819"/>
    <cellStyle name="New Rep Unit 4" xfId="820"/>
    <cellStyle name="New Rep Unit 5" xfId="821"/>
    <cellStyle name="New Rep Unit 6" xfId="822"/>
    <cellStyle name="New Rep Unit_Handoff Document 3.12.2010_IT_MRJ" xfId="823"/>
    <cellStyle name="Normal" xfId="0" builtinId="0"/>
    <cellStyle name="Normal 10" xfId="43"/>
    <cellStyle name="Normal 10 2" xfId="824"/>
    <cellStyle name="Normal 10 3" xfId="825"/>
    <cellStyle name="Normal 100" xfId="826"/>
    <cellStyle name="Normal 101" xfId="827"/>
    <cellStyle name="Normal 102" xfId="828"/>
    <cellStyle name="Normal 103" xfId="829"/>
    <cellStyle name="Normal 104" xfId="830"/>
    <cellStyle name="Normal 105" xfId="831"/>
    <cellStyle name="Normal 106" xfId="832"/>
    <cellStyle name="Normal 107" xfId="833"/>
    <cellStyle name="Normal 108" xfId="834"/>
    <cellStyle name="Normal 109" xfId="835"/>
    <cellStyle name="Normal 11" xfId="836"/>
    <cellStyle name="Normal 11 10" xfId="1512"/>
    <cellStyle name="Normal 11 2" xfId="837"/>
    <cellStyle name="Normal 11 2 2" xfId="838"/>
    <cellStyle name="Normal 11 2 3" xfId="839"/>
    <cellStyle name="Normal 11 2 4" xfId="840"/>
    <cellStyle name="Normal 11 2 5" xfId="841"/>
    <cellStyle name="Normal 11 2 6" xfId="842"/>
    <cellStyle name="Normal 11 2_Handoff Document 3.12.2010_IT_MRJ" xfId="843"/>
    <cellStyle name="Normal 11 3" xfId="844"/>
    <cellStyle name="Normal 11 3 2" xfId="845"/>
    <cellStyle name="Normal 11 3 3" xfId="846"/>
    <cellStyle name="Normal 11 3 4" xfId="847"/>
    <cellStyle name="Normal 11 3 5" xfId="848"/>
    <cellStyle name="Normal 11 3 6" xfId="849"/>
    <cellStyle name="Normal 11 3_Handoff Document 3.12.2010_IT_MRJ" xfId="850"/>
    <cellStyle name="Normal 11 4" xfId="851"/>
    <cellStyle name="Normal 11 4 2" xfId="852"/>
    <cellStyle name="Normal 11 4 3" xfId="853"/>
    <cellStyle name="Normal 11 4 4" xfId="854"/>
    <cellStyle name="Normal 11 4 5" xfId="855"/>
    <cellStyle name="Normal 11 4 6" xfId="856"/>
    <cellStyle name="Normal 11 4_Handoff Document 3.12.2010_IT_MRJ" xfId="857"/>
    <cellStyle name="Normal 11 5" xfId="858"/>
    <cellStyle name="Normal 11 5 2" xfId="859"/>
    <cellStyle name="Normal 11 5 3" xfId="860"/>
    <cellStyle name="Normal 11 5 4" xfId="861"/>
    <cellStyle name="Normal 11 5 5" xfId="862"/>
    <cellStyle name="Normal 11 5 6" xfId="863"/>
    <cellStyle name="Normal 11 5_Handoff Document 3.12.2010_IT_MRJ" xfId="864"/>
    <cellStyle name="Normal 11 6" xfId="865"/>
    <cellStyle name="Normal 11 6 2" xfId="866"/>
    <cellStyle name="Normal 11 6 3" xfId="867"/>
    <cellStyle name="Normal 11 6 4" xfId="868"/>
    <cellStyle name="Normal 11 6 5" xfId="869"/>
    <cellStyle name="Normal 11 6 6" xfId="870"/>
    <cellStyle name="Normal 11 6_Handoff Document 3.12.2010_IT_MRJ" xfId="871"/>
    <cellStyle name="Normal 11 7" xfId="1509"/>
    <cellStyle name="Normal 11 8" xfId="1510"/>
    <cellStyle name="Normal 11 9" xfId="1511"/>
    <cellStyle name="Normal 110" xfId="872"/>
    <cellStyle name="Normal 111" xfId="873"/>
    <cellStyle name="Normal 112" xfId="874"/>
    <cellStyle name="Normal 113" xfId="875"/>
    <cellStyle name="Normal 114" xfId="876"/>
    <cellStyle name="Normal 115" xfId="877"/>
    <cellStyle name="Normal 116" xfId="878"/>
    <cellStyle name="Normal 117" xfId="879"/>
    <cellStyle name="Normal 118" xfId="880"/>
    <cellStyle name="Normal 119" xfId="881"/>
    <cellStyle name="Normal 12" xfId="882"/>
    <cellStyle name="Normal 120" xfId="883"/>
    <cellStyle name="Normal 121" xfId="884"/>
    <cellStyle name="Normal 122" xfId="885"/>
    <cellStyle name="Normal 122 2" xfId="886"/>
    <cellStyle name="Normal 123" xfId="887"/>
    <cellStyle name="Normal 124" xfId="888"/>
    <cellStyle name="Normal 125" xfId="889"/>
    <cellStyle name="Normal 126" xfId="890"/>
    <cellStyle name="Normal 127" xfId="891"/>
    <cellStyle name="Normal 127 2" xfId="892"/>
    <cellStyle name="Normal 128" xfId="893"/>
    <cellStyle name="Normal 128 2" xfId="894"/>
    <cellStyle name="Normal 128_Handoff Document 3.12.2010_IT_MRJ" xfId="895"/>
    <cellStyle name="Normal 129" xfId="896"/>
    <cellStyle name="Normal 129 2" xfId="897"/>
    <cellStyle name="Normal 129 2 2" xfId="898"/>
    <cellStyle name="Normal 129 2 3" xfId="899"/>
    <cellStyle name="Normal 129 2 3 2" xfId="1498"/>
    <cellStyle name="Normal 129 2 3 3" xfId="1499"/>
    <cellStyle name="Normal 129 2 4" xfId="900"/>
    <cellStyle name="Normal 129 3" xfId="901"/>
    <cellStyle name="Normal 13" xfId="902"/>
    <cellStyle name="Normal 130" xfId="903"/>
    <cellStyle name="Normal 130 2" xfId="904"/>
    <cellStyle name="Normal 130 2 2" xfId="905"/>
    <cellStyle name="Normal 130 2 3" xfId="906"/>
    <cellStyle name="Normal 130 2 3 2" xfId="907"/>
    <cellStyle name="Normal 130 2 3 3" xfId="908"/>
    <cellStyle name="Normal 130 2 4" xfId="909"/>
    <cellStyle name="Normal 130 3" xfId="910"/>
    <cellStyle name="Normal 130 4" xfId="911"/>
    <cellStyle name="Normal 131" xfId="912"/>
    <cellStyle name="Normal 131 2" xfId="913"/>
    <cellStyle name="Normal 132" xfId="914"/>
    <cellStyle name="Normal 132 2" xfId="915"/>
    <cellStyle name="Normal 133" xfId="916"/>
    <cellStyle name="Normal 133 2" xfId="917"/>
    <cellStyle name="Normal 134" xfId="918"/>
    <cellStyle name="Normal 134 2" xfId="919"/>
    <cellStyle name="Normal 135" xfId="920"/>
    <cellStyle name="Normal 135 2" xfId="921"/>
    <cellStyle name="Normal 135 3" xfId="922"/>
    <cellStyle name="Normal 136" xfId="923"/>
    <cellStyle name="Normal 136 2" xfId="924"/>
    <cellStyle name="Normal 137" xfId="925"/>
    <cellStyle name="Normal 137 2" xfId="926"/>
    <cellStyle name="Normal 138" xfId="927"/>
    <cellStyle name="Normal 138 2" xfId="928"/>
    <cellStyle name="Normal 139" xfId="929"/>
    <cellStyle name="Normal 14" xfId="930"/>
    <cellStyle name="Normal 140" xfId="931"/>
    <cellStyle name="Normal 141" xfId="932"/>
    <cellStyle name="Normal 141 2" xfId="933"/>
    <cellStyle name="Normal 142" xfId="934"/>
    <cellStyle name="Normal 143" xfId="935"/>
    <cellStyle name="Normal 144" xfId="936"/>
    <cellStyle name="Normal 144 2" xfId="937"/>
    <cellStyle name="Normal 145" xfId="938"/>
    <cellStyle name="Normal 145 2" xfId="939"/>
    <cellStyle name="Normal 145 3" xfId="940"/>
    <cellStyle name="Normal 146" xfId="941"/>
    <cellStyle name="Normal 147" xfId="942"/>
    <cellStyle name="Normal 148" xfId="943"/>
    <cellStyle name="Normal 149" xfId="944"/>
    <cellStyle name="Normal 15" xfId="945"/>
    <cellStyle name="Normal 150" xfId="946"/>
    <cellStyle name="Normal 151" xfId="947"/>
    <cellStyle name="Normal 152" xfId="948"/>
    <cellStyle name="Normal 153" xfId="949"/>
    <cellStyle name="Normal 154" xfId="950"/>
    <cellStyle name="Normal 155" xfId="951"/>
    <cellStyle name="Normal 156" xfId="952"/>
    <cellStyle name="Normal 157" xfId="953"/>
    <cellStyle name="Normal 158" xfId="954"/>
    <cellStyle name="Normal 159" xfId="955"/>
    <cellStyle name="Normal 16" xfId="956"/>
    <cellStyle name="Normal 160" xfId="957"/>
    <cellStyle name="Normal 161" xfId="958"/>
    <cellStyle name="Normal 162" xfId="959"/>
    <cellStyle name="Normal 163" xfId="960"/>
    <cellStyle name="Normal 164" xfId="961"/>
    <cellStyle name="Normal 165" xfId="962"/>
    <cellStyle name="Normal 166" xfId="963"/>
    <cellStyle name="Normal 167" xfId="964"/>
    <cellStyle name="Normal 168" xfId="965"/>
    <cellStyle name="Normal 169" xfId="966"/>
    <cellStyle name="Normal 17" xfId="967"/>
    <cellStyle name="Normal 170" xfId="968"/>
    <cellStyle name="Normal 171" xfId="969"/>
    <cellStyle name="Normal 172" xfId="970"/>
    <cellStyle name="Normal 173" xfId="971"/>
    <cellStyle name="Normal 174" xfId="972"/>
    <cellStyle name="Normal 175" xfId="973"/>
    <cellStyle name="Normal 176" xfId="974"/>
    <cellStyle name="Normal 177" xfId="975"/>
    <cellStyle name="Normal 178" xfId="976"/>
    <cellStyle name="Normal 179" xfId="977"/>
    <cellStyle name="Normal 18" xfId="978"/>
    <cellStyle name="Normal 180" xfId="979"/>
    <cellStyle name="Normal 181" xfId="980"/>
    <cellStyle name="Normal 182" xfId="981"/>
    <cellStyle name="Normal 183" xfId="982"/>
    <cellStyle name="Normal 184" xfId="983"/>
    <cellStyle name="Normal 185" xfId="984"/>
    <cellStyle name="Normal 186" xfId="985"/>
    <cellStyle name="Normal 187" xfId="986"/>
    <cellStyle name="Normal 188" xfId="987"/>
    <cellStyle name="Normal 189" xfId="988"/>
    <cellStyle name="Normal 19" xfId="989"/>
    <cellStyle name="Normal 190" xfId="990"/>
    <cellStyle name="Normal 191" xfId="991"/>
    <cellStyle name="Normal 192" xfId="992"/>
    <cellStyle name="Normal 193" xfId="993"/>
    <cellStyle name="Normal 194" xfId="994"/>
    <cellStyle name="Normal 195" xfId="995"/>
    <cellStyle name="Normal 196" xfId="996"/>
    <cellStyle name="Normal 197" xfId="997"/>
    <cellStyle name="Normal 198" xfId="998"/>
    <cellStyle name="Normal 2" xfId="999"/>
    <cellStyle name="Normal 2 10" xfId="1000"/>
    <cellStyle name="Normal 2 100" xfId="1001"/>
    <cellStyle name="Normal 2 101" xfId="1002"/>
    <cellStyle name="Normal 2 102" xfId="1003"/>
    <cellStyle name="Normal 2 103" xfId="1004"/>
    <cellStyle name="Normal 2 104" xfId="1005"/>
    <cellStyle name="Normal 2 105" xfId="1006"/>
    <cellStyle name="Normal 2 106" xfId="1007"/>
    <cellStyle name="Normal 2 107" xfId="1008"/>
    <cellStyle name="Normal 2 108" xfId="1009"/>
    <cellStyle name="Normal 2 109" xfId="1010"/>
    <cellStyle name="Normal 2 11" xfId="1011"/>
    <cellStyle name="Normal 2 110" xfId="1012"/>
    <cellStyle name="Normal 2 12" xfId="1013"/>
    <cellStyle name="Normal 2 13" xfId="1014"/>
    <cellStyle name="Normal 2 14" xfId="1015"/>
    <cellStyle name="Normal 2 15" xfId="1016"/>
    <cellStyle name="Normal 2 16" xfId="1017"/>
    <cellStyle name="Normal 2 17" xfId="1018"/>
    <cellStyle name="Normal 2 18" xfId="1019"/>
    <cellStyle name="Normal 2 19" xfId="1020"/>
    <cellStyle name="Normal 2 2" xfId="1021"/>
    <cellStyle name="Normal 2 2 2" xfId="1022"/>
    <cellStyle name="Normal 2 20" xfId="1023"/>
    <cellStyle name="Normal 2 21" xfId="1024"/>
    <cellStyle name="Normal 2 22" xfId="1025"/>
    <cellStyle name="Normal 2 23" xfId="1026"/>
    <cellStyle name="Normal 2 24" xfId="1027"/>
    <cellStyle name="Normal 2 25" xfId="1028"/>
    <cellStyle name="Normal 2 26" xfId="1029"/>
    <cellStyle name="Normal 2 27" xfId="1030"/>
    <cellStyle name="Normal 2 28" xfId="1031"/>
    <cellStyle name="Normal 2 29" xfId="1032"/>
    <cellStyle name="Normal 2 3" xfId="1033"/>
    <cellStyle name="Normal 2 3 2" xfId="1034"/>
    <cellStyle name="Normal 2 3 3" xfId="1035"/>
    <cellStyle name="Normal 2 30" xfId="1036"/>
    <cellStyle name="Normal 2 31" xfId="1037"/>
    <cellStyle name="Normal 2 32" xfId="1038"/>
    <cellStyle name="Normal 2 33" xfId="1039"/>
    <cellStyle name="Normal 2 34" xfId="1040"/>
    <cellStyle name="Normal 2 35" xfId="1041"/>
    <cellStyle name="Normal 2 36" xfId="1042"/>
    <cellStyle name="Normal 2 37" xfId="1043"/>
    <cellStyle name="Normal 2 38" xfId="1044"/>
    <cellStyle name="Normal 2 39" xfId="1045"/>
    <cellStyle name="Normal 2 4" xfId="1046"/>
    <cellStyle name="Normal 2 4 2" xfId="1047"/>
    <cellStyle name="Normal 2 4 3" xfId="1048"/>
    <cellStyle name="Normal 2 4 4" xfId="1049"/>
    <cellStyle name="Normal 2 40" xfId="1050"/>
    <cellStyle name="Normal 2 41" xfId="1051"/>
    <cellStyle name="Normal 2 42" xfId="1052"/>
    <cellStyle name="Normal 2 43" xfId="1053"/>
    <cellStyle name="Normal 2 44" xfId="1054"/>
    <cellStyle name="Normal 2 45" xfId="1055"/>
    <cellStyle name="Normal 2 46" xfId="1056"/>
    <cellStyle name="Normal 2 47" xfId="1057"/>
    <cellStyle name="Normal 2 48" xfId="1058"/>
    <cellStyle name="Normal 2 49" xfId="1059"/>
    <cellStyle name="Normal 2 5" xfId="1060"/>
    <cellStyle name="Normal 2 5 2" xfId="1493"/>
    <cellStyle name="Normal 2 50" xfId="1061"/>
    <cellStyle name="Normal 2 51" xfId="1062"/>
    <cellStyle name="Normal 2 52" xfId="1063"/>
    <cellStyle name="Normal 2 53" xfId="1064"/>
    <cellStyle name="Normal 2 54" xfId="1065"/>
    <cellStyle name="Normal 2 55" xfId="1066"/>
    <cellStyle name="Normal 2 56" xfId="1067"/>
    <cellStyle name="Normal 2 57" xfId="1068"/>
    <cellStyle name="Normal 2 58" xfId="1069"/>
    <cellStyle name="Normal 2 59" xfId="1070"/>
    <cellStyle name="Normal 2 6" xfId="1071"/>
    <cellStyle name="Normal 2 60" xfId="1072"/>
    <cellStyle name="Normal 2 61" xfId="1073"/>
    <cellStyle name="Normal 2 62" xfId="1074"/>
    <cellStyle name="Normal 2 63" xfId="1075"/>
    <cellStyle name="Normal 2 64" xfId="1076"/>
    <cellStyle name="Normal 2 65" xfId="1077"/>
    <cellStyle name="Normal 2 66" xfId="1078"/>
    <cellStyle name="Normal 2 67" xfId="1079"/>
    <cellStyle name="Normal 2 68" xfId="1080"/>
    <cellStyle name="Normal 2 69" xfId="1081"/>
    <cellStyle name="Normal 2 7" xfId="1082"/>
    <cellStyle name="Normal 2 70" xfId="1083"/>
    <cellStyle name="Normal 2 71" xfId="1084"/>
    <cellStyle name="Normal 2 72" xfId="1085"/>
    <cellStyle name="Normal 2 73" xfId="1086"/>
    <cellStyle name="Normal 2 74" xfId="1087"/>
    <cellStyle name="Normal 2 75" xfId="1088"/>
    <cellStyle name="Normal 2 76" xfId="1089"/>
    <cellStyle name="Normal 2 77" xfId="1090"/>
    <cellStyle name="Normal 2 78" xfId="1091"/>
    <cellStyle name="Normal 2 79" xfId="1092"/>
    <cellStyle name="Normal 2 8" xfId="1093"/>
    <cellStyle name="Normal 2 80" xfId="1094"/>
    <cellStyle name="Normal 2 81" xfId="1095"/>
    <cellStyle name="Normal 2 82" xfId="1096"/>
    <cellStyle name="Normal 2 83" xfId="1097"/>
    <cellStyle name="Normal 2 84" xfId="1098"/>
    <cellStyle name="Normal 2 85" xfId="1099"/>
    <cellStyle name="Normal 2 86" xfId="1100"/>
    <cellStyle name="Normal 2 87" xfId="1101"/>
    <cellStyle name="Normal 2 88" xfId="1102"/>
    <cellStyle name="Normal 2 89" xfId="1103"/>
    <cellStyle name="Normal 2 9" xfId="1104"/>
    <cellStyle name="Normal 2 90" xfId="1105"/>
    <cellStyle name="Normal 2 91" xfId="1106"/>
    <cellStyle name="Normal 2 92" xfId="1107"/>
    <cellStyle name="Normal 2 93" xfId="1108"/>
    <cellStyle name="Normal 2 94" xfId="1109"/>
    <cellStyle name="Normal 2 95" xfId="1110"/>
    <cellStyle name="Normal 2 96" xfId="1111"/>
    <cellStyle name="Normal 2 97" xfId="1112"/>
    <cellStyle name="Normal 2 98" xfId="1113"/>
    <cellStyle name="Normal 2 99" xfId="1114"/>
    <cellStyle name="Normal 20" xfId="1115"/>
    <cellStyle name="Normal 21" xfId="1116"/>
    <cellStyle name="Normal 22" xfId="1117"/>
    <cellStyle name="Normal 23" xfId="1118"/>
    <cellStyle name="Normal 24" xfId="1119"/>
    <cellStyle name="Normal 25" xfId="1120"/>
    <cellStyle name="Normal 26" xfId="1121"/>
    <cellStyle name="Normal 27" xfId="1122"/>
    <cellStyle name="Normal 28" xfId="1123"/>
    <cellStyle name="Normal 29" xfId="1124"/>
    <cellStyle name="Normal 3" xfId="42"/>
    <cellStyle name="Normal 3 2" xfId="1125"/>
    <cellStyle name="Normal 3 2 2" xfId="1126"/>
    <cellStyle name="Normal 3 2 3" xfId="1127"/>
    <cellStyle name="Normal 3 2 3 2" xfId="1500"/>
    <cellStyle name="Normal 3 2 4" xfId="1128"/>
    <cellStyle name="Normal 3 3" xfId="1129"/>
    <cellStyle name="Normal 3 3 2" xfId="1130"/>
    <cellStyle name="Normal 3 3 3" xfId="1131"/>
    <cellStyle name="Normal 3 4" xfId="1132"/>
    <cellStyle name="Normal 3 4 2" xfId="1133"/>
    <cellStyle name="Normal 3 4 3" xfId="1134"/>
    <cellStyle name="Normal 3 5" xfId="1135"/>
    <cellStyle name="Normal 3 6" xfId="1136"/>
    <cellStyle name="Normal 30" xfId="1137"/>
    <cellStyle name="Normal 31" xfId="1138"/>
    <cellStyle name="Normal 32" xfId="1139"/>
    <cellStyle name="Normal 33" xfId="1140"/>
    <cellStyle name="Normal 34" xfId="1141"/>
    <cellStyle name="Normal 35" xfId="1142"/>
    <cellStyle name="Normal 36" xfId="1143"/>
    <cellStyle name="Normal 37" xfId="1144"/>
    <cellStyle name="Normal 38" xfId="1145"/>
    <cellStyle name="Normal 39" xfId="1146"/>
    <cellStyle name="Normal 4" xfId="1147"/>
    <cellStyle name="Normal 4 10" xfId="1148"/>
    <cellStyle name="Normal 4 100" xfId="1149"/>
    <cellStyle name="Normal 4 101" xfId="1150"/>
    <cellStyle name="Normal 4 102" xfId="1151"/>
    <cellStyle name="Normal 4 103" xfId="1152"/>
    <cellStyle name="Normal 4 104" xfId="1153"/>
    <cellStyle name="Normal 4 105" xfId="1154"/>
    <cellStyle name="Normal 4 106" xfId="1155"/>
    <cellStyle name="Normal 4 107" xfId="1156"/>
    <cellStyle name="Normal 4 108" xfId="1157"/>
    <cellStyle name="Normal 4 109" xfId="1158"/>
    <cellStyle name="Normal 4 11" xfId="1159"/>
    <cellStyle name="Normal 4 110" xfId="1160"/>
    <cellStyle name="Normal 4 110 2" xfId="1161"/>
    <cellStyle name="Normal 4 111" xfId="1162"/>
    <cellStyle name="Normal 4 12" xfId="1163"/>
    <cellStyle name="Normal 4 13" xfId="1164"/>
    <cellStyle name="Normal 4 14" xfId="1165"/>
    <cellStyle name="Normal 4 15" xfId="1166"/>
    <cellStyle name="Normal 4 16" xfId="1167"/>
    <cellStyle name="Normal 4 17" xfId="1168"/>
    <cellStyle name="Normal 4 18" xfId="1169"/>
    <cellStyle name="Normal 4 19" xfId="1170"/>
    <cellStyle name="Normal 4 2" xfId="1171"/>
    <cellStyle name="Normal 4 2 2" xfId="1501"/>
    <cellStyle name="Normal 4 20" xfId="1172"/>
    <cellStyle name="Normal 4 21" xfId="1173"/>
    <cellStyle name="Normal 4 22" xfId="1174"/>
    <cellStyle name="Normal 4 23" xfId="1175"/>
    <cellStyle name="Normal 4 24" xfId="1176"/>
    <cellStyle name="Normal 4 25" xfId="1177"/>
    <cellStyle name="Normal 4 26" xfId="1178"/>
    <cellStyle name="Normal 4 27" xfId="1179"/>
    <cellStyle name="Normal 4 28" xfId="1180"/>
    <cellStyle name="Normal 4 29" xfId="1181"/>
    <cellStyle name="Normal 4 3" xfId="1182"/>
    <cellStyle name="Normal 4 30" xfId="1183"/>
    <cellStyle name="Normal 4 31" xfId="1184"/>
    <cellStyle name="Normal 4 32" xfId="1185"/>
    <cellStyle name="Normal 4 33" xfId="1186"/>
    <cellStyle name="Normal 4 34" xfId="1187"/>
    <cellStyle name="Normal 4 35" xfId="1188"/>
    <cellStyle name="Normal 4 36" xfId="1189"/>
    <cellStyle name="Normal 4 37" xfId="1190"/>
    <cellStyle name="Normal 4 38" xfId="1191"/>
    <cellStyle name="Normal 4 39" xfId="1192"/>
    <cellStyle name="Normal 4 4" xfId="1193"/>
    <cellStyle name="Normal 4 40" xfId="1194"/>
    <cellStyle name="Normal 4 41" xfId="1195"/>
    <cellStyle name="Normal 4 42" xfId="1196"/>
    <cellStyle name="Normal 4 43" xfId="1197"/>
    <cellStyle name="Normal 4 44" xfId="1198"/>
    <cellStyle name="Normal 4 45" xfId="1199"/>
    <cellStyle name="Normal 4 46" xfId="1200"/>
    <cellStyle name="Normal 4 47" xfId="1201"/>
    <cellStyle name="Normal 4 48" xfId="1202"/>
    <cellStyle name="Normal 4 49" xfId="1203"/>
    <cellStyle name="Normal 4 5" xfId="1204"/>
    <cellStyle name="Normal 4 50" xfId="1205"/>
    <cellStyle name="Normal 4 51" xfId="1206"/>
    <cellStyle name="Normal 4 52" xfId="1207"/>
    <cellStyle name="Normal 4 53" xfId="1208"/>
    <cellStyle name="Normal 4 54" xfId="1209"/>
    <cellStyle name="Normal 4 55" xfId="1210"/>
    <cellStyle name="Normal 4 56" xfId="1211"/>
    <cellStyle name="Normal 4 57" xfId="1212"/>
    <cellStyle name="Normal 4 58" xfId="1213"/>
    <cellStyle name="Normal 4 59" xfId="1214"/>
    <cellStyle name="Normal 4 6" xfId="1215"/>
    <cellStyle name="Normal 4 60" xfId="1216"/>
    <cellStyle name="Normal 4 61" xfId="1217"/>
    <cellStyle name="Normal 4 62" xfId="1218"/>
    <cellStyle name="Normal 4 63" xfId="1219"/>
    <cellStyle name="Normal 4 64" xfId="1220"/>
    <cellStyle name="Normal 4 65" xfId="1221"/>
    <cellStyle name="Normal 4 66" xfId="1222"/>
    <cellStyle name="Normal 4 67" xfId="1223"/>
    <cellStyle name="Normal 4 68" xfId="1224"/>
    <cellStyle name="Normal 4 69" xfId="1225"/>
    <cellStyle name="Normal 4 7" xfId="1226"/>
    <cellStyle name="Normal 4 70" xfId="1227"/>
    <cellStyle name="Normal 4 71" xfId="1228"/>
    <cellStyle name="Normal 4 72" xfId="1229"/>
    <cellStyle name="Normal 4 73" xfId="1230"/>
    <cellStyle name="Normal 4 74" xfId="1231"/>
    <cellStyle name="Normal 4 75" xfId="1232"/>
    <cellStyle name="Normal 4 76" xfId="1233"/>
    <cellStyle name="Normal 4 77" xfId="1234"/>
    <cellStyle name="Normal 4 78" xfId="1235"/>
    <cellStyle name="Normal 4 79" xfId="1236"/>
    <cellStyle name="Normal 4 8" xfId="1237"/>
    <cellStyle name="Normal 4 80" xfId="1238"/>
    <cellStyle name="Normal 4 81" xfId="1239"/>
    <cellStyle name="Normal 4 82" xfId="1240"/>
    <cellStyle name="Normal 4 83" xfId="1241"/>
    <cellStyle name="Normal 4 84" xfId="1242"/>
    <cellStyle name="Normal 4 85" xfId="1243"/>
    <cellStyle name="Normal 4 86" xfId="1244"/>
    <cellStyle name="Normal 4 87" xfId="1245"/>
    <cellStyle name="Normal 4 88" xfId="1246"/>
    <cellStyle name="Normal 4 89" xfId="1247"/>
    <cellStyle name="Normal 4 9" xfId="1248"/>
    <cellStyle name="Normal 4 90" xfId="1249"/>
    <cellStyle name="Normal 4 91" xfId="1250"/>
    <cellStyle name="Normal 4 92" xfId="1251"/>
    <cellStyle name="Normal 4 93" xfId="1252"/>
    <cellStyle name="Normal 4 94" xfId="1253"/>
    <cellStyle name="Normal 4 95" xfId="1254"/>
    <cellStyle name="Normal 4 96" xfId="1255"/>
    <cellStyle name="Normal 4 97" xfId="1256"/>
    <cellStyle name="Normal 4 98" xfId="1257"/>
    <cellStyle name="Normal 4 99" xfId="1258"/>
    <cellStyle name="Normal 40" xfId="1259"/>
    <cellStyle name="Normal 41" xfId="1260"/>
    <cellStyle name="Normal 42" xfId="1261"/>
    <cellStyle name="Normal 43" xfId="1262"/>
    <cellStyle name="Normal 44" xfId="1263"/>
    <cellStyle name="Normal 45" xfId="1264"/>
    <cellStyle name="Normal 46" xfId="1265"/>
    <cellStyle name="Normal 47" xfId="1266"/>
    <cellStyle name="Normal 48" xfId="1267"/>
    <cellStyle name="Normal 49" xfId="1268"/>
    <cellStyle name="Normal 49 2" xfId="1513"/>
    <cellStyle name="Normal 5" xfId="1269"/>
    <cellStyle name="Normal 5 2" xfId="1270"/>
    <cellStyle name="Normal 5 2 2" xfId="1271"/>
    <cellStyle name="Normal 5 2 3" xfId="1272"/>
    <cellStyle name="Normal 5 2 4" xfId="1502"/>
    <cellStyle name="Normal 5 3" xfId="1273"/>
    <cellStyle name="Normal 5 4" xfId="1274"/>
    <cellStyle name="Normal 5 5" xfId="1275"/>
    <cellStyle name="Normal 5 6" xfId="1276"/>
    <cellStyle name="Normal 5 7" xfId="1277"/>
    <cellStyle name="Normal 5 8" xfId="1278"/>
    <cellStyle name="Normal 5 8 2" xfId="1279"/>
    <cellStyle name="Normal 5 9" xfId="1280"/>
    <cellStyle name="Normal 5_Handoff Document 3.12.2010_IT_MRJ" xfId="1281"/>
    <cellStyle name="Normal 50" xfId="1282"/>
    <cellStyle name="Normal 50 2" xfId="1283"/>
    <cellStyle name="Normal 51" xfId="1284"/>
    <cellStyle name="Normal 52" xfId="1285"/>
    <cellStyle name="Normal 53" xfId="1286"/>
    <cellStyle name="Normal 54" xfId="1287"/>
    <cellStyle name="Normal 55" xfId="1288"/>
    <cellStyle name="Normal 56" xfId="1289"/>
    <cellStyle name="Normal 57" xfId="1290"/>
    <cellStyle name="Normal 58" xfId="1291"/>
    <cellStyle name="Normal 59" xfId="1292"/>
    <cellStyle name="Normal 6" xfId="1293"/>
    <cellStyle name="Normal 6 2" xfId="1294"/>
    <cellStyle name="Normal 6 2 2" xfId="1503"/>
    <cellStyle name="Normal 6 3" xfId="1295"/>
    <cellStyle name="Normal 6 4" xfId="1296"/>
    <cellStyle name="Normal 6 4 2" xfId="1297"/>
    <cellStyle name="Normal 60" xfId="1298"/>
    <cellStyle name="Normal 61" xfId="1299"/>
    <cellStyle name="Normal 62" xfId="1300"/>
    <cellStyle name="Normal 63" xfId="1301"/>
    <cellStyle name="Normal 64" xfId="1302"/>
    <cellStyle name="Normal 65" xfId="1303"/>
    <cellStyle name="Normal 66" xfId="1304"/>
    <cellStyle name="Normal 67" xfId="1305"/>
    <cellStyle name="Normal 68" xfId="1306"/>
    <cellStyle name="Normal 69" xfId="1307"/>
    <cellStyle name="Normal 7" xfId="1308"/>
    <cellStyle name="Normal 7 2" xfId="1309"/>
    <cellStyle name="Normal 7 3" xfId="1310"/>
    <cellStyle name="Normal 7 4" xfId="1311"/>
    <cellStyle name="Normal 70" xfId="1312"/>
    <cellStyle name="Normal 71" xfId="1313"/>
    <cellStyle name="Normal 71 2" xfId="1314"/>
    <cellStyle name="Normal 72" xfId="1315"/>
    <cellStyle name="Normal 73" xfId="1316"/>
    <cellStyle name="Normal 73 2" xfId="1317"/>
    <cellStyle name="Normal 74" xfId="1318"/>
    <cellStyle name="Normal 74 2" xfId="1319"/>
    <cellStyle name="Normal 75" xfId="1320"/>
    <cellStyle name="Normal 76" xfId="1321"/>
    <cellStyle name="Normal 77" xfId="1322"/>
    <cellStyle name="Normal 78" xfId="1323"/>
    <cellStyle name="Normal 79" xfId="1324"/>
    <cellStyle name="Normal 79 2" xfId="1325"/>
    <cellStyle name="Normal 8" xfId="1326"/>
    <cellStyle name="Normal 8 2" xfId="1327"/>
    <cellStyle name="Normal 8 3" xfId="1328"/>
    <cellStyle name="Normal 80" xfId="1329"/>
    <cellStyle name="Normal 81" xfId="1330"/>
    <cellStyle name="Normal 82" xfId="1331"/>
    <cellStyle name="Normal 83" xfId="1332"/>
    <cellStyle name="Normal 84" xfId="1333"/>
    <cellStyle name="Normal 85" xfId="1334"/>
    <cellStyle name="Normal 86" xfId="1335"/>
    <cellStyle name="Normal 87" xfId="1336"/>
    <cellStyle name="Normal 88" xfId="1337"/>
    <cellStyle name="Normal 89" xfId="1338"/>
    <cellStyle name="Normal 9" xfId="1339"/>
    <cellStyle name="Normal 9 2" xfId="1340"/>
    <cellStyle name="Normal 9 3" xfId="1341"/>
    <cellStyle name="Normal 9 4" xfId="1492"/>
    <cellStyle name="Normal 90" xfId="1342"/>
    <cellStyle name="Normal 91" xfId="1343"/>
    <cellStyle name="Normal 92" xfId="1344"/>
    <cellStyle name="Normal 93" xfId="1345"/>
    <cellStyle name="Normal 94" xfId="1346"/>
    <cellStyle name="Normal 95" xfId="1347"/>
    <cellStyle name="Normal 96" xfId="1348"/>
    <cellStyle name="Normal 97" xfId="1349"/>
    <cellStyle name="Normal 98" xfId="1350"/>
    <cellStyle name="Normal 99" xfId="1351"/>
    <cellStyle name="Note" xfId="15" builtinId="10" customBuiltin="1"/>
    <cellStyle name="Note 2" xfId="1352"/>
    <cellStyle name="Note 2 10" xfId="1547"/>
    <cellStyle name="Note 2 2" xfId="1353"/>
    <cellStyle name="Note 2 2 2" xfId="1583"/>
    <cellStyle name="Note 2 2 3" xfId="1546"/>
    <cellStyle name="Note 2 3" xfId="1354"/>
    <cellStyle name="Note 2 3 2" xfId="1584"/>
    <cellStyle name="Note 2 3 3" xfId="1545"/>
    <cellStyle name="Note 2 4" xfId="1355"/>
    <cellStyle name="Note 2 4 2" xfId="1585"/>
    <cellStyle name="Note 2 4 3" xfId="1544"/>
    <cellStyle name="Note 2 5" xfId="1356"/>
    <cellStyle name="Note 2 5 2" xfId="1586"/>
    <cellStyle name="Note 2 5 3" xfId="1543"/>
    <cellStyle name="Note 2 6" xfId="1357"/>
    <cellStyle name="Note 2 6 2" xfId="1587"/>
    <cellStyle name="Note 2 6 3" xfId="1542"/>
    <cellStyle name="Note 2 7" xfId="1358"/>
    <cellStyle name="Note 2 7 2" xfId="1588"/>
    <cellStyle name="Note 2 7 3" xfId="1541"/>
    <cellStyle name="Note 2 8" xfId="1359"/>
    <cellStyle name="Note 2 8 2" xfId="1589"/>
    <cellStyle name="Note 2 8 3" xfId="1540"/>
    <cellStyle name="Note 2 9" xfId="1582"/>
    <cellStyle name="Note 3" xfId="1360"/>
    <cellStyle name="Note 3 2" xfId="1361"/>
    <cellStyle name="Note 3 2 2" xfId="1591"/>
    <cellStyle name="Note 3 2 3" xfId="1538"/>
    <cellStyle name="Note 3 3" xfId="1362"/>
    <cellStyle name="Note 3 3 2" xfId="1592"/>
    <cellStyle name="Note 3 3 3" xfId="1537"/>
    <cellStyle name="Note 3 4" xfId="1363"/>
    <cellStyle name="Note 3 4 2" xfId="1593"/>
    <cellStyle name="Note 3 4 3" xfId="1536"/>
    <cellStyle name="Note 3 5" xfId="1364"/>
    <cellStyle name="Note 3 5 2" xfId="1594"/>
    <cellStyle name="Note 3 5 3" xfId="1535"/>
    <cellStyle name="Note 3 6" xfId="1365"/>
    <cellStyle name="Note 3 6 2" xfId="1595"/>
    <cellStyle name="Note 3 6 3" xfId="1534"/>
    <cellStyle name="Note 3 7" xfId="1590"/>
    <cellStyle name="Note 3 8" xfId="1539"/>
    <cellStyle name="Note 4" xfId="1366"/>
    <cellStyle name="Note 4 2" xfId="1367"/>
    <cellStyle name="Note 4 2 2" xfId="1597"/>
    <cellStyle name="Note 4 2 3" xfId="1532"/>
    <cellStyle name="Note 4 3" xfId="1368"/>
    <cellStyle name="Note 4 3 2" xfId="1598"/>
    <cellStyle name="Note 4 3 3" xfId="1531"/>
    <cellStyle name="Note 4 4" xfId="1369"/>
    <cellStyle name="Note 4 4 2" xfId="1599"/>
    <cellStyle name="Note 4 4 3" xfId="1530"/>
    <cellStyle name="Note 4 5" xfId="1370"/>
    <cellStyle name="Note 4 5 2" xfId="1600"/>
    <cellStyle name="Note 4 5 3" xfId="1529"/>
    <cellStyle name="Note 4 6" xfId="1371"/>
    <cellStyle name="Note 4 6 2" xfId="1601"/>
    <cellStyle name="Note 4 6 3" xfId="1528"/>
    <cellStyle name="Note 4 7" xfId="1596"/>
    <cellStyle name="Note 4 8" xfId="1533"/>
    <cellStyle name="Note 5" xfId="1372"/>
    <cellStyle name="Note 5 2" xfId="1373"/>
    <cellStyle name="Note 5 2 2" xfId="1603"/>
    <cellStyle name="Note 5 2 3" xfId="1526"/>
    <cellStyle name="Note 5 3" xfId="1374"/>
    <cellStyle name="Note 5 3 2" xfId="1604"/>
    <cellStyle name="Note 5 3 3" xfId="1525"/>
    <cellStyle name="Note 5 4" xfId="1375"/>
    <cellStyle name="Note 5 4 2" xfId="1605"/>
    <cellStyle name="Note 5 4 3" xfId="1524"/>
    <cellStyle name="Note 5 5" xfId="1376"/>
    <cellStyle name="Note 5 5 2" xfId="1606"/>
    <cellStyle name="Note 5 5 3" xfId="1523"/>
    <cellStyle name="Note 5 6" xfId="1377"/>
    <cellStyle name="Note 5 6 2" xfId="1607"/>
    <cellStyle name="Note 5 6 3" xfId="1522"/>
    <cellStyle name="Note 5 7" xfId="1602"/>
    <cellStyle name="Note 5 8" xfId="1527"/>
    <cellStyle name="Note 6" xfId="1378"/>
    <cellStyle name="Note 6 2" xfId="1379"/>
    <cellStyle name="Note 7" xfId="1380"/>
    <cellStyle name="Note 8" xfId="1381"/>
    <cellStyle name="Note 9" xfId="1382"/>
    <cellStyle name="Output" xfId="10" builtinId="21" customBuiltin="1"/>
    <cellStyle name="Output 2" xfId="1383"/>
    <cellStyle name="Output 2 2" xfId="1384"/>
    <cellStyle name="Output 2 2 2" xfId="1609"/>
    <cellStyle name="Output 2 2 3" xfId="1520"/>
    <cellStyle name="Output 2 3" xfId="1385"/>
    <cellStyle name="Output 2 3 2" xfId="1610"/>
    <cellStyle name="Output 2 3 3" xfId="1519"/>
    <cellStyle name="Output 2 4" xfId="1608"/>
    <cellStyle name="Output 2 5" xfId="1521"/>
    <cellStyle name="Output 3" xfId="1386"/>
    <cellStyle name="Output 3 2" xfId="1611"/>
    <cellStyle name="Output 3 3" xfId="1518"/>
    <cellStyle name="Output 4" xfId="1387"/>
    <cellStyle name="Output 4 2" xfId="1612"/>
    <cellStyle name="Output 4 3" xfId="1517"/>
    <cellStyle name="Output 5" xfId="1388"/>
    <cellStyle name="Output 5 2" xfId="1613"/>
    <cellStyle name="Output 5 3" xfId="1516"/>
    <cellStyle name="Percent" xfId="1491" builtinId="5"/>
    <cellStyle name="Percent 10" xfId="1389"/>
    <cellStyle name="Percent 2" xfId="1390"/>
    <cellStyle name="Percent 2 2" xfId="1391"/>
    <cellStyle name="Percent 2 2 2" xfId="1392"/>
    <cellStyle name="Percent 2 2 3" xfId="1393"/>
    <cellStyle name="Percent 2 2 4" xfId="1394"/>
    <cellStyle name="Percent 2 3" xfId="1395"/>
    <cellStyle name="Percent 2 3 2" xfId="1396"/>
    <cellStyle name="Percent 2 3 3" xfId="1397"/>
    <cellStyle name="Percent 2 3 4" xfId="1504"/>
    <cellStyle name="Percent 2 4" xfId="1398"/>
    <cellStyle name="Percent 2 4 2" xfId="1399"/>
    <cellStyle name="Percent 2 4 3" xfId="1400"/>
    <cellStyle name="Percent 2 4 4" xfId="1505"/>
    <cellStyle name="Percent 2 5" xfId="1401"/>
    <cellStyle name="Percent 2 5 2" xfId="1402"/>
    <cellStyle name="Percent 2 6" xfId="1403"/>
    <cellStyle name="Percent 3" xfId="1404"/>
    <cellStyle name="Percent 3 2" xfId="1405"/>
    <cellStyle name="Percent 3 2 2" xfId="1406"/>
    <cellStyle name="Percent 3 2 3" xfId="1407"/>
    <cellStyle name="Percent 3 3" xfId="1408"/>
    <cellStyle name="Percent 3 3 2" xfId="1409"/>
    <cellStyle name="Percent 3 3 3" xfId="1410"/>
    <cellStyle name="Percent 3 4" xfId="1411"/>
    <cellStyle name="Percent 3 5" xfId="1412"/>
    <cellStyle name="Percent 4" xfId="1413"/>
    <cellStyle name="Percent 4 2" xfId="1414"/>
    <cellStyle name="Percent 4 2 2" xfId="1415"/>
    <cellStyle name="Percent 4 2 2 2" xfId="1506"/>
    <cellStyle name="Percent 4 2 3" xfId="1416"/>
    <cellStyle name="Percent 4 2 4" xfId="1417"/>
    <cellStyle name="Percent 4 3" xfId="1418"/>
    <cellStyle name="Percent 4 3 2" xfId="1419"/>
    <cellStyle name="Percent 4 3 3" xfId="1420"/>
    <cellStyle name="Percent 4 4" xfId="1421"/>
    <cellStyle name="Percent 4 4 2" xfId="1507"/>
    <cellStyle name="Percent 4 5" xfId="1422"/>
    <cellStyle name="Percent 5" xfId="1423"/>
    <cellStyle name="Percent 5 2" xfId="1424"/>
    <cellStyle name="Percent 5 3" xfId="1425"/>
    <cellStyle name="Percent 5 4" xfId="1426"/>
    <cellStyle name="Percent 6" xfId="1427"/>
    <cellStyle name="Percent 6 2" xfId="1428"/>
    <cellStyle name="Percent 6 2 2" xfId="1429"/>
    <cellStyle name="Percent 6 2 3" xfId="1430"/>
    <cellStyle name="Percent 6 3" xfId="1431"/>
    <cellStyle name="Percent 6 4" xfId="1432"/>
    <cellStyle name="Percent 7" xfId="1433"/>
    <cellStyle name="Percent 7 2" xfId="1434"/>
    <cellStyle name="Percent 7 2 2" xfId="1435"/>
    <cellStyle name="Percent 7 2 3" xfId="1436"/>
    <cellStyle name="Percent 7 3" xfId="1437"/>
    <cellStyle name="Percent 7 4" xfId="1438"/>
    <cellStyle name="Percent 7 5" xfId="1508"/>
    <cellStyle name="Percent 8" xfId="1439"/>
    <cellStyle name="Percent 8 2" xfId="1440"/>
    <cellStyle name="Percent 9" xfId="1441"/>
    <cellStyle name="Standard_DATEN" xfId="1442"/>
    <cellStyle name="Title" xfId="1" builtinId="15" customBuiltin="1"/>
    <cellStyle name="Title 2" xfId="1443"/>
    <cellStyle name="Title 2 2" xfId="1444"/>
    <cellStyle name="Title 2 3" xfId="1445"/>
    <cellStyle name="Title 3" xfId="1446"/>
    <cellStyle name="Title 4" xfId="1447"/>
    <cellStyle name="Title 5" xfId="1448"/>
    <cellStyle name="Title 6" xfId="1489"/>
    <cellStyle name="Total" xfId="17" builtinId="25" customBuiltin="1"/>
    <cellStyle name="Total 2" xfId="1449"/>
    <cellStyle name="Total 2 10" xfId="1641"/>
    <cellStyle name="Total 2 2" xfId="1450"/>
    <cellStyle name="Total 2 2 2" xfId="1451"/>
    <cellStyle name="Total 2 2 2 2" xfId="1616"/>
    <cellStyle name="Total 2 2 2 3" xfId="1643"/>
    <cellStyle name="Total 2 2 3" xfId="1452"/>
    <cellStyle name="Total 2 2 3 2" xfId="1617"/>
    <cellStyle name="Total 2 2 3 3" xfId="1644"/>
    <cellStyle name="Total 2 2 4" xfId="1615"/>
    <cellStyle name="Total 2 2 5" xfId="1642"/>
    <cellStyle name="Total 2 3" xfId="1453"/>
    <cellStyle name="Total 2 3 2" xfId="1618"/>
    <cellStyle name="Total 2 3 3" xfId="1645"/>
    <cellStyle name="Total 2 4" xfId="1454"/>
    <cellStyle name="Total 2 4 2" xfId="1619"/>
    <cellStyle name="Total 2 4 3" xfId="1646"/>
    <cellStyle name="Total 2 5" xfId="1455"/>
    <cellStyle name="Total 2 5 2" xfId="1620"/>
    <cellStyle name="Total 2 5 3" xfId="1647"/>
    <cellStyle name="Total 2 6" xfId="1456"/>
    <cellStyle name="Total 2 6 2" xfId="1621"/>
    <cellStyle name="Total 2 6 3" xfId="1648"/>
    <cellStyle name="Total 2 7" xfId="1457"/>
    <cellStyle name="Total 2 8" xfId="1458"/>
    <cellStyle name="Total 2 8 2" xfId="1622"/>
    <cellStyle name="Total 2 8 3" xfId="1649"/>
    <cellStyle name="Total 2 9" xfId="1614"/>
    <cellStyle name="Total 2_Handoff Document 3.12.2010_IT_MRJ" xfId="1459"/>
    <cellStyle name="Total 3" xfId="1460"/>
    <cellStyle name="Total 3 2" xfId="1461"/>
    <cellStyle name="Total 3 2 2" xfId="1624"/>
    <cellStyle name="Total 3 2 3" xfId="1651"/>
    <cellStyle name="Total 3 3" xfId="1462"/>
    <cellStyle name="Total 3 3 2" xfId="1625"/>
    <cellStyle name="Total 3 3 3" xfId="1652"/>
    <cellStyle name="Total 3 4" xfId="1463"/>
    <cellStyle name="Total 3 4 2" xfId="1626"/>
    <cellStyle name="Total 3 4 3" xfId="1653"/>
    <cellStyle name="Total 3 5" xfId="1464"/>
    <cellStyle name="Total 3 5 2" xfId="1627"/>
    <cellStyle name="Total 3 5 3" xfId="1654"/>
    <cellStyle name="Total 3 6" xfId="1465"/>
    <cellStyle name="Total 3 6 2" xfId="1628"/>
    <cellStyle name="Total 3 6 3" xfId="1655"/>
    <cellStyle name="Total 3 7" xfId="1623"/>
    <cellStyle name="Total 3 8" xfId="1650"/>
    <cellStyle name="Total 3_Handoff Document 3.12.2010_IT_MRJ" xfId="1466"/>
    <cellStyle name="Total 4" xfId="1467"/>
    <cellStyle name="Total 4 2" xfId="1468"/>
    <cellStyle name="Total 4 2 2" xfId="1630"/>
    <cellStyle name="Total 4 2 3" xfId="1657"/>
    <cellStyle name="Total 4 3" xfId="1469"/>
    <cellStyle name="Total 4 3 2" xfId="1631"/>
    <cellStyle name="Total 4 3 3" xfId="1658"/>
    <cellStyle name="Total 4 4" xfId="1470"/>
    <cellStyle name="Total 4 4 2" xfId="1632"/>
    <cellStyle name="Total 4 4 3" xfId="1659"/>
    <cellStyle name="Total 4 5" xfId="1471"/>
    <cellStyle name="Total 4 5 2" xfId="1633"/>
    <cellStyle name="Total 4 5 3" xfId="1660"/>
    <cellStyle name="Total 4 6" xfId="1472"/>
    <cellStyle name="Total 4 6 2" xfId="1634"/>
    <cellStyle name="Total 4 6 3" xfId="1661"/>
    <cellStyle name="Total 4 7" xfId="1629"/>
    <cellStyle name="Total 4 8" xfId="1656"/>
    <cellStyle name="Total 4_Handoff Document 3.12.2010_IT_MRJ" xfId="1473"/>
    <cellStyle name="Total 5" xfId="1474"/>
    <cellStyle name="Total 5 2" xfId="1475"/>
    <cellStyle name="Total 5 2 2" xfId="1636"/>
    <cellStyle name="Total 5 2 3" xfId="1663"/>
    <cellStyle name="Total 5 3" xfId="1476"/>
    <cellStyle name="Total 5 3 2" xfId="1637"/>
    <cellStyle name="Total 5 3 3" xfId="1664"/>
    <cellStyle name="Total 5 4" xfId="1477"/>
    <cellStyle name="Total 5 4 2" xfId="1638"/>
    <cellStyle name="Total 5 4 3" xfId="1665"/>
    <cellStyle name="Total 5 5" xfId="1478"/>
    <cellStyle name="Total 5 5 2" xfId="1639"/>
    <cellStyle name="Total 5 5 3" xfId="1666"/>
    <cellStyle name="Total 5 6" xfId="1479"/>
    <cellStyle name="Total 5 6 2" xfId="1640"/>
    <cellStyle name="Total 5 6 3" xfId="1667"/>
    <cellStyle name="Total 5 7" xfId="1635"/>
    <cellStyle name="Total 5 8" xfId="1662"/>
    <cellStyle name="Total 5_Handoff Document 3.12.2010_IT_MRJ" xfId="1480"/>
    <cellStyle name="Validated_Data" xfId="1481"/>
    <cellStyle name="Währung [0]_DATEN" xfId="1482"/>
    <cellStyle name="Währung_DATEN" xfId="1483"/>
    <cellStyle name="Warning Text" xfId="14" builtinId="11" customBuiltin="1"/>
    <cellStyle name="Warning Text 2" xfId="1484"/>
    <cellStyle name="Warning Text 3" xfId="1485"/>
    <cellStyle name="Warning Text 4" xfId="1486"/>
    <cellStyle name="Warning Text 5" xfId="1487"/>
  </cellStyles>
  <dxfs count="0"/>
  <tableStyles count="0" defaultTableStyle="TableStyleMedium2" defaultPivotStyle="PivotStyleLight16"/>
  <colors>
    <mruColors>
      <color rgb="FFA6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Purchase price</a:t>
            </a:r>
          </a:p>
        </c:rich>
      </c:tx>
      <c:overlay val="0"/>
      <c:spPr>
        <a:noFill/>
        <a:ln>
          <a:noFill/>
        </a:ln>
        <a:effectLst/>
      </c:spPr>
    </c:title>
    <c:autoTitleDeleted val="0"/>
    <c:plotArea>
      <c:layout/>
      <c:lineChart>
        <c:grouping val="standard"/>
        <c:varyColors val="0"/>
        <c:ser>
          <c:idx val="0"/>
          <c:order val="0"/>
          <c:tx>
            <c:strRef>
              <c:f>'Example Calculation'!$L$21</c:f>
              <c:strCache>
                <c:ptCount val="1"/>
                <c:pt idx="0">
                  <c:v>          Purchase price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'Example Calculation'!$N$19:$T$19</c:f>
              <c:strCache>
                <c:ptCount val="7"/>
                <c:pt idx="0">
                  <c:v>EL 0</c:v>
                </c:pt>
                <c:pt idx="1">
                  <c:v>EL 1</c:v>
                </c:pt>
                <c:pt idx="2">
                  <c:v>EL 2</c:v>
                </c:pt>
                <c:pt idx="3">
                  <c:v>EL 3</c:v>
                </c:pt>
                <c:pt idx="4">
                  <c:v>EL 4</c:v>
                </c:pt>
                <c:pt idx="5">
                  <c:v>EL 5</c:v>
                </c:pt>
                <c:pt idx="6">
                  <c:v>EL 6</c:v>
                </c:pt>
              </c:strCache>
            </c:strRef>
          </c:cat>
          <c:val>
            <c:numRef>
              <c:f>'Example Calculation'!$N$21:$T$21</c:f>
              <c:numCache>
                <c:formatCode>_("$"* #,##0_);_("$"* \(#,##0\);_("$"* "-"??_);_(@_)</c:formatCode>
                <c:ptCount val="7"/>
                <c:pt idx="0">
                  <c:v>1015.8163197040828</c:v>
                </c:pt>
                <c:pt idx="1">
                  <c:v>1015.8163197040828</c:v>
                </c:pt>
                <c:pt idx="2">
                  <c:v>1015.8163197040828</c:v>
                </c:pt>
                <c:pt idx="3">
                  <c:v>1015.8163197040828</c:v>
                </c:pt>
                <c:pt idx="4">
                  <c:v>1269.6654643909069</c:v>
                </c:pt>
                <c:pt idx="5">
                  <c:v>1244.3457524534342</c:v>
                </c:pt>
                <c:pt idx="6">
                  <c:v>1530.2124325060649</c:v>
                </c:pt>
              </c:numCache>
            </c:numRef>
          </c:val>
          <c:smooth val="0"/>
        </c:ser>
        <c:dLbls>
          <c:showLegendKey val="0"/>
          <c:showVal val="0"/>
          <c:showCatName val="0"/>
          <c:showSerName val="0"/>
          <c:showPercent val="0"/>
          <c:showBubbleSize val="0"/>
        </c:dLbls>
        <c:marker val="1"/>
        <c:smooth val="0"/>
        <c:axId val="48112000"/>
        <c:axId val="48113920"/>
      </c:lineChart>
      <c:catAx>
        <c:axId val="481120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13920"/>
        <c:crosses val="autoZero"/>
        <c:auto val="1"/>
        <c:lblAlgn val="ctr"/>
        <c:lblOffset val="100"/>
        <c:noMultiLvlLbl val="0"/>
      </c:catAx>
      <c:valAx>
        <c:axId val="4811392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12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'Example Calculation'!$L$47</c:f>
              <c:strCache>
                <c:ptCount val="1"/>
                <c:pt idx="0">
                  <c:v>Efficiency ratio at operating point (base case to EL)</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'Example Calculation'!$O$19:$T$19</c:f>
              <c:strCache>
                <c:ptCount val="6"/>
                <c:pt idx="0">
                  <c:v>EL 1</c:v>
                </c:pt>
                <c:pt idx="1">
                  <c:v>EL 2</c:v>
                </c:pt>
                <c:pt idx="2">
                  <c:v>EL 3</c:v>
                </c:pt>
                <c:pt idx="3">
                  <c:v>EL 4</c:v>
                </c:pt>
                <c:pt idx="4">
                  <c:v>EL 5</c:v>
                </c:pt>
                <c:pt idx="5">
                  <c:v>EL 6</c:v>
                </c:pt>
              </c:strCache>
            </c:strRef>
          </c:cat>
          <c:val>
            <c:numRef>
              <c:f>'Example Calculation'!$O$47:$T$47</c:f>
              <c:numCache>
                <c:formatCode>0.000</c:formatCode>
                <c:ptCount val="6"/>
                <c:pt idx="0">
                  <c:v>1</c:v>
                </c:pt>
                <c:pt idx="1">
                  <c:v>1</c:v>
                </c:pt>
                <c:pt idx="2">
                  <c:v>1</c:v>
                </c:pt>
                <c:pt idx="3">
                  <c:v>1.0933982646341518</c:v>
                </c:pt>
                <c:pt idx="4">
                  <c:v>1.0933982646341518</c:v>
                </c:pt>
                <c:pt idx="5">
                  <c:v>1.2769639545836367</c:v>
                </c:pt>
              </c:numCache>
            </c:numRef>
          </c:val>
          <c:smooth val="0"/>
        </c:ser>
        <c:dLbls>
          <c:showLegendKey val="0"/>
          <c:showVal val="0"/>
          <c:showCatName val="0"/>
          <c:showSerName val="0"/>
          <c:showPercent val="0"/>
          <c:showBubbleSize val="0"/>
        </c:dLbls>
        <c:marker val="1"/>
        <c:smooth val="0"/>
        <c:axId val="49429120"/>
        <c:axId val="49455872"/>
      </c:lineChart>
      <c:catAx>
        <c:axId val="49429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55872"/>
        <c:crosses val="autoZero"/>
        <c:auto val="1"/>
        <c:lblAlgn val="ctr"/>
        <c:lblOffset val="100"/>
        <c:noMultiLvlLbl val="0"/>
      </c:catAx>
      <c:valAx>
        <c:axId val="494558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29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'Example Calculation'!$L$48</c:f>
              <c:strCache>
                <c:ptCount val="1"/>
                <c:pt idx="0">
                  <c:v>Energy use ratio (EL to base case)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'Example Calculation'!$O$19:$T$19</c:f>
              <c:strCache>
                <c:ptCount val="6"/>
                <c:pt idx="0">
                  <c:v>EL 1</c:v>
                </c:pt>
                <c:pt idx="1">
                  <c:v>EL 2</c:v>
                </c:pt>
                <c:pt idx="2">
                  <c:v>EL 3</c:v>
                </c:pt>
                <c:pt idx="3">
                  <c:v>EL 4</c:v>
                </c:pt>
                <c:pt idx="4">
                  <c:v>EL 5</c:v>
                </c:pt>
                <c:pt idx="5">
                  <c:v>EL 6</c:v>
                </c:pt>
              </c:strCache>
            </c:strRef>
          </c:cat>
          <c:val>
            <c:numRef>
              <c:f>'Example Calculation'!$O$48:$T$48</c:f>
              <c:numCache>
                <c:formatCode>0.000</c:formatCode>
                <c:ptCount val="6"/>
                <c:pt idx="0">
                  <c:v>1</c:v>
                </c:pt>
                <c:pt idx="1">
                  <c:v>1</c:v>
                </c:pt>
                <c:pt idx="2">
                  <c:v>1</c:v>
                </c:pt>
                <c:pt idx="3">
                  <c:v>0.71680280514961114</c:v>
                </c:pt>
                <c:pt idx="4">
                  <c:v>0.71680280514961114</c:v>
                </c:pt>
                <c:pt idx="5">
                  <c:v>0.82751430283958605</c:v>
                </c:pt>
              </c:numCache>
            </c:numRef>
          </c:val>
          <c:smooth val="0"/>
        </c:ser>
        <c:dLbls>
          <c:showLegendKey val="0"/>
          <c:showVal val="0"/>
          <c:showCatName val="0"/>
          <c:showSerName val="0"/>
          <c:showPercent val="0"/>
          <c:showBubbleSize val="0"/>
        </c:dLbls>
        <c:marker val="1"/>
        <c:smooth val="0"/>
        <c:axId val="49152000"/>
        <c:axId val="49153920"/>
      </c:lineChart>
      <c:catAx>
        <c:axId val="491520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153920"/>
        <c:crosses val="autoZero"/>
        <c:auto val="1"/>
        <c:lblAlgn val="ctr"/>
        <c:lblOffset val="100"/>
        <c:noMultiLvlLbl val="0"/>
      </c:catAx>
      <c:valAx>
        <c:axId val="49153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152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78958880139999"/>
          <c:y val="0.260280701754386"/>
          <c:w val="0.83080752405949299"/>
          <c:h val="0.49973145462080398"/>
        </c:manualLayout>
      </c:layout>
      <c:lineChart>
        <c:grouping val="standard"/>
        <c:varyColors val="0"/>
        <c:ser>
          <c:idx val="0"/>
          <c:order val="0"/>
          <c:tx>
            <c:strRef>
              <c:f>'Example Calculation'!$L$38</c:f>
              <c:strCache>
                <c:ptCount val="1"/>
                <c:pt idx="0">
                  <c:v>FEI </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'Example Calculation'!$N$19:$T$19</c:f>
              <c:strCache>
                <c:ptCount val="7"/>
                <c:pt idx="0">
                  <c:v>EL 0</c:v>
                </c:pt>
                <c:pt idx="1">
                  <c:v>EL 1</c:v>
                </c:pt>
                <c:pt idx="2">
                  <c:v>EL 2</c:v>
                </c:pt>
                <c:pt idx="3">
                  <c:v>EL 3</c:v>
                </c:pt>
                <c:pt idx="4">
                  <c:v>EL 4</c:v>
                </c:pt>
                <c:pt idx="5">
                  <c:v>EL 5</c:v>
                </c:pt>
                <c:pt idx="6">
                  <c:v>EL 6</c:v>
                </c:pt>
              </c:strCache>
            </c:strRef>
          </c:cat>
          <c:val>
            <c:numRef>
              <c:f>'Example Calculation'!$N$38:$T$38</c:f>
              <c:numCache>
                <c:formatCode>0.00</c:formatCode>
                <c:ptCount val="7"/>
                <c:pt idx="0">
                  <c:v>1.0186715109698261</c:v>
                </c:pt>
                <c:pt idx="1">
                  <c:v>1.0186715109698261</c:v>
                </c:pt>
                <c:pt idx="2">
                  <c:v>1.0186715109698261</c:v>
                </c:pt>
                <c:pt idx="3">
                  <c:v>1.0186715109698261</c:v>
                </c:pt>
                <c:pt idx="4">
                  <c:v>1.5126391587273749</c:v>
                </c:pt>
                <c:pt idx="5">
                  <c:v>1.5126391587273749</c:v>
                </c:pt>
                <c:pt idx="6">
                  <c:v>1.2694190952837008</c:v>
                </c:pt>
              </c:numCache>
            </c:numRef>
          </c:val>
          <c:smooth val="0"/>
        </c:ser>
        <c:dLbls>
          <c:showLegendKey val="0"/>
          <c:showVal val="0"/>
          <c:showCatName val="0"/>
          <c:showSerName val="0"/>
          <c:showPercent val="0"/>
          <c:showBubbleSize val="0"/>
        </c:dLbls>
        <c:marker val="1"/>
        <c:smooth val="0"/>
        <c:axId val="49173632"/>
        <c:axId val="49175552"/>
      </c:lineChart>
      <c:catAx>
        <c:axId val="49173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175552"/>
        <c:crosses val="autoZero"/>
        <c:auto val="1"/>
        <c:lblAlgn val="ctr"/>
        <c:lblOffset val="100"/>
        <c:noMultiLvlLbl val="0"/>
      </c:catAx>
      <c:valAx>
        <c:axId val="491755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173632"/>
        <c:crosses val="autoZero"/>
        <c:crossBetween val="between"/>
      </c:valAx>
      <c:spPr>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Survival Function</a:t>
            </a:r>
          </a:p>
        </c:rich>
      </c:tx>
      <c:overlay val="0"/>
    </c:title>
    <c:autoTitleDeleted val="0"/>
    <c:plotArea>
      <c:layout>
        <c:manualLayout>
          <c:layoutTarget val="inner"/>
          <c:xMode val="edge"/>
          <c:yMode val="edge"/>
          <c:x val="0.135905847811054"/>
          <c:y val="0.13248930961661701"/>
          <c:w val="0.79427586223173596"/>
          <c:h val="0.62635305206880898"/>
        </c:manualLayout>
      </c:layout>
      <c:scatterChart>
        <c:scatterStyle val="smoothMarker"/>
        <c:varyColors val="0"/>
        <c:ser>
          <c:idx val="1"/>
          <c:order val="0"/>
          <c:tx>
            <c:v>Standalone</c:v>
          </c:tx>
          <c:marker>
            <c:symbol val="none"/>
          </c:marker>
          <c:xVal>
            <c:numRef>
              <c:f>Lifetime!$H$12:$H$46</c:f>
              <c:numCache>
                <c:formatCode>General</c:formatCode>
                <c:ptCount val="35"/>
                <c:pt idx="0">
                  <c:v>36000</c:v>
                </c:pt>
                <c:pt idx="1">
                  <c:v>48000</c:v>
                </c:pt>
                <c:pt idx="2">
                  <c:v>60000</c:v>
                </c:pt>
                <c:pt idx="3">
                  <c:v>72000</c:v>
                </c:pt>
                <c:pt idx="4">
                  <c:v>84000</c:v>
                </c:pt>
                <c:pt idx="5">
                  <c:v>96000</c:v>
                </c:pt>
                <c:pt idx="6">
                  <c:v>108000</c:v>
                </c:pt>
                <c:pt idx="7">
                  <c:v>120000</c:v>
                </c:pt>
                <c:pt idx="8">
                  <c:v>132000</c:v>
                </c:pt>
                <c:pt idx="9">
                  <c:v>144000</c:v>
                </c:pt>
                <c:pt idx="10">
                  <c:v>156000</c:v>
                </c:pt>
                <c:pt idx="11">
                  <c:v>168000</c:v>
                </c:pt>
                <c:pt idx="12">
                  <c:v>180000</c:v>
                </c:pt>
                <c:pt idx="13">
                  <c:v>192000</c:v>
                </c:pt>
                <c:pt idx="14">
                  <c:v>204000</c:v>
                </c:pt>
                <c:pt idx="15">
                  <c:v>216000</c:v>
                </c:pt>
                <c:pt idx="16">
                  <c:v>228000</c:v>
                </c:pt>
                <c:pt idx="17">
                  <c:v>240000</c:v>
                </c:pt>
                <c:pt idx="18">
                  <c:v>252000</c:v>
                </c:pt>
                <c:pt idx="19">
                  <c:v>264000</c:v>
                </c:pt>
                <c:pt idx="20">
                  <c:v>276000</c:v>
                </c:pt>
                <c:pt idx="21">
                  <c:v>288000</c:v>
                </c:pt>
                <c:pt idx="22">
                  <c:v>300000</c:v>
                </c:pt>
                <c:pt idx="23">
                  <c:v>312000</c:v>
                </c:pt>
                <c:pt idx="24">
                  <c:v>324000</c:v>
                </c:pt>
                <c:pt idx="25">
                  <c:v>336000</c:v>
                </c:pt>
                <c:pt idx="26">
                  <c:v>348000</c:v>
                </c:pt>
                <c:pt idx="27">
                  <c:v>360000</c:v>
                </c:pt>
                <c:pt idx="28">
                  <c:v>372000</c:v>
                </c:pt>
                <c:pt idx="29">
                  <c:v>384000</c:v>
                </c:pt>
                <c:pt idx="30">
                  <c:v>396000</c:v>
                </c:pt>
                <c:pt idx="31">
                  <c:v>408000</c:v>
                </c:pt>
                <c:pt idx="32">
                  <c:v>420000</c:v>
                </c:pt>
                <c:pt idx="33">
                  <c:v>432000</c:v>
                </c:pt>
                <c:pt idx="34">
                  <c:v>436000</c:v>
                </c:pt>
              </c:numCache>
            </c:numRef>
          </c:xVal>
          <c:yVal>
            <c:numRef>
              <c:f>Lifetime!$J$12:$J$46</c:f>
              <c:numCache>
                <c:formatCode>0%</c:formatCode>
                <c:ptCount val="35"/>
                <c:pt idx="0">
                  <c:v>1</c:v>
                </c:pt>
                <c:pt idx="1">
                  <c:v>0.99439079069108094</c:v>
                </c:pt>
                <c:pt idx="2">
                  <c:v>0.97775123719333634</c:v>
                </c:pt>
                <c:pt idx="3">
                  <c:v>0.95063509185869843</c:v>
                </c:pt>
                <c:pt idx="4">
                  <c:v>0.91393118527122819</c:v>
                </c:pt>
                <c:pt idx="5">
                  <c:v>0.86881505626284317</c:v>
                </c:pt>
                <c:pt idx="6">
                  <c:v>0.81668648259811083</c:v>
                </c:pt>
                <c:pt idx="7">
                  <c:v>0.75909753897098087</c:v>
                </c:pt>
                <c:pt idx="8">
                  <c:v>0.69767632607103103</c:v>
                </c:pt>
                <c:pt idx="9">
                  <c:v>0.63405156185806755</c:v>
                </c:pt>
                <c:pt idx="10">
                  <c:v>0.56978282473092301</c:v>
                </c:pt>
                <c:pt idx="11">
                  <c:v>0.50630045567338144</c:v>
                </c:pt>
                <c:pt idx="12">
                  <c:v>0.44485806622294111</c:v>
                </c:pt>
                <c:pt idx="13">
                  <c:v>0.3864993858344643</c:v>
                </c:pt>
                <c:pt idx="14">
                  <c:v>0.33203994534466064</c:v>
                </c:pt>
                <c:pt idx="15">
                  <c:v>0.28206295169381546</c:v>
                </c:pt>
                <c:pt idx="16">
                  <c:v>0.23692775868212179</c:v>
                </c:pt>
                <c:pt idx="17">
                  <c:v>0.19678864385849193</c:v>
                </c:pt>
                <c:pt idx="18">
                  <c:v>0.16162119246533924</c:v>
                </c:pt>
                <c:pt idx="19">
                  <c:v>0.13125346209390099</c:v>
                </c:pt>
                <c:pt idx="20">
                  <c:v>0.10539922456186435</c:v>
                </c:pt>
                <c:pt idx="21">
                  <c:v>8.3690902428892655E-2</c:v>
                </c:pt>
                <c:pt idx="22">
                  <c:v>6.5710273227502891E-2</c:v>
                </c:pt>
                <c:pt idx="23">
                  <c:v>5.1015539326026982E-2</c:v>
                </c:pt>
                <c:pt idx="24">
                  <c:v>3.91638950989871E-2</c:v>
                </c:pt>
                <c:pt idx="25">
                  <c:v>2.9729216386158774E-2</c:v>
                </c:pt>
                <c:pt idx="26">
                  <c:v>2.2314914776966455E-2</c:v>
                </c:pt>
                <c:pt idx="27">
                  <c:v>1.656232071581154E-2</c:v>
                </c:pt>
                <c:pt idx="28">
                  <c:v>1.2155178329914973E-2</c:v>
                </c:pt>
                <c:pt idx="29">
                  <c:v>8.8209562188878987E-3</c:v>
                </c:pt>
                <c:pt idx="30">
                  <c:v>6.329715427485727E-3</c:v>
                </c:pt>
                <c:pt idx="31">
                  <c:v>4.4912464947448605E-3</c:v>
                </c:pt>
                <c:pt idx="32">
                  <c:v>3.1511115984443894E-3</c:v>
                </c:pt>
                <c:pt idx="33">
                  <c:v>2.1861243633893856E-3</c:v>
                </c:pt>
                <c:pt idx="34">
                  <c:v>1.9304541362277217E-3</c:v>
                </c:pt>
              </c:numCache>
            </c:numRef>
          </c:yVal>
          <c:smooth val="1"/>
        </c:ser>
        <c:ser>
          <c:idx val="0"/>
          <c:order val="1"/>
          <c:tx>
            <c:v>Embedded</c:v>
          </c:tx>
          <c:spPr>
            <a:ln>
              <a:solidFill>
                <a:srgbClr val="92D050"/>
              </a:solidFill>
            </a:ln>
          </c:spPr>
          <c:marker>
            <c:symbol val="none"/>
          </c:marker>
          <c:xVal>
            <c:numRef>
              <c:f>Lifetime!$K$12:$K$46</c:f>
              <c:numCache>
                <c:formatCode>0</c:formatCode>
                <c:ptCount val="35"/>
                <c:pt idx="0">
                  <c:v>9000</c:v>
                </c:pt>
                <c:pt idx="1">
                  <c:v>12637.5</c:v>
                </c:pt>
                <c:pt idx="2">
                  <c:v>16275</c:v>
                </c:pt>
                <c:pt idx="3">
                  <c:v>19912.5</c:v>
                </c:pt>
                <c:pt idx="4">
                  <c:v>23550</c:v>
                </c:pt>
                <c:pt idx="5">
                  <c:v>27187.5</c:v>
                </c:pt>
                <c:pt idx="6">
                  <c:v>30825</c:v>
                </c:pt>
                <c:pt idx="7">
                  <c:v>34462.5</c:v>
                </c:pt>
                <c:pt idx="8">
                  <c:v>38100</c:v>
                </c:pt>
                <c:pt idx="9">
                  <c:v>41737.5</c:v>
                </c:pt>
                <c:pt idx="10">
                  <c:v>45375</c:v>
                </c:pt>
                <c:pt idx="11">
                  <c:v>49012.5</c:v>
                </c:pt>
                <c:pt idx="12">
                  <c:v>52650</c:v>
                </c:pt>
                <c:pt idx="13">
                  <c:v>56287.5</c:v>
                </c:pt>
                <c:pt idx="14">
                  <c:v>59925</c:v>
                </c:pt>
                <c:pt idx="15">
                  <c:v>63562.5</c:v>
                </c:pt>
                <c:pt idx="16">
                  <c:v>67200</c:v>
                </c:pt>
                <c:pt idx="17">
                  <c:v>70837.5</c:v>
                </c:pt>
                <c:pt idx="18">
                  <c:v>74475</c:v>
                </c:pt>
                <c:pt idx="19">
                  <c:v>78112.5</c:v>
                </c:pt>
                <c:pt idx="20">
                  <c:v>81750</c:v>
                </c:pt>
                <c:pt idx="21">
                  <c:v>85387.5</c:v>
                </c:pt>
                <c:pt idx="22">
                  <c:v>89025</c:v>
                </c:pt>
                <c:pt idx="23">
                  <c:v>92662.5</c:v>
                </c:pt>
                <c:pt idx="24">
                  <c:v>96300</c:v>
                </c:pt>
                <c:pt idx="25">
                  <c:v>99937.5</c:v>
                </c:pt>
                <c:pt idx="26">
                  <c:v>103575</c:v>
                </c:pt>
                <c:pt idx="27">
                  <c:v>107212.5</c:v>
                </c:pt>
                <c:pt idx="28">
                  <c:v>110850</c:v>
                </c:pt>
                <c:pt idx="29">
                  <c:v>114487.5</c:v>
                </c:pt>
                <c:pt idx="30">
                  <c:v>118125</c:v>
                </c:pt>
                <c:pt idx="31">
                  <c:v>121762.5</c:v>
                </c:pt>
                <c:pt idx="32">
                  <c:v>125400</c:v>
                </c:pt>
                <c:pt idx="33">
                  <c:v>129037.5</c:v>
                </c:pt>
                <c:pt idx="34">
                  <c:v>132675</c:v>
                </c:pt>
              </c:numCache>
            </c:numRef>
          </c:xVal>
          <c:yVal>
            <c:numRef>
              <c:f>Lifetime!$M$12:$M$46</c:f>
              <c:numCache>
                <c:formatCode>0%</c:formatCode>
                <c:ptCount val="35"/>
                <c:pt idx="0">
                  <c:v>1</c:v>
                </c:pt>
                <c:pt idx="1">
                  <c:v>0.99439079069108094</c:v>
                </c:pt>
                <c:pt idx="2">
                  <c:v>0.97775123719333634</c:v>
                </c:pt>
                <c:pt idx="3">
                  <c:v>0.95063509185869843</c:v>
                </c:pt>
                <c:pt idx="4">
                  <c:v>0.91393118527122819</c:v>
                </c:pt>
                <c:pt idx="5">
                  <c:v>0.86881505626284317</c:v>
                </c:pt>
                <c:pt idx="6">
                  <c:v>0.81668648259811083</c:v>
                </c:pt>
                <c:pt idx="7">
                  <c:v>0.75909753897098087</c:v>
                </c:pt>
                <c:pt idx="8">
                  <c:v>0.69767632607103103</c:v>
                </c:pt>
                <c:pt idx="9">
                  <c:v>0.63405156185806755</c:v>
                </c:pt>
                <c:pt idx="10">
                  <c:v>0.56978282473092301</c:v>
                </c:pt>
                <c:pt idx="11">
                  <c:v>0.50630045567338144</c:v>
                </c:pt>
                <c:pt idx="12">
                  <c:v>0.44485806622294111</c:v>
                </c:pt>
                <c:pt idx="13">
                  <c:v>0.3864993858344643</c:v>
                </c:pt>
                <c:pt idx="14">
                  <c:v>0.33203994534466064</c:v>
                </c:pt>
                <c:pt idx="15">
                  <c:v>0.28206295169381546</c:v>
                </c:pt>
                <c:pt idx="16">
                  <c:v>0.23692775868212179</c:v>
                </c:pt>
                <c:pt idx="17">
                  <c:v>0.19678864385849193</c:v>
                </c:pt>
                <c:pt idx="18">
                  <c:v>0.16162119246533924</c:v>
                </c:pt>
                <c:pt idx="19">
                  <c:v>0.13125346209390099</c:v>
                </c:pt>
                <c:pt idx="20">
                  <c:v>0.10539922456186435</c:v>
                </c:pt>
                <c:pt idx="21">
                  <c:v>8.3690902428892655E-2</c:v>
                </c:pt>
                <c:pt idx="22">
                  <c:v>6.5710273227502891E-2</c:v>
                </c:pt>
                <c:pt idx="23">
                  <c:v>5.1015539326026982E-2</c:v>
                </c:pt>
                <c:pt idx="24">
                  <c:v>3.91638950989871E-2</c:v>
                </c:pt>
                <c:pt idx="25">
                  <c:v>2.9729216386158774E-2</c:v>
                </c:pt>
                <c:pt idx="26">
                  <c:v>2.2314914776966455E-2</c:v>
                </c:pt>
                <c:pt idx="27">
                  <c:v>1.656232071581154E-2</c:v>
                </c:pt>
                <c:pt idx="28">
                  <c:v>1.2155178329914973E-2</c:v>
                </c:pt>
                <c:pt idx="29">
                  <c:v>8.8209562188878987E-3</c:v>
                </c:pt>
                <c:pt idx="30">
                  <c:v>6.329715427485727E-3</c:v>
                </c:pt>
                <c:pt idx="31">
                  <c:v>4.4912464947448605E-3</c:v>
                </c:pt>
                <c:pt idx="32">
                  <c:v>3.1511115984443894E-3</c:v>
                </c:pt>
                <c:pt idx="33">
                  <c:v>2.1861243633893856E-3</c:v>
                </c:pt>
                <c:pt idx="34">
                  <c:v>1.4996852893298662E-3</c:v>
                </c:pt>
              </c:numCache>
            </c:numRef>
          </c:yVal>
          <c:smooth val="1"/>
        </c:ser>
        <c:dLbls>
          <c:showLegendKey val="0"/>
          <c:showVal val="0"/>
          <c:showCatName val="0"/>
          <c:showSerName val="0"/>
          <c:showPercent val="0"/>
          <c:showBubbleSize val="0"/>
        </c:dLbls>
        <c:axId val="47965696"/>
        <c:axId val="47967616"/>
      </c:scatterChart>
      <c:valAx>
        <c:axId val="47965696"/>
        <c:scaling>
          <c:orientation val="minMax"/>
        </c:scaling>
        <c:delete val="0"/>
        <c:axPos val="b"/>
        <c:title>
          <c:tx>
            <c:rich>
              <a:bodyPr/>
              <a:lstStyle/>
              <a:p>
                <a:pPr>
                  <a:defRPr/>
                </a:pPr>
                <a:r>
                  <a:rPr lang="en-US"/>
                  <a:t>Mechanical</a:t>
                </a:r>
                <a:r>
                  <a:rPr lang="en-US" baseline="0"/>
                  <a:t> Lifetime (hours)</a:t>
                </a:r>
                <a:endParaRPr lang="en-US"/>
              </a:p>
            </c:rich>
          </c:tx>
          <c:overlay val="0"/>
        </c:title>
        <c:numFmt formatCode="#,##0" sourceLinked="0"/>
        <c:majorTickMark val="none"/>
        <c:minorTickMark val="none"/>
        <c:tickLblPos val="low"/>
        <c:crossAx val="47967616"/>
        <c:crosses val="autoZero"/>
        <c:crossBetween val="midCat"/>
      </c:valAx>
      <c:valAx>
        <c:axId val="47967616"/>
        <c:scaling>
          <c:orientation val="minMax"/>
          <c:max val="1"/>
          <c:min val="0"/>
        </c:scaling>
        <c:delete val="0"/>
        <c:axPos val="l"/>
        <c:majorGridlines/>
        <c:title>
          <c:tx>
            <c:rich>
              <a:bodyPr/>
              <a:lstStyle/>
              <a:p>
                <a:pPr>
                  <a:defRPr/>
                </a:pPr>
                <a:r>
                  <a:rPr lang="en-US"/>
                  <a:t>Survival Rate</a:t>
                </a:r>
              </a:p>
            </c:rich>
          </c:tx>
          <c:overlay val="0"/>
        </c:title>
        <c:numFmt formatCode="0%" sourceLinked="1"/>
        <c:majorTickMark val="none"/>
        <c:minorTickMark val="none"/>
        <c:tickLblPos val="nextTo"/>
        <c:crossAx val="47965696"/>
        <c:crosses val="autoZero"/>
        <c:crossBetween val="midCat"/>
      </c:valAx>
    </c:plotArea>
    <c:legend>
      <c:legendPos val="r"/>
      <c:layout>
        <c:manualLayout>
          <c:xMode val="edge"/>
          <c:yMode val="edge"/>
          <c:x val="0.17703360966738599"/>
          <c:y val="0.93257582371957104"/>
          <c:w val="0.69191143671066802"/>
          <c:h val="6.6492996289894093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operating cost</a:t>
            </a:r>
          </a:p>
        </c:rich>
      </c:tx>
      <c:overlay val="0"/>
      <c:spPr>
        <a:noFill/>
        <a:ln>
          <a:noFill/>
        </a:ln>
        <a:effectLst/>
      </c:spPr>
    </c:title>
    <c:autoTitleDeleted val="0"/>
    <c:plotArea>
      <c:layout/>
      <c:lineChart>
        <c:grouping val="standard"/>
        <c:varyColors val="0"/>
        <c:ser>
          <c:idx val="0"/>
          <c:order val="0"/>
          <c:tx>
            <c:strRef>
              <c:f>'Example Calculation'!$L$22</c:f>
              <c:strCache>
                <c:ptCount val="1"/>
                <c:pt idx="0">
                  <c:v>          Lifetime operating cost</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'Example Calculation'!$N$19:$T$19</c:f>
              <c:strCache>
                <c:ptCount val="7"/>
                <c:pt idx="0">
                  <c:v>EL 0</c:v>
                </c:pt>
                <c:pt idx="1">
                  <c:v>EL 1</c:v>
                </c:pt>
                <c:pt idx="2">
                  <c:v>EL 2</c:v>
                </c:pt>
                <c:pt idx="3">
                  <c:v>EL 3</c:v>
                </c:pt>
                <c:pt idx="4">
                  <c:v>EL 4</c:v>
                </c:pt>
                <c:pt idx="5">
                  <c:v>EL 5</c:v>
                </c:pt>
                <c:pt idx="6">
                  <c:v>EL 6</c:v>
                </c:pt>
              </c:strCache>
            </c:strRef>
          </c:cat>
          <c:val>
            <c:numRef>
              <c:f>'Example Calculation'!$N$22:$T$22</c:f>
              <c:numCache>
                <c:formatCode>_("$"* #,##0_);_("$"* \(#,##0\);_("$"* "-"??_);_(@_)</c:formatCode>
                <c:ptCount val="7"/>
                <c:pt idx="0">
                  <c:v>1512.3058716516796</c:v>
                </c:pt>
                <c:pt idx="1">
                  <c:v>1512.3058716516796</c:v>
                </c:pt>
                <c:pt idx="2">
                  <c:v>1512.3058716516796</c:v>
                </c:pt>
                <c:pt idx="3">
                  <c:v>1512.3058716516796</c:v>
                </c:pt>
                <c:pt idx="4">
                  <c:v>1147.2140586751461</c:v>
                </c:pt>
                <c:pt idx="5">
                  <c:v>1147.2140586751461</c:v>
                </c:pt>
                <c:pt idx="6">
                  <c:v>1289.9409717377339</c:v>
                </c:pt>
              </c:numCache>
            </c:numRef>
          </c:val>
          <c:smooth val="0"/>
        </c:ser>
        <c:dLbls>
          <c:showLegendKey val="0"/>
          <c:showVal val="0"/>
          <c:showCatName val="0"/>
          <c:showSerName val="0"/>
          <c:showPercent val="0"/>
          <c:showBubbleSize val="0"/>
        </c:dLbls>
        <c:marker val="1"/>
        <c:smooth val="0"/>
        <c:axId val="48133632"/>
        <c:axId val="48135552"/>
      </c:lineChart>
      <c:catAx>
        <c:axId val="48133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35552"/>
        <c:crosses val="autoZero"/>
        <c:auto val="1"/>
        <c:lblAlgn val="ctr"/>
        <c:lblOffset val="100"/>
        <c:noMultiLvlLbl val="0"/>
      </c:catAx>
      <c:valAx>
        <c:axId val="4813555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33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'Example Calculation'!$L$27</c:f>
              <c:strCache>
                <c:ptCount val="1"/>
                <c:pt idx="0">
                  <c:v>Annual Energy Use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'Example Calculation'!$N$19:$T$19</c:f>
              <c:strCache>
                <c:ptCount val="7"/>
                <c:pt idx="0">
                  <c:v>EL 0</c:v>
                </c:pt>
                <c:pt idx="1">
                  <c:v>EL 1</c:v>
                </c:pt>
                <c:pt idx="2">
                  <c:v>EL 2</c:v>
                </c:pt>
                <c:pt idx="3">
                  <c:v>EL 3</c:v>
                </c:pt>
                <c:pt idx="4">
                  <c:v>EL 4</c:v>
                </c:pt>
                <c:pt idx="5">
                  <c:v>EL 5</c:v>
                </c:pt>
                <c:pt idx="6">
                  <c:v>EL 6</c:v>
                </c:pt>
              </c:strCache>
            </c:strRef>
          </c:cat>
          <c:val>
            <c:numRef>
              <c:f>'Example Calculation'!$N$27:$T$27</c:f>
              <c:numCache>
                <c:formatCode>_(* #,##0.000_);_(* \(#,##0.000\);_(* "-"??_);_(@_)</c:formatCode>
                <c:ptCount val="7"/>
                <c:pt idx="0">
                  <c:v>1469.292790588672</c:v>
                </c:pt>
                <c:pt idx="1">
                  <c:v>1469.292790588672</c:v>
                </c:pt>
                <c:pt idx="2">
                  <c:v>1469.292790588672</c:v>
                </c:pt>
                <c:pt idx="3">
                  <c:v>1469.292790588672</c:v>
                </c:pt>
                <c:pt idx="4">
                  <c:v>1053.1931938800603</c:v>
                </c:pt>
                <c:pt idx="5">
                  <c:v>1053.1931938800603</c:v>
                </c:pt>
                <c:pt idx="6">
                  <c:v>1215.8607992712148</c:v>
                </c:pt>
              </c:numCache>
            </c:numRef>
          </c:val>
          <c:smooth val="0"/>
        </c:ser>
        <c:dLbls>
          <c:showLegendKey val="0"/>
          <c:showVal val="0"/>
          <c:showCatName val="0"/>
          <c:showSerName val="0"/>
          <c:showPercent val="0"/>
          <c:showBubbleSize val="0"/>
        </c:dLbls>
        <c:marker val="1"/>
        <c:smooth val="0"/>
        <c:axId val="48155264"/>
        <c:axId val="48767744"/>
      </c:lineChart>
      <c:catAx>
        <c:axId val="481552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67744"/>
        <c:crosses val="autoZero"/>
        <c:auto val="1"/>
        <c:lblAlgn val="ctr"/>
        <c:lblOffset val="100"/>
        <c:noMultiLvlLbl val="0"/>
      </c:catAx>
      <c:valAx>
        <c:axId val="48767744"/>
        <c:scaling>
          <c:orientation val="minMax"/>
        </c:scaling>
        <c:delete val="0"/>
        <c:axPos val="l"/>
        <c:majorGridlines>
          <c:spPr>
            <a:ln w="9525" cap="flat" cmpd="sng" algn="ctr">
              <a:solidFill>
                <a:schemeClr val="tx1">
                  <a:lumMod val="15000"/>
                  <a:lumOff val="85000"/>
                </a:schemeClr>
              </a:solidFill>
              <a:round/>
            </a:ln>
            <a:effectLst/>
          </c:spPr>
        </c:majorGridlines>
        <c:numFmt formatCode="_(* #,##0.000_);_(* \(#,##0.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55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78958880139999"/>
          <c:y val="0.260280701754386"/>
          <c:w val="0.83080752405949299"/>
          <c:h val="0.49973145462080398"/>
        </c:manualLayout>
      </c:layout>
      <c:lineChart>
        <c:grouping val="standard"/>
        <c:varyColors val="0"/>
        <c:ser>
          <c:idx val="0"/>
          <c:order val="0"/>
          <c:tx>
            <c:strRef>
              <c:f>'Example Calculation'!$L$20</c:f>
              <c:strCache>
                <c:ptCount val="1"/>
                <c:pt idx="0">
                  <c:v>LCC</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'Example Calculation'!$N$19:$T$19</c:f>
              <c:strCache>
                <c:ptCount val="7"/>
                <c:pt idx="0">
                  <c:v>EL 0</c:v>
                </c:pt>
                <c:pt idx="1">
                  <c:v>EL 1</c:v>
                </c:pt>
                <c:pt idx="2">
                  <c:v>EL 2</c:v>
                </c:pt>
                <c:pt idx="3">
                  <c:v>EL 3</c:v>
                </c:pt>
                <c:pt idx="4">
                  <c:v>EL 4</c:v>
                </c:pt>
                <c:pt idx="5">
                  <c:v>EL 5</c:v>
                </c:pt>
                <c:pt idx="6">
                  <c:v>EL 6</c:v>
                </c:pt>
              </c:strCache>
            </c:strRef>
          </c:cat>
          <c:val>
            <c:numRef>
              <c:f>'Example Calculation'!$N$20:$T$20</c:f>
              <c:numCache>
                <c:formatCode>_("$"* #,##0_);_("$"* \(#,##0\);_("$"* "-"??_);_(@_)</c:formatCode>
                <c:ptCount val="7"/>
                <c:pt idx="0">
                  <c:v>2528.1221913557624</c:v>
                </c:pt>
                <c:pt idx="1">
                  <c:v>2528.1221913557624</c:v>
                </c:pt>
                <c:pt idx="2">
                  <c:v>2528.1221913557624</c:v>
                </c:pt>
                <c:pt idx="3">
                  <c:v>2528.1221913557624</c:v>
                </c:pt>
                <c:pt idx="4">
                  <c:v>2416.879523066053</c:v>
                </c:pt>
                <c:pt idx="5">
                  <c:v>2391.5598111285803</c:v>
                </c:pt>
                <c:pt idx="6">
                  <c:v>2820.1534042437988</c:v>
                </c:pt>
              </c:numCache>
            </c:numRef>
          </c:val>
          <c:smooth val="0"/>
        </c:ser>
        <c:dLbls>
          <c:showLegendKey val="0"/>
          <c:showVal val="0"/>
          <c:showCatName val="0"/>
          <c:showSerName val="0"/>
          <c:showPercent val="0"/>
          <c:showBubbleSize val="0"/>
        </c:dLbls>
        <c:marker val="1"/>
        <c:smooth val="0"/>
        <c:axId val="48795648"/>
        <c:axId val="48797568"/>
      </c:lineChart>
      <c:catAx>
        <c:axId val="48795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97568"/>
        <c:crosses val="autoZero"/>
        <c:auto val="1"/>
        <c:lblAlgn val="ctr"/>
        <c:lblOffset val="100"/>
        <c:noMultiLvlLbl val="0"/>
      </c:catAx>
      <c:valAx>
        <c:axId val="4879756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95648"/>
        <c:crosses val="autoZero"/>
        <c:crossBetween val="between"/>
      </c:valAx>
      <c:spPr>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78958880139999"/>
          <c:y val="0.260280701754386"/>
          <c:w val="0.83080752405949299"/>
          <c:h val="0.49973145462080398"/>
        </c:manualLayout>
      </c:layout>
      <c:lineChart>
        <c:grouping val="standard"/>
        <c:varyColors val="0"/>
        <c:ser>
          <c:idx val="0"/>
          <c:order val="0"/>
          <c:tx>
            <c:strRef>
              <c:f>'Example Calculation'!$L$32</c:f>
              <c:strCache>
                <c:ptCount val="1"/>
                <c:pt idx="0">
                  <c:v>               100% Design Flow  Operating Fan Efficiency</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'Example Calculation'!$N$19:$T$19</c:f>
              <c:strCache>
                <c:ptCount val="7"/>
                <c:pt idx="0">
                  <c:v>EL 0</c:v>
                </c:pt>
                <c:pt idx="1">
                  <c:v>EL 1</c:v>
                </c:pt>
                <c:pt idx="2">
                  <c:v>EL 2</c:v>
                </c:pt>
                <c:pt idx="3">
                  <c:v>EL 3</c:v>
                </c:pt>
                <c:pt idx="4">
                  <c:v>EL 4</c:v>
                </c:pt>
                <c:pt idx="5">
                  <c:v>EL 5</c:v>
                </c:pt>
                <c:pt idx="6">
                  <c:v>EL 6</c:v>
                </c:pt>
              </c:strCache>
            </c:strRef>
          </c:cat>
          <c:val>
            <c:numRef>
              <c:f>'Example Calculation'!$N$32:$T$32</c:f>
              <c:numCache>
                <c:formatCode>0%</c:formatCode>
                <c:ptCount val="7"/>
                <c:pt idx="0">
                  <c:v>0.43975826092740028</c:v>
                </c:pt>
                <c:pt idx="1">
                  <c:v>0.43975826092740028</c:v>
                </c:pt>
                <c:pt idx="2">
                  <c:v>0.43975826092740028</c:v>
                </c:pt>
                <c:pt idx="3">
                  <c:v>0.43975826092740028</c:v>
                </c:pt>
                <c:pt idx="4">
                  <c:v>0.48083091935655198</c:v>
                </c:pt>
                <c:pt idx="5">
                  <c:v>0.48083091935655198</c:v>
                </c:pt>
                <c:pt idx="6">
                  <c:v>0.56155544793467582</c:v>
                </c:pt>
              </c:numCache>
            </c:numRef>
          </c:val>
          <c:smooth val="0"/>
        </c:ser>
        <c:dLbls>
          <c:showLegendKey val="0"/>
          <c:showVal val="0"/>
          <c:showCatName val="0"/>
          <c:showSerName val="0"/>
          <c:showPercent val="0"/>
          <c:showBubbleSize val="0"/>
        </c:dLbls>
        <c:marker val="1"/>
        <c:smooth val="0"/>
        <c:axId val="48821376"/>
        <c:axId val="48823296"/>
      </c:lineChart>
      <c:catAx>
        <c:axId val="48821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823296"/>
        <c:crosses val="autoZero"/>
        <c:auto val="1"/>
        <c:lblAlgn val="ctr"/>
        <c:lblOffset val="100"/>
        <c:noMultiLvlLbl val="0"/>
      </c:catAx>
      <c:valAx>
        <c:axId val="48823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821376"/>
        <c:crosses val="autoZero"/>
        <c:crossBetween val="between"/>
      </c:valAx>
      <c:spPr>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78958880139999"/>
          <c:y val="0.260280701754386"/>
          <c:w val="0.83080752405949299"/>
          <c:h val="0.49973145462080398"/>
        </c:manualLayout>
      </c:layout>
      <c:lineChart>
        <c:grouping val="standard"/>
        <c:varyColors val="0"/>
        <c:ser>
          <c:idx val="0"/>
          <c:order val="0"/>
          <c:tx>
            <c:strRef>
              <c:f>'Example Calculation'!$L$28</c:f>
              <c:strCache>
                <c:ptCount val="1"/>
                <c:pt idx="0">
                  <c:v>         100 % Design Flow</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'Example Calculation'!$N$19:$T$19</c:f>
              <c:strCache>
                <c:ptCount val="7"/>
                <c:pt idx="0">
                  <c:v>EL 0</c:v>
                </c:pt>
                <c:pt idx="1">
                  <c:v>EL 1</c:v>
                </c:pt>
                <c:pt idx="2">
                  <c:v>EL 2</c:v>
                </c:pt>
                <c:pt idx="3">
                  <c:v>EL 3</c:v>
                </c:pt>
                <c:pt idx="4">
                  <c:v>EL 4</c:v>
                </c:pt>
                <c:pt idx="5">
                  <c:v>EL 5</c:v>
                </c:pt>
                <c:pt idx="6">
                  <c:v>EL 6</c:v>
                </c:pt>
              </c:strCache>
            </c:strRef>
          </c:cat>
          <c:val>
            <c:numRef>
              <c:f>'Example Calculation'!$N$28:$T$28</c:f>
              <c:numCache>
                <c:formatCode>_(* #,##0_);_(* \(#,##0\);_(* "-"??_);_(@_)</c:formatCode>
                <c:ptCount val="7"/>
                <c:pt idx="0">
                  <c:v>3000</c:v>
                </c:pt>
                <c:pt idx="1">
                  <c:v>3000</c:v>
                </c:pt>
                <c:pt idx="2">
                  <c:v>3000</c:v>
                </c:pt>
                <c:pt idx="3">
                  <c:v>3000</c:v>
                </c:pt>
                <c:pt idx="4">
                  <c:v>3000</c:v>
                </c:pt>
                <c:pt idx="5">
                  <c:v>3000</c:v>
                </c:pt>
                <c:pt idx="6">
                  <c:v>3000</c:v>
                </c:pt>
              </c:numCache>
            </c:numRef>
          </c:val>
          <c:smooth val="0"/>
        </c:ser>
        <c:dLbls>
          <c:showLegendKey val="0"/>
          <c:showVal val="0"/>
          <c:showCatName val="0"/>
          <c:showSerName val="0"/>
          <c:showPercent val="0"/>
          <c:showBubbleSize val="0"/>
        </c:dLbls>
        <c:marker val="1"/>
        <c:smooth val="0"/>
        <c:axId val="48978560"/>
        <c:axId val="49001216"/>
      </c:lineChart>
      <c:catAx>
        <c:axId val="489785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001216"/>
        <c:crosses val="autoZero"/>
        <c:auto val="1"/>
        <c:lblAlgn val="ctr"/>
        <c:lblOffset val="100"/>
        <c:noMultiLvlLbl val="0"/>
      </c:catAx>
      <c:valAx>
        <c:axId val="4900121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978560"/>
        <c:crosses val="autoZero"/>
        <c:crossBetween val="between"/>
      </c:valAx>
      <c:spPr>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78958880139999"/>
          <c:y val="0.260280701754386"/>
          <c:w val="0.83080752405949299"/>
          <c:h val="0.49973145462080398"/>
        </c:manualLayout>
      </c:layout>
      <c:lineChart>
        <c:grouping val="standard"/>
        <c:varyColors val="0"/>
        <c:ser>
          <c:idx val="0"/>
          <c:order val="0"/>
          <c:tx>
            <c:strRef>
              <c:f>'Example Calculation'!$L$29</c:f>
              <c:strCache>
                <c:ptCount val="1"/>
                <c:pt idx="0">
                  <c:v>         100 % Design Operating Pressure *</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'Example Calculation'!$N$19:$T$19</c:f>
              <c:strCache>
                <c:ptCount val="7"/>
                <c:pt idx="0">
                  <c:v>EL 0</c:v>
                </c:pt>
                <c:pt idx="1">
                  <c:v>EL 1</c:v>
                </c:pt>
                <c:pt idx="2">
                  <c:v>EL 2</c:v>
                </c:pt>
                <c:pt idx="3">
                  <c:v>EL 3</c:v>
                </c:pt>
                <c:pt idx="4">
                  <c:v>EL 4</c:v>
                </c:pt>
                <c:pt idx="5">
                  <c:v>EL 5</c:v>
                </c:pt>
                <c:pt idx="6">
                  <c:v>EL 6</c:v>
                </c:pt>
              </c:strCache>
            </c:strRef>
          </c:cat>
          <c:val>
            <c:numRef>
              <c:f>'Example Calculation'!$N$29:$T$29</c:f>
              <c:numCache>
                <c:formatCode>0.00</c:formatCode>
                <c:ptCount val="7"/>
                <c:pt idx="0">
                  <c:v>0.96698737167500004</c:v>
                </c:pt>
                <c:pt idx="1">
                  <c:v>0.96698737167500004</c:v>
                </c:pt>
                <c:pt idx="2">
                  <c:v>0.96698737167500004</c:v>
                </c:pt>
                <c:pt idx="3">
                  <c:v>0.96698737167500004</c:v>
                </c:pt>
                <c:pt idx="4">
                  <c:v>0.67658123065208342</c:v>
                </c:pt>
                <c:pt idx="5">
                  <c:v>0.67658123065208342</c:v>
                </c:pt>
                <c:pt idx="6">
                  <c:v>0.96698737167500004</c:v>
                </c:pt>
              </c:numCache>
            </c:numRef>
          </c:val>
          <c:smooth val="0"/>
        </c:ser>
        <c:dLbls>
          <c:showLegendKey val="0"/>
          <c:showVal val="0"/>
          <c:showCatName val="0"/>
          <c:showSerName val="0"/>
          <c:showPercent val="0"/>
          <c:showBubbleSize val="0"/>
        </c:dLbls>
        <c:marker val="1"/>
        <c:smooth val="0"/>
        <c:axId val="49025024"/>
        <c:axId val="49026944"/>
      </c:lineChart>
      <c:catAx>
        <c:axId val="49025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026944"/>
        <c:crosses val="autoZero"/>
        <c:auto val="1"/>
        <c:lblAlgn val="ctr"/>
        <c:lblOffset val="100"/>
        <c:noMultiLvlLbl val="0"/>
      </c:catAx>
      <c:valAx>
        <c:axId val="490269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025024"/>
        <c:crosses val="autoZero"/>
        <c:crossBetween val="between"/>
      </c:valAx>
      <c:spPr>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78958880139999"/>
          <c:y val="0.260280701754386"/>
          <c:w val="0.83080752405949299"/>
          <c:h val="0.49973145462080398"/>
        </c:manualLayout>
      </c:layout>
      <c:lineChart>
        <c:grouping val="standard"/>
        <c:varyColors val="0"/>
        <c:ser>
          <c:idx val="0"/>
          <c:order val="0"/>
          <c:tx>
            <c:strRef>
              <c:f>'Example Calculation'!$L$31</c:f>
              <c:strCache>
                <c:ptCount val="1"/>
                <c:pt idx="0">
                  <c:v>               100 % Design Flow  fan BHP</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'Example Calculation'!$N$19:$T$19</c:f>
              <c:strCache>
                <c:ptCount val="7"/>
                <c:pt idx="0">
                  <c:v>EL 0</c:v>
                </c:pt>
                <c:pt idx="1">
                  <c:v>EL 1</c:v>
                </c:pt>
                <c:pt idx="2">
                  <c:v>EL 2</c:v>
                </c:pt>
                <c:pt idx="3">
                  <c:v>EL 3</c:v>
                </c:pt>
                <c:pt idx="4">
                  <c:v>EL 4</c:v>
                </c:pt>
                <c:pt idx="5">
                  <c:v>EL 5</c:v>
                </c:pt>
                <c:pt idx="6">
                  <c:v>EL 6</c:v>
                </c:pt>
              </c:strCache>
            </c:strRef>
          </c:cat>
          <c:val>
            <c:numRef>
              <c:f>'Example Calculation'!$N$31:$T$31</c:f>
              <c:numCache>
                <c:formatCode>0.00</c:formatCode>
                <c:ptCount val="7"/>
                <c:pt idx="0">
                  <c:v>1.04</c:v>
                </c:pt>
                <c:pt idx="1">
                  <c:v>1.04</c:v>
                </c:pt>
                <c:pt idx="2">
                  <c:v>1.04</c:v>
                </c:pt>
                <c:pt idx="3">
                  <c:v>1.04</c:v>
                </c:pt>
                <c:pt idx="4">
                  <c:v>0.6655092592592593</c:v>
                </c:pt>
                <c:pt idx="5">
                  <c:v>0.6655092592592593</c:v>
                </c:pt>
                <c:pt idx="6">
                  <c:v>0.8144317592262027</c:v>
                </c:pt>
              </c:numCache>
            </c:numRef>
          </c:val>
          <c:smooth val="0"/>
        </c:ser>
        <c:dLbls>
          <c:showLegendKey val="0"/>
          <c:showVal val="0"/>
          <c:showCatName val="0"/>
          <c:showSerName val="0"/>
          <c:showPercent val="0"/>
          <c:showBubbleSize val="0"/>
        </c:dLbls>
        <c:marker val="1"/>
        <c:smooth val="0"/>
        <c:axId val="49042560"/>
        <c:axId val="49044480"/>
      </c:lineChart>
      <c:catAx>
        <c:axId val="490425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044480"/>
        <c:crosses val="autoZero"/>
        <c:auto val="1"/>
        <c:lblAlgn val="ctr"/>
        <c:lblOffset val="100"/>
        <c:noMultiLvlLbl val="0"/>
      </c:catAx>
      <c:valAx>
        <c:axId val="490444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042560"/>
        <c:crosses val="autoZero"/>
        <c:crossBetween val="between"/>
      </c:valAx>
      <c:spPr>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78958880139999"/>
          <c:y val="0.260280701754386"/>
          <c:w val="0.83080752405949299"/>
          <c:h val="0.49973145462080398"/>
        </c:manualLayout>
      </c:layout>
      <c:lineChart>
        <c:grouping val="standard"/>
        <c:varyColors val="0"/>
        <c:ser>
          <c:idx val="0"/>
          <c:order val="0"/>
          <c:tx>
            <c:strRef>
              <c:f>'Example Calculation'!$L$41</c:f>
              <c:strCache>
                <c:ptCount val="1"/>
                <c:pt idx="0">
                  <c:v>               Maximum Allowable BHP </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'Example Calculation'!$N$19:$T$19</c:f>
              <c:strCache>
                <c:ptCount val="7"/>
                <c:pt idx="0">
                  <c:v>EL 0</c:v>
                </c:pt>
                <c:pt idx="1">
                  <c:v>EL 1</c:v>
                </c:pt>
                <c:pt idx="2">
                  <c:v>EL 2</c:v>
                </c:pt>
                <c:pt idx="3">
                  <c:v>EL 3</c:v>
                </c:pt>
                <c:pt idx="4">
                  <c:v>EL 4</c:v>
                </c:pt>
                <c:pt idx="5">
                  <c:v>EL 5</c:v>
                </c:pt>
                <c:pt idx="6">
                  <c:v>EL 6</c:v>
                </c:pt>
              </c:strCache>
            </c:strRef>
          </c:cat>
          <c:val>
            <c:numRef>
              <c:f>'Example Calculation'!$N$41:$T$41</c:f>
              <c:numCache>
                <c:formatCode>0.00</c:formatCode>
                <c:ptCount val="7"/>
                <c:pt idx="0">
                  <c:v>1.2970579869158041</c:v>
                </c:pt>
                <c:pt idx="1">
                  <c:v>1.2076057119560937</c:v>
                </c:pt>
                <c:pt idx="2">
                  <c:v>1.1296956660234423</c:v>
                </c:pt>
                <c:pt idx="3">
                  <c:v>1.0612292620220216</c:v>
                </c:pt>
                <c:pt idx="4">
                  <c:v>0.78802031477202572</c:v>
                </c:pt>
                <c:pt idx="5">
                  <c:v>0.74542462208164595</c:v>
                </c:pt>
                <c:pt idx="6">
                  <c:v>0.8144317592262027</c:v>
                </c:pt>
              </c:numCache>
            </c:numRef>
          </c:val>
          <c:smooth val="0"/>
        </c:ser>
        <c:dLbls>
          <c:showLegendKey val="0"/>
          <c:showVal val="0"/>
          <c:showCatName val="0"/>
          <c:showSerName val="0"/>
          <c:showPercent val="0"/>
          <c:showBubbleSize val="0"/>
        </c:dLbls>
        <c:marker val="1"/>
        <c:smooth val="0"/>
        <c:axId val="49419776"/>
        <c:axId val="49421696"/>
      </c:lineChart>
      <c:catAx>
        <c:axId val="49419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21696"/>
        <c:crosses val="autoZero"/>
        <c:auto val="1"/>
        <c:lblAlgn val="ctr"/>
        <c:lblOffset val="100"/>
        <c:noMultiLvlLbl val="0"/>
      </c:catAx>
      <c:valAx>
        <c:axId val="494216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19776"/>
        <c:crosses val="autoZero"/>
        <c:crossBetween val="between"/>
      </c:valAx>
      <c:spPr>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jpe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21</xdr:col>
      <xdr:colOff>0</xdr:colOff>
      <xdr:row>18</xdr:row>
      <xdr:rowOff>122479</xdr:rowOff>
    </xdr:from>
    <xdr:to>
      <xdr:col>28</xdr:col>
      <xdr:colOff>579120</xdr:colOff>
      <xdr:row>29</xdr:row>
      <xdr:rowOff>149149</xdr:rowOff>
    </xdr:to>
    <xdr:graphicFrame macro="">
      <xdr:nvGraphicFramePr>
        <xdr:cNvPr id="41" name="Chart 4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0</xdr:colOff>
      <xdr:row>18</xdr:row>
      <xdr:rowOff>122479</xdr:rowOff>
    </xdr:from>
    <xdr:to>
      <xdr:col>36</xdr:col>
      <xdr:colOff>579120</xdr:colOff>
      <xdr:row>29</xdr:row>
      <xdr:rowOff>149149</xdr:rowOff>
    </xdr:to>
    <xdr:graphicFrame macro="">
      <xdr:nvGraphicFramePr>
        <xdr:cNvPr id="42" name="Chart 4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30</xdr:row>
      <xdr:rowOff>10900</xdr:rowOff>
    </xdr:from>
    <xdr:to>
      <xdr:col>28</xdr:col>
      <xdr:colOff>579120</xdr:colOff>
      <xdr:row>40</xdr:row>
      <xdr:rowOff>113771</xdr:rowOff>
    </xdr:to>
    <xdr:graphicFrame macro="">
      <xdr:nvGraphicFramePr>
        <xdr:cNvPr id="44" name="Chart 4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0</xdr:colOff>
      <xdr:row>7</xdr:row>
      <xdr:rowOff>122478</xdr:rowOff>
    </xdr:from>
    <xdr:to>
      <xdr:col>28</xdr:col>
      <xdr:colOff>579120</xdr:colOff>
      <xdr:row>18</xdr:row>
      <xdr:rowOff>104245</xdr:rowOff>
    </xdr:to>
    <xdr:graphicFrame macro="">
      <xdr:nvGraphicFramePr>
        <xdr:cNvPr id="46" name="Chart 4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10900</xdr:rowOff>
    </xdr:from>
    <xdr:to>
      <xdr:col>36</xdr:col>
      <xdr:colOff>579120</xdr:colOff>
      <xdr:row>40</xdr:row>
      <xdr:rowOff>113771</xdr:rowOff>
    </xdr:to>
    <xdr:graphicFrame macro="">
      <xdr:nvGraphicFramePr>
        <xdr:cNvPr id="47" name="Chart 4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0</xdr:colOff>
      <xdr:row>40</xdr:row>
      <xdr:rowOff>141529</xdr:rowOff>
    </xdr:from>
    <xdr:to>
      <xdr:col>28</xdr:col>
      <xdr:colOff>579120</xdr:colOff>
      <xdr:row>52</xdr:row>
      <xdr:rowOff>37570</xdr:rowOff>
    </xdr:to>
    <xdr:graphicFrame macro="">
      <xdr:nvGraphicFramePr>
        <xdr:cNvPr id="49" name="Chart 4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29</xdr:col>
      <xdr:colOff>0</xdr:colOff>
      <xdr:row>40</xdr:row>
      <xdr:rowOff>141529</xdr:rowOff>
    </xdr:from>
    <xdr:to>
      <xdr:col>36</xdr:col>
      <xdr:colOff>579120</xdr:colOff>
      <xdr:row>52</xdr:row>
      <xdr:rowOff>37570</xdr:rowOff>
    </xdr:to>
    <xdr:graphicFrame macro="">
      <xdr:nvGraphicFramePr>
        <xdr:cNvPr id="50" name="Chart 4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0</xdr:colOff>
      <xdr:row>52</xdr:row>
      <xdr:rowOff>77575</xdr:rowOff>
    </xdr:from>
    <xdr:to>
      <xdr:col>28</xdr:col>
      <xdr:colOff>579120</xdr:colOff>
      <xdr:row>63</xdr:row>
      <xdr:rowOff>66145</xdr:rowOff>
    </xdr:to>
    <xdr:graphicFrame macro="">
      <xdr:nvGraphicFramePr>
        <xdr:cNvPr id="51" name="Chart 5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52</xdr:row>
      <xdr:rowOff>68050</xdr:rowOff>
    </xdr:from>
    <xdr:to>
      <xdr:col>36</xdr:col>
      <xdr:colOff>579120</xdr:colOff>
      <xdr:row>63</xdr:row>
      <xdr:rowOff>56620</xdr:rowOff>
    </xdr:to>
    <xdr:graphicFrame macro="">
      <xdr:nvGraphicFramePr>
        <xdr:cNvPr id="52" name="Chart 5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0</xdr:colOff>
      <xdr:row>63</xdr:row>
      <xdr:rowOff>77575</xdr:rowOff>
    </xdr:from>
    <xdr:to>
      <xdr:col>28</xdr:col>
      <xdr:colOff>579120</xdr:colOff>
      <xdr:row>74</xdr:row>
      <xdr:rowOff>149149</xdr:rowOff>
    </xdr:to>
    <xdr:graphicFrame macro="">
      <xdr:nvGraphicFramePr>
        <xdr:cNvPr id="53" name="Chart 5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29</xdr:col>
      <xdr:colOff>0</xdr:colOff>
      <xdr:row>63</xdr:row>
      <xdr:rowOff>77575</xdr:rowOff>
    </xdr:from>
    <xdr:to>
      <xdr:col>36</xdr:col>
      <xdr:colOff>579120</xdr:colOff>
      <xdr:row>74</xdr:row>
      <xdr:rowOff>149149</xdr:rowOff>
    </xdr:to>
    <xdr:graphicFrame macro="">
      <xdr:nvGraphicFramePr>
        <xdr:cNvPr id="54" name="Chart 5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29</xdr:col>
      <xdr:colOff>0</xdr:colOff>
      <xdr:row>7</xdr:row>
      <xdr:rowOff>122478</xdr:rowOff>
    </xdr:from>
    <xdr:to>
      <xdr:col>36</xdr:col>
      <xdr:colOff>579120</xdr:colOff>
      <xdr:row>18</xdr:row>
      <xdr:rowOff>104245</xdr:rowOff>
    </xdr:to>
    <xdr:graphicFrame macro="">
      <xdr:nvGraphicFramePr>
        <xdr:cNvPr id="30" name="Chart 2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4</xdr:col>
      <xdr:colOff>352425</xdr:colOff>
      <xdr:row>35</xdr:row>
      <xdr:rowOff>114300</xdr:rowOff>
    </xdr:from>
    <xdr:to>
      <xdr:col>8</xdr:col>
      <xdr:colOff>619124</xdr:colOff>
      <xdr:row>58</xdr:row>
      <xdr:rowOff>57150</xdr:rowOff>
    </xdr:to>
    <xdr:sp macro="" textlink="">
      <xdr:nvSpPr>
        <xdr:cNvPr id="2049" name="AutoShape 1"/>
        <xdr:cNvSpPr>
          <a:spLocks noChangeAspect="1" noChangeArrowheads="1"/>
        </xdr:cNvSpPr>
      </xdr:nvSpPr>
      <xdr:spPr bwMode="auto">
        <a:xfrm>
          <a:off x="3724275" y="5781675"/>
          <a:ext cx="3124200" cy="3448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324969</xdr:colOff>
      <xdr:row>33</xdr:row>
      <xdr:rowOff>112056</xdr:rowOff>
    </xdr:from>
    <xdr:to>
      <xdr:col>9</xdr:col>
      <xdr:colOff>407445</xdr:colOff>
      <xdr:row>61</xdr:row>
      <xdr:rowOff>79783</xdr:rowOff>
    </xdr:to>
    <xdr:pic>
      <xdr:nvPicPr>
        <xdr:cNvPr id="17" name="Picture 16"/>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459940" y="5289174"/>
          <a:ext cx="2951181" cy="436043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13250</xdr:colOff>
      <xdr:row>7</xdr:row>
      <xdr:rowOff>72886</xdr:rowOff>
    </xdr:from>
    <xdr:to>
      <xdr:col>5</xdr:col>
      <xdr:colOff>728869</xdr:colOff>
      <xdr:row>24</xdr:row>
      <xdr:rowOff>57977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B1:R48"/>
  <sheetViews>
    <sheetView zoomScale="115" zoomScaleNormal="115" zoomScalePageLayoutView="115" workbookViewId="0">
      <selection activeCell="B3" sqref="B3:O5"/>
    </sheetView>
  </sheetViews>
  <sheetFormatPr defaultColWidth="8.77734375" defaultRowHeight="10.199999999999999"/>
  <cols>
    <col min="1" max="1" width="5.44140625" style="9" customWidth="1"/>
    <col min="2" max="2" width="40.6640625" style="9" bestFit="1" customWidth="1"/>
    <col min="3" max="10" width="8.77734375" style="9"/>
    <col min="11" max="11" width="8.33203125" style="9" customWidth="1"/>
    <col min="12" max="15" width="8.77734375" style="9"/>
    <col min="16" max="16" width="13.6640625" style="9" customWidth="1"/>
    <col min="17" max="17" width="8.77734375" style="9"/>
    <col min="18" max="18" width="14.109375" style="9" customWidth="1"/>
    <col min="19" max="16384" width="8.77734375" style="9"/>
  </cols>
  <sheetData>
    <row r="1" spans="2:18" s="7" customFormat="1" ht="10.95">
      <c r="B1" s="6" t="s">
        <v>36</v>
      </c>
    </row>
    <row r="3" spans="2:18" ht="11.25" customHeight="1">
      <c r="B3" s="658" t="s">
        <v>504</v>
      </c>
      <c r="C3" s="658"/>
      <c r="D3" s="658"/>
      <c r="E3" s="658"/>
      <c r="F3" s="658"/>
      <c r="G3" s="658"/>
      <c r="H3" s="658"/>
      <c r="I3" s="658"/>
      <c r="J3" s="658"/>
      <c r="K3" s="658"/>
      <c r="L3" s="658"/>
      <c r="M3" s="658"/>
      <c r="N3" s="658"/>
      <c r="O3" s="658"/>
      <c r="P3" s="8"/>
      <c r="Q3" s="8"/>
      <c r="R3" s="8"/>
    </row>
    <row r="4" spans="2:18">
      <c r="B4" s="658"/>
      <c r="C4" s="658"/>
      <c r="D4" s="658"/>
      <c r="E4" s="658"/>
      <c r="F4" s="658"/>
      <c r="G4" s="658"/>
      <c r="H4" s="658"/>
      <c r="I4" s="658"/>
      <c r="J4" s="658"/>
      <c r="K4" s="658"/>
      <c r="L4" s="658"/>
      <c r="M4" s="658"/>
      <c r="N4" s="658"/>
      <c r="O4" s="658"/>
      <c r="P4" s="8"/>
      <c r="Q4" s="8"/>
      <c r="R4" s="8"/>
    </row>
    <row r="5" spans="2:18">
      <c r="B5" s="659"/>
      <c r="C5" s="659"/>
      <c r="D5" s="659"/>
      <c r="E5" s="659"/>
      <c r="F5" s="659"/>
      <c r="G5" s="659"/>
      <c r="H5" s="659"/>
      <c r="I5" s="659"/>
      <c r="J5" s="659"/>
      <c r="K5" s="659"/>
      <c r="L5" s="659"/>
      <c r="M5" s="659"/>
      <c r="N5" s="659"/>
      <c r="O5" s="659"/>
      <c r="P5" s="8"/>
      <c r="Q5" s="8"/>
      <c r="R5" s="8"/>
    </row>
    <row r="6" spans="2:18" ht="11.25" customHeight="1">
      <c r="B6" s="10" t="s">
        <v>471</v>
      </c>
      <c r="C6" s="11" t="s">
        <v>509</v>
      </c>
      <c r="D6" s="12"/>
      <c r="E6" s="12"/>
      <c r="F6" s="12"/>
      <c r="G6" s="12"/>
      <c r="H6" s="12"/>
      <c r="I6" s="12"/>
      <c r="J6" s="13"/>
      <c r="K6" s="13"/>
      <c r="L6" s="10"/>
      <c r="M6" s="14"/>
      <c r="N6" s="13"/>
      <c r="O6" s="13"/>
      <c r="P6" s="15"/>
      <c r="Q6" s="15"/>
      <c r="R6" s="15"/>
    </row>
    <row r="7" spans="2:18" ht="11.25" customHeight="1">
      <c r="B7" s="538" t="s">
        <v>472</v>
      </c>
      <c r="C7" s="17" t="s">
        <v>223</v>
      </c>
      <c r="D7" s="18"/>
      <c r="E7" s="18"/>
      <c r="F7" s="18"/>
      <c r="G7" s="18"/>
      <c r="H7" s="18"/>
      <c r="I7" s="18"/>
      <c r="J7" s="23"/>
      <c r="K7" s="23"/>
      <c r="L7" s="538"/>
      <c r="M7" s="429"/>
      <c r="N7" s="23"/>
      <c r="O7" s="23"/>
      <c r="P7" s="15"/>
      <c r="Q7" s="15"/>
      <c r="R7" s="15"/>
    </row>
    <row r="8" spans="2:18" ht="11.25" customHeight="1">
      <c r="B8" s="20" t="s">
        <v>473</v>
      </c>
      <c r="C8" s="21" t="s">
        <v>346</v>
      </c>
      <c r="D8" s="21"/>
      <c r="E8" s="21"/>
      <c r="F8" s="21"/>
      <c r="G8" s="21"/>
      <c r="H8" s="21"/>
      <c r="I8" s="13"/>
      <c r="J8" s="13"/>
      <c r="K8" s="13"/>
      <c r="L8" s="10"/>
      <c r="M8" s="14"/>
      <c r="N8" s="13"/>
      <c r="O8" s="13"/>
      <c r="P8" s="15"/>
      <c r="Q8" s="15"/>
      <c r="R8" s="15"/>
    </row>
    <row r="9" spans="2:18" ht="10.95">
      <c r="B9" s="20" t="s">
        <v>242</v>
      </c>
      <c r="C9" s="21" t="s">
        <v>347</v>
      </c>
      <c r="D9" s="21"/>
      <c r="E9" s="21"/>
      <c r="F9" s="21"/>
      <c r="G9" s="21"/>
      <c r="H9" s="22"/>
      <c r="I9" s="19"/>
      <c r="J9" s="19"/>
      <c r="K9" s="13"/>
      <c r="L9" s="10"/>
      <c r="M9" s="14"/>
      <c r="N9" s="13"/>
      <c r="O9" s="19"/>
      <c r="P9" s="15"/>
      <c r="Q9" s="15"/>
      <c r="R9" s="15"/>
    </row>
    <row r="10" spans="2:18" ht="10.95">
      <c r="B10" s="10" t="s">
        <v>38</v>
      </c>
      <c r="C10" s="13" t="s">
        <v>39</v>
      </c>
      <c r="D10" s="13"/>
      <c r="E10" s="13"/>
      <c r="F10" s="13"/>
      <c r="G10" s="13"/>
      <c r="H10" s="13"/>
      <c r="I10" s="13"/>
      <c r="J10" s="13"/>
      <c r="K10" s="13"/>
      <c r="L10" s="10"/>
      <c r="M10" s="14"/>
      <c r="N10" s="13"/>
      <c r="O10" s="13"/>
      <c r="P10" s="15"/>
      <c r="Q10" s="15"/>
      <c r="R10" s="15"/>
    </row>
    <row r="11" spans="2:18" ht="10.95">
      <c r="B11" s="10" t="s">
        <v>4</v>
      </c>
      <c r="C11" s="13" t="s">
        <v>41</v>
      </c>
      <c r="D11" s="13"/>
      <c r="E11" s="13"/>
      <c r="F11" s="13"/>
      <c r="G11" s="13"/>
      <c r="H11" s="19"/>
      <c r="I11" s="19"/>
      <c r="J11" s="19"/>
      <c r="K11" s="19"/>
      <c r="L11" s="10"/>
      <c r="M11" s="13"/>
      <c r="N11" s="19"/>
      <c r="O11" s="19"/>
      <c r="P11" s="15"/>
      <c r="Q11" s="15"/>
      <c r="R11" s="15"/>
    </row>
    <row r="12" spans="2:18" ht="10.95">
      <c r="B12" s="10" t="s">
        <v>42</v>
      </c>
      <c r="C12" s="13" t="s">
        <v>43</v>
      </c>
      <c r="D12" s="13"/>
      <c r="E12" s="13"/>
      <c r="F12" s="13"/>
      <c r="G12" s="13"/>
      <c r="H12" s="13"/>
      <c r="I12" s="13"/>
      <c r="J12" s="13"/>
      <c r="K12" s="13"/>
      <c r="L12" s="16"/>
      <c r="M12" s="13"/>
      <c r="N12" s="19"/>
      <c r="O12" s="19"/>
      <c r="P12" s="15"/>
      <c r="Q12" s="15"/>
      <c r="R12" s="15"/>
    </row>
    <row r="13" spans="2:18" ht="10.95">
      <c r="B13" s="16" t="s">
        <v>44</v>
      </c>
      <c r="C13" s="14" t="s">
        <v>45</v>
      </c>
      <c r="D13" s="19"/>
      <c r="E13" s="19"/>
      <c r="F13" s="19"/>
      <c r="G13" s="19"/>
      <c r="H13" s="19"/>
      <c r="I13" s="19"/>
      <c r="J13" s="19"/>
      <c r="K13" s="19"/>
      <c r="L13" s="10"/>
      <c r="M13" s="23"/>
      <c r="N13" s="13"/>
      <c r="O13" s="13"/>
      <c r="P13" s="15"/>
      <c r="Q13" s="15"/>
      <c r="R13" s="15"/>
    </row>
    <row r="14" spans="2:18" ht="10.95">
      <c r="B14" s="10" t="s">
        <v>46</v>
      </c>
      <c r="C14" s="13" t="s">
        <v>47</v>
      </c>
      <c r="D14" s="13"/>
      <c r="E14" s="13"/>
      <c r="F14" s="13"/>
      <c r="G14" s="13"/>
      <c r="H14" s="13"/>
      <c r="I14" s="13"/>
      <c r="J14" s="13"/>
      <c r="K14" s="13"/>
      <c r="L14" s="10"/>
      <c r="M14" s="14"/>
      <c r="N14" s="13"/>
      <c r="O14" s="13"/>
      <c r="P14" s="15"/>
      <c r="Q14" s="15"/>
      <c r="R14" s="15"/>
    </row>
    <row r="15" spans="2:18" ht="10.95">
      <c r="B15" s="10" t="s">
        <v>3</v>
      </c>
      <c r="C15" s="13" t="s">
        <v>48</v>
      </c>
      <c r="D15" s="13"/>
      <c r="E15" s="19"/>
      <c r="F15" s="19"/>
      <c r="G15" s="19"/>
      <c r="H15" s="19"/>
      <c r="I15" s="19"/>
      <c r="J15" s="19"/>
      <c r="K15" s="19"/>
      <c r="L15" s="16"/>
      <c r="M15" s="13"/>
      <c r="N15" s="19"/>
      <c r="O15" s="19"/>
      <c r="P15" s="15"/>
      <c r="Q15" s="15"/>
      <c r="R15" s="15"/>
    </row>
    <row r="16" spans="2:18" ht="10.95">
      <c r="B16" s="24" t="s">
        <v>49</v>
      </c>
      <c r="C16" s="13" t="s">
        <v>50</v>
      </c>
      <c r="D16" s="13"/>
      <c r="E16" s="13"/>
      <c r="F16" s="13"/>
      <c r="G16" s="13"/>
      <c r="H16" s="13"/>
      <c r="I16" s="13"/>
      <c r="J16" s="13"/>
      <c r="K16" s="13"/>
      <c r="L16" s="10"/>
      <c r="M16" s="13"/>
      <c r="N16" s="13"/>
      <c r="O16" s="13"/>
      <c r="P16" s="15"/>
      <c r="Q16" s="15"/>
      <c r="R16" s="15"/>
    </row>
    <row r="17" spans="2:18" ht="10.95">
      <c r="B17" s="9" t="s">
        <v>327</v>
      </c>
      <c r="P17" s="15"/>
      <c r="Q17" s="15"/>
      <c r="R17" s="15"/>
    </row>
    <row r="20" spans="2:18" ht="10.95">
      <c r="B20" s="25" t="s">
        <v>51</v>
      </c>
      <c r="C20" s="26"/>
      <c r="D20" s="26"/>
      <c r="E20" s="26"/>
      <c r="F20" s="26"/>
      <c r="G20" s="26"/>
      <c r="H20" s="26"/>
      <c r="I20" s="26"/>
      <c r="J20" s="26"/>
      <c r="K20" s="26"/>
    </row>
    <row r="21" spans="2:18" ht="11.25" customHeight="1">
      <c r="B21" s="660" t="s">
        <v>639</v>
      </c>
      <c r="C21" s="660"/>
      <c r="D21" s="660"/>
      <c r="E21" s="660"/>
      <c r="F21" s="660"/>
      <c r="G21" s="660"/>
      <c r="H21" s="660"/>
      <c r="I21" s="660"/>
      <c r="J21" s="660"/>
      <c r="K21" s="660"/>
    </row>
    <row r="22" spans="2:18" ht="11.25" customHeight="1">
      <c r="B22" s="660"/>
      <c r="C22" s="660"/>
      <c r="D22" s="660"/>
      <c r="E22" s="660"/>
      <c r="F22" s="660"/>
      <c r="G22" s="660"/>
      <c r="H22" s="660"/>
      <c r="I22" s="660"/>
      <c r="J22" s="660"/>
      <c r="K22" s="660"/>
      <c r="M22" s="27"/>
    </row>
    <row r="23" spans="2:18" ht="11.25" customHeight="1">
      <c r="B23" s="660"/>
      <c r="C23" s="660"/>
      <c r="D23" s="660"/>
      <c r="E23" s="660"/>
      <c r="F23" s="660"/>
      <c r="G23" s="660"/>
      <c r="H23" s="660"/>
      <c r="I23" s="660"/>
      <c r="J23" s="660"/>
      <c r="K23" s="660"/>
    </row>
    <row r="24" spans="2:18">
      <c r="B24" s="660"/>
      <c r="C24" s="660"/>
      <c r="D24" s="660"/>
      <c r="E24" s="660"/>
      <c r="F24" s="660"/>
      <c r="G24" s="660"/>
      <c r="H24" s="660"/>
      <c r="I24" s="660"/>
      <c r="J24" s="660"/>
      <c r="K24" s="660"/>
    </row>
    <row r="25" spans="2:18">
      <c r="B25" s="660"/>
      <c r="C25" s="660"/>
      <c r="D25" s="660"/>
      <c r="E25" s="660"/>
      <c r="F25" s="660"/>
      <c r="G25" s="660"/>
      <c r="H25" s="660"/>
      <c r="I25" s="660"/>
      <c r="J25" s="660"/>
      <c r="K25" s="660"/>
    </row>
    <row r="26" spans="2:18">
      <c r="B26" s="660"/>
      <c r="C26" s="660"/>
      <c r="D26" s="660"/>
      <c r="E26" s="660"/>
      <c r="F26" s="660"/>
      <c r="G26" s="660"/>
      <c r="H26" s="660"/>
      <c r="I26" s="660"/>
      <c r="J26" s="660"/>
      <c r="K26" s="660"/>
    </row>
    <row r="27" spans="2:18">
      <c r="B27" s="660"/>
      <c r="C27" s="660"/>
      <c r="D27" s="660"/>
      <c r="E27" s="660"/>
      <c r="F27" s="660"/>
      <c r="G27" s="660"/>
      <c r="H27" s="660"/>
      <c r="I27" s="660"/>
      <c r="J27" s="660"/>
      <c r="K27" s="660"/>
    </row>
    <row r="28" spans="2:18">
      <c r="B28" s="660"/>
      <c r="C28" s="660"/>
      <c r="D28" s="660"/>
      <c r="E28" s="660"/>
      <c r="F28" s="660"/>
      <c r="G28" s="660"/>
      <c r="H28" s="660"/>
      <c r="I28" s="660"/>
      <c r="J28" s="660"/>
      <c r="K28" s="660"/>
    </row>
    <row r="29" spans="2:18">
      <c r="B29" s="660"/>
      <c r="C29" s="660"/>
      <c r="D29" s="660"/>
      <c r="E29" s="660"/>
      <c r="F29" s="660"/>
      <c r="G29" s="660"/>
      <c r="H29" s="660"/>
      <c r="I29" s="660"/>
      <c r="J29" s="660"/>
      <c r="K29" s="660"/>
    </row>
    <row r="30" spans="2:18">
      <c r="B30" s="660"/>
      <c r="C30" s="660"/>
      <c r="D30" s="660"/>
      <c r="E30" s="660"/>
      <c r="F30" s="660"/>
      <c r="G30" s="660"/>
      <c r="H30" s="660"/>
      <c r="I30" s="660"/>
      <c r="J30" s="660"/>
      <c r="K30" s="660"/>
    </row>
    <row r="31" spans="2:18">
      <c r="B31" s="660"/>
      <c r="C31" s="660"/>
      <c r="D31" s="660"/>
      <c r="E31" s="660"/>
      <c r="F31" s="660"/>
      <c r="G31" s="660"/>
      <c r="H31" s="660"/>
      <c r="I31" s="660"/>
      <c r="J31" s="660"/>
      <c r="K31" s="660"/>
    </row>
    <row r="32" spans="2:18">
      <c r="B32" s="660"/>
      <c r="C32" s="660"/>
      <c r="D32" s="660"/>
      <c r="E32" s="660"/>
      <c r="F32" s="660"/>
      <c r="G32" s="660"/>
      <c r="H32" s="660"/>
      <c r="I32" s="660"/>
      <c r="J32" s="660"/>
      <c r="K32" s="660"/>
    </row>
    <row r="33" spans="2:13">
      <c r="B33" s="660"/>
      <c r="C33" s="660"/>
      <c r="D33" s="660"/>
      <c r="E33" s="660"/>
      <c r="F33" s="660"/>
      <c r="G33" s="660"/>
      <c r="H33" s="660"/>
      <c r="I33" s="660"/>
      <c r="J33" s="660"/>
      <c r="K33" s="660"/>
    </row>
    <row r="34" spans="2:13">
      <c r="B34" s="660"/>
      <c r="C34" s="660"/>
      <c r="D34" s="660"/>
      <c r="E34" s="660"/>
      <c r="F34" s="660"/>
      <c r="G34" s="660"/>
      <c r="H34" s="660"/>
      <c r="I34" s="660"/>
      <c r="J34" s="660"/>
      <c r="K34" s="660"/>
    </row>
    <row r="35" spans="2:13">
      <c r="B35" s="660"/>
      <c r="C35" s="660"/>
      <c r="D35" s="660"/>
      <c r="E35" s="660"/>
      <c r="F35" s="660"/>
      <c r="G35" s="660"/>
      <c r="H35" s="660"/>
      <c r="I35" s="660"/>
      <c r="J35" s="660"/>
      <c r="K35" s="660"/>
      <c r="M35" s="27"/>
    </row>
    <row r="36" spans="2:13">
      <c r="B36" s="660"/>
      <c r="C36" s="660"/>
      <c r="D36" s="660"/>
      <c r="E36" s="660"/>
      <c r="F36" s="660"/>
      <c r="G36" s="660"/>
      <c r="H36" s="660"/>
      <c r="I36" s="660"/>
      <c r="J36" s="660"/>
      <c r="K36" s="660"/>
    </row>
    <row r="37" spans="2:13">
      <c r="B37" s="660"/>
      <c r="C37" s="660"/>
      <c r="D37" s="660"/>
      <c r="E37" s="660"/>
      <c r="F37" s="660"/>
      <c r="G37" s="660"/>
      <c r="H37" s="660"/>
      <c r="I37" s="660"/>
      <c r="J37" s="660"/>
      <c r="K37" s="660"/>
    </row>
    <row r="38" spans="2:13">
      <c r="B38" s="660"/>
      <c r="C38" s="660"/>
      <c r="D38" s="660"/>
      <c r="E38" s="660"/>
      <c r="F38" s="660"/>
      <c r="G38" s="660"/>
      <c r="H38" s="660"/>
      <c r="I38" s="660"/>
      <c r="J38" s="660"/>
      <c r="K38" s="660"/>
    </row>
    <row r="39" spans="2:13">
      <c r="B39" s="660"/>
      <c r="C39" s="660"/>
      <c r="D39" s="660"/>
      <c r="E39" s="660"/>
      <c r="F39" s="660"/>
      <c r="G39" s="660"/>
      <c r="H39" s="660"/>
      <c r="I39" s="660"/>
      <c r="J39" s="660"/>
      <c r="K39" s="660"/>
    </row>
    <row r="40" spans="2:13">
      <c r="B40" s="660"/>
      <c r="C40" s="660"/>
      <c r="D40" s="660"/>
      <c r="E40" s="660"/>
      <c r="F40" s="660"/>
      <c r="G40" s="660"/>
      <c r="H40" s="660"/>
      <c r="I40" s="660"/>
      <c r="J40" s="660"/>
      <c r="K40" s="660"/>
    </row>
    <row r="41" spans="2:13">
      <c r="B41" s="660"/>
      <c r="C41" s="660"/>
      <c r="D41" s="660"/>
      <c r="E41" s="660"/>
      <c r="F41" s="660"/>
      <c r="G41" s="660"/>
      <c r="H41" s="660"/>
      <c r="I41" s="660"/>
      <c r="J41" s="660"/>
      <c r="K41" s="660"/>
    </row>
    <row r="42" spans="2:13">
      <c r="B42" s="660"/>
      <c r="C42" s="660"/>
      <c r="D42" s="660"/>
      <c r="E42" s="660"/>
      <c r="F42" s="660"/>
      <c r="G42" s="660"/>
      <c r="H42" s="660"/>
      <c r="I42" s="660"/>
      <c r="J42" s="660"/>
      <c r="K42" s="660"/>
    </row>
    <row r="43" spans="2:13">
      <c r="B43" s="660"/>
      <c r="C43" s="660"/>
      <c r="D43" s="660"/>
      <c r="E43" s="660"/>
      <c r="F43" s="660"/>
      <c r="G43" s="660"/>
      <c r="H43" s="660"/>
      <c r="I43" s="660"/>
      <c r="J43" s="660"/>
      <c r="K43" s="660"/>
    </row>
    <row r="44" spans="2:13">
      <c r="B44" s="660"/>
      <c r="C44" s="660"/>
      <c r="D44" s="660"/>
      <c r="E44" s="660"/>
      <c r="F44" s="660"/>
      <c r="G44" s="660"/>
      <c r="H44" s="660"/>
      <c r="I44" s="660"/>
      <c r="J44" s="660"/>
      <c r="K44" s="660"/>
    </row>
    <row r="45" spans="2:13">
      <c r="B45" s="660"/>
      <c r="C45" s="660"/>
      <c r="D45" s="660"/>
      <c r="E45" s="660"/>
      <c r="F45" s="660"/>
      <c r="G45" s="660"/>
      <c r="H45" s="660"/>
      <c r="I45" s="660"/>
      <c r="J45" s="660"/>
      <c r="K45" s="660"/>
    </row>
    <row r="46" spans="2:13">
      <c r="B46" s="660"/>
      <c r="C46" s="660"/>
      <c r="D46" s="660"/>
      <c r="E46" s="660"/>
      <c r="F46" s="660"/>
      <c r="G46" s="660"/>
      <c r="H46" s="660"/>
      <c r="I46" s="660"/>
      <c r="J46" s="660"/>
      <c r="K46" s="660"/>
    </row>
    <row r="47" spans="2:13">
      <c r="B47" s="660"/>
      <c r="C47" s="660"/>
      <c r="D47" s="660"/>
      <c r="E47" s="660"/>
      <c r="F47" s="660"/>
      <c r="G47" s="660"/>
      <c r="H47" s="660"/>
      <c r="I47" s="660"/>
      <c r="J47" s="660"/>
      <c r="K47" s="660"/>
    </row>
    <row r="48" spans="2:13">
      <c r="B48" s="660"/>
      <c r="C48" s="660"/>
      <c r="D48" s="660"/>
      <c r="E48" s="660"/>
      <c r="F48" s="660"/>
      <c r="G48" s="660"/>
      <c r="H48" s="660"/>
      <c r="I48" s="660"/>
      <c r="J48" s="660"/>
      <c r="K48" s="660"/>
    </row>
  </sheetData>
  <mergeCells count="2">
    <mergeCell ref="B3:O5"/>
    <mergeCell ref="B21:K48"/>
  </mergeCell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B1:AD75"/>
  <sheetViews>
    <sheetView tabSelected="1" topLeftCell="G40" zoomScale="115" zoomScaleNormal="115" zoomScalePageLayoutView="115" workbookViewId="0">
      <selection activeCell="T65" sqref="T65"/>
    </sheetView>
  </sheetViews>
  <sheetFormatPr defaultColWidth="10.6640625" defaultRowHeight="10.199999999999999"/>
  <cols>
    <col min="1" max="1" width="2.44140625" style="328" customWidth="1"/>
    <col min="2" max="6" width="13.44140625" style="328" customWidth="1"/>
    <col min="7" max="7" width="17.77734375" style="328" customWidth="1"/>
    <col min="8" max="8" width="2.6640625" style="328" customWidth="1"/>
    <col min="9" max="9" width="15.77734375" style="328" bestFit="1" customWidth="1"/>
    <col min="10" max="15" width="10.6640625" style="328"/>
    <col min="16" max="16" width="11.77734375" style="328" customWidth="1"/>
    <col min="17" max="17" width="2.44140625" style="328" customWidth="1"/>
    <col min="18" max="18" width="12.77734375" style="328" customWidth="1"/>
    <col min="19" max="20" width="11.77734375" style="328" customWidth="1"/>
    <col min="21" max="21" width="17.6640625" style="328" customWidth="1"/>
    <col min="22" max="22" width="17" style="328" customWidth="1"/>
    <col min="23" max="23" width="16.109375" style="328" customWidth="1"/>
    <col min="24" max="24" width="3.33203125" style="328" customWidth="1"/>
    <col min="25" max="30" width="15.109375" style="328" customWidth="1"/>
    <col min="31" max="16384" width="10.6640625" style="328"/>
  </cols>
  <sheetData>
    <row r="1" spans="2:30" s="341" customFormat="1" ht="10.95">
      <c r="B1" s="340" t="s">
        <v>44</v>
      </c>
    </row>
    <row r="2" spans="2:30" s="421" customFormat="1" ht="10.95">
      <c r="I2" s="420"/>
    </row>
    <row r="3" spans="2:30" ht="11.25" customHeight="1">
      <c r="B3" s="589" t="s">
        <v>515</v>
      </c>
      <c r="C3" s="589"/>
      <c r="D3" s="589"/>
      <c r="E3" s="589"/>
      <c r="F3" s="589"/>
      <c r="G3" s="589"/>
      <c r="I3" s="661" t="s">
        <v>522</v>
      </c>
      <c r="J3" s="661"/>
      <c r="K3" s="661"/>
      <c r="L3" s="661"/>
      <c r="M3" s="661"/>
      <c r="N3" s="661"/>
      <c r="O3" s="661"/>
      <c r="P3" s="661"/>
      <c r="R3" s="750" t="s">
        <v>445</v>
      </c>
      <c r="S3" s="750"/>
      <c r="T3" s="750"/>
      <c r="U3" s="750"/>
      <c r="V3" s="750"/>
      <c r="W3" s="750"/>
      <c r="Y3" s="661" t="s">
        <v>446</v>
      </c>
      <c r="Z3" s="661"/>
      <c r="AA3" s="661"/>
      <c r="AB3" s="661"/>
      <c r="AC3" s="661"/>
      <c r="AD3" s="661"/>
    </row>
    <row r="4" spans="2:30" ht="11.25" customHeight="1">
      <c r="B4" s="751" t="s">
        <v>611</v>
      </c>
      <c r="C4" s="751"/>
      <c r="D4" s="751"/>
      <c r="E4" s="751"/>
      <c r="F4" s="751"/>
      <c r="G4" s="751"/>
      <c r="I4" s="753" t="s">
        <v>520</v>
      </c>
      <c r="J4" s="753"/>
      <c r="K4" s="753"/>
      <c r="L4" s="753"/>
      <c r="M4" s="753"/>
      <c r="N4" s="753" t="s">
        <v>521</v>
      </c>
      <c r="O4" s="753"/>
      <c r="P4" s="753"/>
      <c r="R4" s="751" t="s">
        <v>576</v>
      </c>
      <c r="S4" s="751"/>
      <c r="T4" s="751"/>
      <c r="U4" s="751"/>
      <c r="V4" s="751"/>
      <c r="W4" s="751"/>
      <c r="Y4" s="751" t="s">
        <v>612</v>
      </c>
      <c r="Z4" s="751"/>
      <c r="AA4" s="751"/>
      <c r="AB4" s="751"/>
      <c r="AC4" s="751"/>
      <c r="AD4" s="751"/>
    </row>
    <row r="5" spans="2:30" ht="15" customHeight="1">
      <c r="B5" s="751"/>
      <c r="C5" s="751"/>
      <c r="D5" s="751"/>
      <c r="E5" s="751"/>
      <c r="F5" s="751"/>
      <c r="G5" s="751"/>
      <c r="I5" s="752" t="s">
        <v>105</v>
      </c>
      <c r="J5" s="752"/>
      <c r="K5" s="752"/>
      <c r="L5" s="752"/>
      <c r="M5" s="752"/>
      <c r="N5" s="752"/>
      <c r="O5" s="752"/>
      <c r="P5" s="752"/>
      <c r="R5" s="751"/>
      <c r="S5" s="751"/>
      <c r="T5" s="751"/>
      <c r="U5" s="751"/>
      <c r="V5" s="751"/>
      <c r="W5" s="751"/>
      <c r="Y5" s="751"/>
      <c r="Z5" s="751"/>
      <c r="AA5" s="751"/>
      <c r="AB5" s="751"/>
      <c r="AC5" s="751"/>
      <c r="AD5" s="751"/>
    </row>
    <row r="6" spans="2:30">
      <c r="B6" s="751"/>
      <c r="C6" s="751"/>
      <c r="D6" s="751"/>
      <c r="E6" s="751"/>
      <c r="F6" s="751"/>
      <c r="G6" s="751"/>
      <c r="I6" s="752" t="s">
        <v>106</v>
      </c>
      <c r="J6" s="752"/>
      <c r="K6" s="752"/>
      <c r="L6" s="752"/>
      <c r="M6" s="752"/>
      <c r="N6" s="752"/>
      <c r="O6" s="752"/>
      <c r="P6" s="752"/>
      <c r="R6" s="751"/>
      <c r="S6" s="751"/>
      <c r="T6" s="751"/>
      <c r="U6" s="751"/>
      <c r="V6" s="751"/>
      <c r="W6" s="751"/>
      <c r="Y6" s="751"/>
      <c r="Z6" s="751"/>
      <c r="AA6" s="751"/>
      <c r="AB6" s="751"/>
      <c r="AC6" s="751"/>
      <c r="AD6" s="751"/>
    </row>
    <row r="7" spans="2:30">
      <c r="B7" s="751"/>
      <c r="C7" s="751"/>
      <c r="D7" s="751"/>
      <c r="E7" s="751"/>
      <c r="F7" s="751"/>
      <c r="G7" s="751"/>
      <c r="I7" s="342" t="s">
        <v>107</v>
      </c>
      <c r="J7" s="343"/>
      <c r="K7" s="344"/>
      <c r="L7" s="345"/>
      <c r="M7" s="345"/>
      <c r="N7" s="397" t="s">
        <v>331</v>
      </c>
      <c r="O7" s="397"/>
      <c r="P7" s="401">
        <v>0.114</v>
      </c>
      <c r="R7" s="751"/>
      <c r="S7" s="751"/>
      <c r="T7" s="751"/>
      <c r="U7" s="751"/>
      <c r="V7" s="751"/>
      <c r="W7" s="751"/>
      <c r="Y7" s="751"/>
      <c r="Z7" s="751"/>
      <c r="AA7" s="751"/>
      <c r="AB7" s="751"/>
      <c r="AC7" s="751"/>
      <c r="AD7" s="751"/>
    </row>
    <row r="8" spans="2:30" ht="12.75" customHeight="1">
      <c r="B8" s="751"/>
      <c r="C8" s="751"/>
      <c r="D8" s="751"/>
      <c r="E8" s="751"/>
      <c r="F8" s="751"/>
      <c r="G8" s="751"/>
      <c r="I8" s="346" t="s">
        <v>108</v>
      </c>
      <c r="J8" s="539">
        <v>1.45</v>
      </c>
      <c r="K8" s="346" t="s">
        <v>313</v>
      </c>
      <c r="L8" s="346"/>
      <c r="M8" s="346"/>
      <c r="N8" s="346" t="s">
        <v>332</v>
      </c>
      <c r="O8" s="346" t="s">
        <v>333</v>
      </c>
      <c r="P8" s="402">
        <v>30</v>
      </c>
      <c r="R8" s="751"/>
      <c r="S8" s="751"/>
      <c r="T8" s="751"/>
      <c r="U8" s="751"/>
      <c r="V8" s="751"/>
      <c r="W8" s="751"/>
      <c r="Y8" s="751"/>
      <c r="Z8" s="751"/>
      <c r="AA8" s="751"/>
      <c r="AB8" s="751"/>
      <c r="AC8" s="751"/>
      <c r="AD8" s="751"/>
    </row>
    <row r="9" spans="2:30" ht="20.25" customHeight="1">
      <c r="B9" s="751"/>
      <c r="C9" s="751"/>
      <c r="D9" s="751"/>
      <c r="E9" s="751"/>
      <c r="F9" s="751"/>
      <c r="G9" s="751"/>
      <c r="I9" s="343" t="s">
        <v>314</v>
      </c>
      <c r="J9" s="347">
        <v>18.918775170802999</v>
      </c>
      <c r="K9" s="348" t="s">
        <v>320</v>
      </c>
      <c r="L9" s="349"/>
      <c r="M9" s="349"/>
      <c r="N9" s="349" t="s">
        <v>334</v>
      </c>
      <c r="O9" s="349"/>
      <c r="P9" s="401">
        <v>1</v>
      </c>
      <c r="R9" s="751"/>
      <c r="S9" s="751"/>
      <c r="T9" s="751"/>
      <c r="U9" s="751"/>
      <c r="V9" s="751"/>
      <c r="W9" s="751"/>
      <c r="Y9" s="751"/>
      <c r="Z9" s="751"/>
      <c r="AA9" s="751"/>
      <c r="AB9" s="751"/>
      <c r="AC9" s="751"/>
      <c r="AD9" s="751"/>
    </row>
    <row r="10" spans="2:30">
      <c r="B10" s="751"/>
      <c r="C10" s="751"/>
      <c r="D10" s="751"/>
      <c r="E10" s="751"/>
      <c r="F10" s="751"/>
      <c r="G10" s="751"/>
      <c r="I10" s="343" t="s">
        <v>315</v>
      </c>
      <c r="J10" s="347">
        <v>2.1045229105623302</v>
      </c>
      <c r="K10" s="348" t="s">
        <v>320</v>
      </c>
      <c r="L10" s="349"/>
      <c r="M10" s="349"/>
      <c r="N10" s="349"/>
      <c r="O10" s="349"/>
      <c r="P10" s="349"/>
      <c r="R10" s="346"/>
      <c r="S10" s="588"/>
      <c r="T10" s="588"/>
      <c r="U10" s="588"/>
      <c r="V10" s="588"/>
      <c r="W10" s="588"/>
      <c r="Y10" s="751"/>
      <c r="Z10" s="751"/>
      <c r="AA10" s="751"/>
      <c r="AB10" s="751"/>
      <c r="AC10" s="751"/>
      <c r="AD10" s="751"/>
    </row>
    <row r="11" spans="2:30">
      <c r="B11" s="751"/>
      <c r="C11" s="751"/>
      <c r="D11" s="751"/>
      <c r="E11" s="751"/>
      <c r="F11" s="751"/>
      <c r="G11" s="751"/>
      <c r="I11" s="343" t="s">
        <v>316</v>
      </c>
      <c r="J11" s="350" t="s">
        <v>319</v>
      </c>
      <c r="K11" s="349"/>
      <c r="L11" s="351"/>
      <c r="M11" s="349"/>
      <c r="N11" s="349"/>
      <c r="O11" s="349"/>
      <c r="P11" s="349"/>
      <c r="R11" s="346" t="s">
        <v>443</v>
      </c>
      <c r="S11" s="588"/>
      <c r="T11" s="588"/>
      <c r="U11" s="588"/>
      <c r="V11" s="588"/>
      <c r="W11" s="588"/>
      <c r="Y11" s="751"/>
      <c r="Z11" s="751"/>
      <c r="AA11" s="751"/>
      <c r="AB11" s="751"/>
      <c r="AC11" s="751"/>
      <c r="AD11" s="751"/>
    </row>
    <row r="12" spans="2:30">
      <c r="B12" s="751"/>
      <c r="C12" s="751"/>
      <c r="D12" s="751"/>
      <c r="E12" s="751"/>
      <c r="F12" s="751"/>
      <c r="G12" s="751"/>
      <c r="I12" s="343" t="s">
        <v>317</v>
      </c>
      <c r="J12" s="351" t="s">
        <v>318</v>
      </c>
      <c r="K12" s="349"/>
      <c r="L12" s="349"/>
      <c r="M12" s="349"/>
      <c r="N12" s="349"/>
      <c r="O12" s="349"/>
      <c r="P12" s="349"/>
      <c r="R12" s="346" t="s">
        <v>444</v>
      </c>
      <c r="S12" s="588"/>
      <c r="T12" s="588"/>
      <c r="U12" s="588"/>
      <c r="V12" s="588"/>
      <c r="W12" s="588"/>
      <c r="Y12" s="751"/>
      <c r="Z12" s="751"/>
      <c r="AA12" s="751"/>
      <c r="AB12" s="751"/>
      <c r="AC12" s="751"/>
      <c r="AD12" s="751"/>
    </row>
    <row r="13" spans="2:30" ht="11.25" customHeight="1">
      <c r="B13" s="751"/>
      <c r="C13" s="751"/>
      <c r="D13" s="751"/>
      <c r="E13" s="751"/>
      <c r="F13" s="751"/>
      <c r="G13" s="751"/>
      <c r="I13" s="741" t="s">
        <v>577</v>
      </c>
      <c r="J13" s="741"/>
      <c r="K13" s="741"/>
      <c r="L13" s="741"/>
      <c r="M13" s="741"/>
      <c r="N13" s="741"/>
      <c r="O13" s="741"/>
      <c r="P13" s="741"/>
      <c r="R13" s="588"/>
      <c r="S13" s="588"/>
      <c r="T13" s="588"/>
      <c r="U13" s="588"/>
      <c r="V13" s="588"/>
      <c r="W13" s="588"/>
      <c r="Y13" s="751"/>
      <c r="Z13" s="751"/>
      <c r="AA13" s="751"/>
      <c r="AB13" s="751"/>
      <c r="AC13" s="751"/>
      <c r="AD13" s="751"/>
    </row>
    <row r="14" spans="2:30">
      <c r="B14" s="751"/>
      <c r="C14" s="751"/>
      <c r="D14" s="751"/>
      <c r="E14" s="751"/>
      <c r="F14" s="751"/>
      <c r="G14" s="751"/>
      <c r="I14" s="195" t="s">
        <v>370</v>
      </c>
      <c r="J14" s="195" t="s">
        <v>115</v>
      </c>
      <c r="K14" s="195" t="s">
        <v>109</v>
      </c>
      <c r="L14" s="195" t="s">
        <v>110</v>
      </c>
      <c r="M14" s="195" t="s">
        <v>111</v>
      </c>
      <c r="N14" s="195" t="s">
        <v>112</v>
      </c>
      <c r="O14" s="195" t="s">
        <v>113</v>
      </c>
      <c r="P14" s="195" t="s">
        <v>114</v>
      </c>
      <c r="R14" s="751" t="s">
        <v>516</v>
      </c>
      <c r="S14" s="751"/>
      <c r="T14" s="751"/>
      <c r="U14" s="751"/>
      <c r="V14" s="751"/>
      <c r="W14" s="751"/>
      <c r="Y14" s="751"/>
      <c r="Z14" s="751"/>
      <c r="AA14" s="751"/>
      <c r="AB14" s="751"/>
      <c r="AC14" s="751"/>
      <c r="AD14" s="751"/>
    </row>
    <row r="15" spans="2:30">
      <c r="B15" s="751"/>
      <c r="C15" s="751"/>
      <c r="D15" s="751"/>
      <c r="E15" s="751"/>
      <c r="F15" s="751"/>
      <c r="G15" s="751"/>
      <c r="I15" s="352" t="s">
        <v>383</v>
      </c>
      <c r="J15" s="353">
        <v>1.0293352112676057</v>
      </c>
      <c r="K15" s="353">
        <v>1.0306129032258065</v>
      </c>
      <c r="L15" s="353">
        <v>1.0373375</v>
      </c>
      <c r="M15" s="353">
        <v>1.0425177664974619</v>
      </c>
      <c r="N15" s="353">
        <v>1.0473159787451023</v>
      </c>
      <c r="O15" s="353">
        <v>1.0483983423960708</v>
      </c>
      <c r="P15" s="353">
        <v>1.0491772853185597</v>
      </c>
      <c r="R15" s="751"/>
      <c r="S15" s="751"/>
      <c r="T15" s="751"/>
      <c r="U15" s="751"/>
      <c r="V15" s="751"/>
      <c r="W15" s="751"/>
      <c r="Y15" s="751"/>
      <c r="Z15" s="751"/>
      <c r="AA15" s="751"/>
      <c r="AB15" s="751"/>
      <c r="AC15" s="751"/>
      <c r="AD15" s="751"/>
    </row>
    <row r="16" spans="2:30">
      <c r="B16" s="751"/>
      <c r="C16" s="751"/>
      <c r="D16" s="751"/>
      <c r="E16" s="751"/>
      <c r="F16" s="751"/>
      <c r="G16" s="751"/>
      <c r="I16" s="352" t="s">
        <v>384</v>
      </c>
      <c r="J16" s="353">
        <v>0.19500000000000001</v>
      </c>
      <c r="K16" s="353">
        <v>0.19500000000000001</v>
      </c>
      <c r="L16" s="353">
        <v>0.19500000000000001</v>
      </c>
      <c r="M16" s="353">
        <v>0.19500000000000001</v>
      </c>
      <c r="N16" s="353">
        <v>0.19500000000000001</v>
      </c>
      <c r="O16" s="353">
        <v>0.19500000000000001</v>
      </c>
      <c r="P16" s="353">
        <v>0.19500000000000001</v>
      </c>
      <c r="R16" s="751" t="s">
        <v>578</v>
      </c>
      <c r="S16" s="751"/>
      <c r="T16" s="751"/>
      <c r="U16" s="751"/>
      <c r="V16" s="751"/>
      <c r="W16" s="751"/>
      <c r="Y16" s="751"/>
      <c r="Z16" s="751"/>
      <c r="AA16" s="751"/>
      <c r="AB16" s="751"/>
      <c r="AC16" s="751"/>
      <c r="AD16" s="751"/>
    </row>
    <row r="17" spans="2:30">
      <c r="B17" s="751"/>
      <c r="C17" s="751"/>
      <c r="D17" s="751"/>
      <c r="E17" s="751"/>
      <c r="F17" s="751"/>
      <c r="G17" s="751"/>
      <c r="I17" s="352" t="s">
        <v>29</v>
      </c>
      <c r="J17" s="353">
        <v>0.72564872415719861</v>
      </c>
      <c r="K17" s="353">
        <v>0.7417301349325337</v>
      </c>
      <c r="L17" s="353">
        <v>0.74940723981900437</v>
      </c>
      <c r="M17" s="353">
        <v>0.75863735343383587</v>
      </c>
      <c r="N17" s="353">
        <v>0.7651334360554698</v>
      </c>
      <c r="O17" s="353">
        <v>0.83103402220016243</v>
      </c>
      <c r="P17" s="353">
        <v>0.89274490595611278</v>
      </c>
      <c r="R17" s="751"/>
      <c r="S17" s="751"/>
      <c r="T17" s="751"/>
      <c r="U17" s="751"/>
      <c r="V17" s="751"/>
      <c r="W17" s="751"/>
      <c r="Y17" s="751"/>
      <c r="Z17" s="751"/>
      <c r="AA17" s="751"/>
      <c r="AB17" s="751"/>
      <c r="AC17" s="751"/>
      <c r="AD17" s="751"/>
    </row>
    <row r="18" spans="2:30">
      <c r="B18" s="751"/>
      <c r="C18" s="751"/>
      <c r="D18" s="751"/>
      <c r="E18" s="751"/>
      <c r="F18" s="751"/>
      <c r="G18" s="751"/>
      <c r="I18" s="352" t="s">
        <v>30</v>
      </c>
      <c r="J18" s="353">
        <v>0.64866666666666661</v>
      </c>
      <c r="K18" s="353">
        <v>0.64866666666666661</v>
      </c>
      <c r="L18" s="353">
        <v>0.64866666666666661</v>
      </c>
      <c r="M18" s="353">
        <v>0.64866666666666661</v>
      </c>
      <c r="N18" s="353">
        <v>0.64866666666666661</v>
      </c>
      <c r="O18" s="353">
        <v>0.64866666666666661</v>
      </c>
      <c r="P18" s="353">
        <v>0.64866666666666661</v>
      </c>
      <c r="R18" s="751"/>
      <c r="S18" s="751"/>
      <c r="T18" s="751"/>
      <c r="U18" s="751"/>
      <c r="V18" s="751"/>
      <c r="W18" s="751"/>
      <c r="Y18" s="751"/>
      <c r="Z18" s="751"/>
      <c r="AA18" s="751"/>
      <c r="AB18" s="751"/>
      <c r="AC18" s="751"/>
      <c r="AD18" s="751"/>
    </row>
    <row r="19" spans="2:30">
      <c r="B19" s="751"/>
      <c r="C19" s="751"/>
      <c r="D19" s="751"/>
      <c r="E19" s="751"/>
      <c r="F19" s="751"/>
      <c r="G19" s="751"/>
      <c r="I19" s="352" t="s">
        <v>83</v>
      </c>
      <c r="J19" s="353">
        <v>0.88807791509940892</v>
      </c>
      <c r="K19" s="353">
        <v>0.89188105726872235</v>
      </c>
      <c r="L19" s="353">
        <v>0.89513437849944011</v>
      </c>
      <c r="M19" s="353">
        <v>0.89954682454251889</v>
      </c>
      <c r="N19" s="353">
        <v>0.91398876404494378</v>
      </c>
      <c r="O19" s="353">
        <v>0.96142089552238796</v>
      </c>
      <c r="P19" s="353">
        <v>0.99831206225680924</v>
      </c>
      <c r="R19" s="751"/>
      <c r="S19" s="751"/>
      <c r="T19" s="751"/>
      <c r="U19" s="751"/>
      <c r="V19" s="751"/>
      <c r="W19" s="751"/>
      <c r="Y19" s="751"/>
      <c r="Z19" s="751"/>
      <c r="AA19" s="751"/>
      <c r="AB19" s="751"/>
      <c r="AC19" s="751"/>
      <c r="AD19" s="751"/>
    </row>
    <row r="20" spans="2:30">
      <c r="B20" s="751"/>
      <c r="C20" s="751"/>
      <c r="D20" s="751"/>
      <c r="E20" s="751"/>
      <c r="F20" s="751"/>
      <c r="G20" s="751"/>
      <c r="I20" s="352" t="s">
        <v>32</v>
      </c>
      <c r="J20" s="353">
        <v>0.90274999999999994</v>
      </c>
      <c r="K20" s="353">
        <v>0.90274999999999994</v>
      </c>
      <c r="L20" s="353">
        <v>0.90274999999999994</v>
      </c>
      <c r="M20" s="353">
        <v>0.90274999999999994</v>
      </c>
      <c r="N20" s="353">
        <v>0.90274999999999994</v>
      </c>
      <c r="O20" s="353">
        <v>0.90274999999999994</v>
      </c>
      <c r="P20" s="353">
        <v>0.90274999999999994</v>
      </c>
      <c r="R20" s="751"/>
      <c r="S20" s="751"/>
      <c r="T20" s="751"/>
      <c r="U20" s="751"/>
      <c r="V20" s="751"/>
      <c r="W20" s="751"/>
      <c r="Y20" s="751"/>
      <c r="Z20" s="751"/>
      <c r="AA20" s="751"/>
      <c r="AB20" s="751"/>
      <c r="AC20" s="751"/>
      <c r="AD20" s="751"/>
    </row>
    <row r="21" spans="2:30">
      <c r="B21" s="751"/>
      <c r="C21" s="751"/>
      <c r="D21" s="751"/>
      <c r="E21" s="751"/>
      <c r="F21" s="751"/>
      <c r="G21" s="751"/>
      <c r="I21" s="352" t="s">
        <v>64</v>
      </c>
      <c r="J21" s="353">
        <v>0.5823771332223413</v>
      </c>
      <c r="K21" s="353">
        <v>0.5823771332223413</v>
      </c>
      <c r="L21" s="353">
        <v>0.5823771332223413</v>
      </c>
      <c r="M21" s="353">
        <v>0.5823771332223413</v>
      </c>
      <c r="N21" s="353">
        <v>0.5823771332223413</v>
      </c>
      <c r="O21" s="353">
        <v>0.5823771332223413</v>
      </c>
      <c r="P21" s="353">
        <v>0.5823771332223413</v>
      </c>
      <c r="R21" s="751"/>
      <c r="S21" s="751"/>
      <c r="T21" s="751"/>
      <c r="U21" s="751"/>
      <c r="V21" s="751"/>
      <c r="W21" s="751"/>
      <c r="Y21" s="751"/>
      <c r="Z21" s="751"/>
      <c r="AA21" s="751"/>
      <c r="AB21" s="751"/>
      <c r="AC21" s="751"/>
      <c r="AD21" s="751"/>
    </row>
    <row r="22" spans="2:30">
      <c r="B22" s="751"/>
      <c r="C22" s="751"/>
      <c r="D22" s="751"/>
      <c r="E22" s="751"/>
      <c r="F22" s="751"/>
      <c r="G22" s="751"/>
      <c r="R22" s="751"/>
      <c r="S22" s="751"/>
      <c r="T22" s="751"/>
      <c r="U22" s="751"/>
      <c r="V22" s="751"/>
      <c r="W22" s="751"/>
      <c r="Y22" s="751"/>
      <c r="Z22" s="751"/>
      <c r="AA22" s="751"/>
      <c r="AB22" s="751"/>
      <c r="AC22" s="751"/>
      <c r="AD22" s="751"/>
    </row>
    <row r="23" spans="2:30" ht="11.25" customHeight="1">
      <c r="B23" s="751"/>
      <c r="C23" s="751"/>
      <c r="D23" s="751"/>
      <c r="E23" s="751"/>
      <c r="F23" s="751"/>
      <c r="G23" s="751"/>
      <c r="I23" s="741" t="s">
        <v>579</v>
      </c>
      <c r="J23" s="741"/>
      <c r="K23" s="741"/>
      <c r="L23" s="741"/>
      <c r="M23" s="741"/>
      <c r="N23" s="741"/>
      <c r="O23" s="741"/>
      <c r="P23" s="741"/>
      <c r="R23" s="751"/>
      <c r="S23" s="751"/>
      <c r="T23" s="751"/>
      <c r="U23" s="751"/>
      <c r="V23" s="751"/>
      <c r="W23" s="751"/>
      <c r="Y23" s="751"/>
      <c r="Z23" s="751"/>
      <c r="AA23" s="751"/>
      <c r="AB23" s="751"/>
      <c r="AC23" s="751"/>
      <c r="AD23" s="751"/>
    </row>
    <row r="24" spans="2:30">
      <c r="B24" s="751"/>
      <c r="C24" s="751"/>
      <c r="D24" s="751"/>
      <c r="E24" s="751"/>
      <c r="F24" s="751"/>
      <c r="G24" s="751"/>
      <c r="I24" s="195" t="s">
        <v>370</v>
      </c>
      <c r="J24" s="195" t="s">
        <v>115</v>
      </c>
      <c r="K24" s="195" t="s">
        <v>109</v>
      </c>
      <c r="L24" s="195" t="s">
        <v>110</v>
      </c>
      <c r="M24" s="195" t="s">
        <v>111</v>
      </c>
      <c r="N24" s="195" t="s">
        <v>112</v>
      </c>
      <c r="O24" s="195" t="s">
        <v>113</v>
      </c>
      <c r="P24" s="195" t="s">
        <v>114</v>
      </c>
      <c r="R24" s="751"/>
      <c r="S24" s="751"/>
      <c r="T24" s="751"/>
      <c r="U24" s="751"/>
      <c r="V24" s="751"/>
      <c r="W24" s="751"/>
      <c r="Y24" s="751"/>
      <c r="Z24" s="751"/>
      <c r="AA24" s="751"/>
      <c r="AB24" s="751"/>
      <c r="AC24" s="751"/>
      <c r="AD24" s="751"/>
    </row>
    <row r="25" spans="2:30">
      <c r="B25" s="751"/>
      <c r="C25" s="751"/>
      <c r="D25" s="751"/>
      <c r="E25" s="751"/>
      <c r="F25" s="751"/>
      <c r="G25" s="751"/>
      <c r="I25" s="352" t="s">
        <v>383</v>
      </c>
      <c r="J25" s="353">
        <f t="shared" ref="J25:P29" si="0">J15*MSP_MM</f>
        <v>1.4925360563380283</v>
      </c>
      <c r="K25" s="353">
        <f t="shared" si="0"/>
        <v>1.4943887096774193</v>
      </c>
      <c r="L25" s="353">
        <f t="shared" si="0"/>
        <v>1.5041393750000001</v>
      </c>
      <c r="M25" s="353">
        <f t="shared" si="0"/>
        <v>1.5116507614213197</v>
      </c>
      <c r="N25" s="353">
        <f t="shared" si="0"/>
        <v>1.5186081691803983</v>
      </c>
      <c r="O25" s="353">
        <f t="shared" si="0"/>
        <v>1.5201775964743025</v>
      </c>
      <c r="P25" s="353">
        <f t="shared" si="0"/>
        <v>1.5213070637119115</v>
      </c>
      <c r="R25" s="751"/>
      <c r="S25" s="751"/>
      <c r="T25" s="751"/>
      <c r="U25" s="751"/>
      <c r="V25" s="751"/>
      <c r="W25" s="751"/>
      <c r="Y25" s="751"/>
      <c r="Z25" s="751"/>
      <c r="AA25" s="751"/>
      <c r="AB25" s="751"/>
      <c r="AC25" s="751"/>
      <c r="AD25" s="751"/>
    </row>
    <row r="26" spans="2:30">
      <c r="B26" s="751"/>
      <c r="C26" s="751"/>
      <c r="D26" s="751"/>
      <c r="E26" s="751"/>
      <c r="F26" s="751"/>
      <c r="G26" s="751"/>
      <c r="I26" s="352" t="s">
        <v>384</v>
      </c>
      <c r="J26" s="353">
        <f>J16*MSP_MM</f>
        <v>0.28275</v>
      </c>
      <c r="K26" s="353">
        <f t="shared" si="0"/>
        <v>0.28275</v>
      </c>
      <c r="L26" s="353">
        <f t="shared" si="0"/>
        <v>0.28275</v>
      </c>
      <c r="M26" s="353">
        <f t="shared" si="0"/>
        <v>0.28275</v>
      </c>
      <c r="N26" s="353">
        <f t="shared" si="0"/>
        <v>0.28275</v>
      </c>
      <c r="O26" s="353">
        <f t="shared" si="0"/>
        <v>0.28275</v>
      </c>
      <c r="P26" s="353">
        <f t="shared" si="0"/>
        <v>0.28275</v>
      </c>
      <c r="R26" s="751"/>
      <c r="S26" s="751"/>
      <c r="T26" s="751"/>
      <c r="U26" s="751"/>
      <c r="V26" s="751"/>
      <c r="W26" s="751"/>
      <c r="Y26" s="751"/>
      <c r="Z26" s="751"/>
      <c r="AA26" s="751"/>
      <c r="AB26" s="751"/>
      <c r="AC26" s="751"/>
      <c r="AD26" s="751"/>
    </row>
    <row r="27" spans="2:30">
      <c r="B27" s="751"/>
      <c r="C27" s="751"/>
      <c r="D27" s="751"/>
      <c r="E27" s="751"/>
      <c r="F27" s="751"/>
      <c r="G27" s="751"/>
      <c r="I27" s="352" t="s">
        <v>29</v>
      </c>
      <c r="J27" s="353">
        <f t="shared" si="0"/>
        <v>1.0521906500279379</v>
      </c>
      <c r="K27" s="353">
        <f t="shared" si="0"/>
        <v>1.0755086956521738</v>
      </c>
      <c r="L27" s="353">
        <f t="shared" si="0"/>
        <v>1.0866404977375563</v>
      </c>
      <c r="M27" s="353">
        <f t="shared" si="0"/>
        <v>1.1000241624790619</v>
      </c>
      <c r="N27" s="353">
        <f t="shared" si="0"/>
        <v>1.1094434822804311</v>
      </c>
      <c r="O27" s="353">
        <f t="shared" si="0"/>
        <v>1.2049993321902355</v>
      </c>
      <c r="P27" s="353">
        <f t="shared" si="0"/>
        <v>1.2944801136363635</v>
      </c>
      <c r="R27" s="751"/>
      <c r="S27" s="751"/>
      <c r="T27" s="751"/>
      <c r="U27" s="751"/>
      <c r="V27" s="751"/>
      <c r="W27" s="751"/>
      <c r="X27" s="403"/>
      <c r="Y27" s="751"/>
      <c r="Z27" s="751"/>
      <c r="AA27" s="751"/>
      <c r="AB27" s="751"/>
      <c r="AC27" s="751"/>
      <c r="AD27" s="751"/>
    </row>
    <row r="28" spans="2:30">
      <c r="B28" s="751"/>
      <c r="C28" s="751"/>
      <c r="D28" s="751"/>
      <c r="E28" s="751"/>
      <c r="F28" s="751"/>
      <c r="G28" s="751"/>
      <c r="I28" s="352" t="s">
        <v>30</v>
      </c>
      <c r="J28" s="353">
        <f t="shared" si="0"/>
        <v>0.94056666666666655</v>
      </c>
      <c r="K28" s="353">
        <f t="shared" si="0"/>
        <v>0.94056666666666655</v>
      </c>
      <c r="L28" s="353">
        <f t="shared" si="0"/>
        <v>0.94056666666666655</v>
      </c>
      <c r="M28" s="353">
        <f t="shared" si="0"/>
        <v>0.94056666666666655</v>
      </c>
      <c r="N28" s="353">
        <f t="shared" si="0"/>
        <v>0.94056666666666655</v>
      </c>
      <c r="O28" s="353">
        <f t="shared" si="0"/>
        <v>0.94056666666666655</v>
      </c>
      <c r="P28" s="353">
        <f t="shared" si="0"/>
        <v>0.94056666666666655</v>
      </c>
      <c r="R28" s="751"/>
      <c r="S28" s="751"/>
      <c r="T28" s="751"/>
      <c r="U28" s="751"/>
      <c r="V28" s="751"/>
      <c r="W28" s="751"/>
      <c r="Y28" s="751"/>
      <c r="Z28" s="751"/>
      <c r="AA28" s="751"/>
      <c r="AB28" s="751"/>
      <c r="AC28" s="751"/>
      <c r="AD28" s="751"/>
    </row>
    <row r="29" spans="2:30">
      <c r="B29" s="751"/>
      <c r="C29" s="751"/>
      <c r="D29" s="751"/>
      <c r="E29" s="751"/>
      <c r="F29" s="751"/>
      <c r="G29" s="751"/>
      <c r="I29" s="352" t="s">
        <v>83</v>
      </c>
      <c r="J29" s="353">
        <f t="shared" si="0"/>
        <v>1.2877129768941429</v>
      </c>
      <c r="K29" s="353">
        <f t="shared" si="0"/>
        <v>1.2932275330396474</v>
      </c>
      <c r="L29" s="353">
        <f t="shared" si="0"/>
        <v>1.297944848824188</v>
      </c>
      <c r="M29" s="353">
        <f t="shared" si="0"/>
        <v>1.3043428955866523</v>
      </c>
      <c r="N29" s="353">
        <f t="shared" si="0"/>
        <v>1.3252837078651685</v>
      </c>
      <c r="O29" s="353">
        <f t="shared" si="0"/>
        <v>1.3940602985074626</v>
      </c>
      <c r="P29" s="353">
        <f t="shared" si="0"/>
        <v>1.4475524902723733</v>
      </c>
      <c r="R29" s="751"/>
      <c r="S29" s="751"/>
      <c r="T29" s="751"/>
      <c r="U29" s="751"/>
      <c r="V29" s="751"/>
      <c r="W29" s="751"/>
      <c r="Y29" s="751"/>
      <c r="Z29" s="751"/>
      <c r="AA29" s="751"/>
      <c r="AB29" s="751"/>
      <c r="AC29" s="751"/>
      <c r="AD29" s="751"/>
    </row>
    <row r="30" spans="2:30" ht="11.25" customHeight="1">
      <c r="B30" s="751"/>
      <c r="C30" s="751"/>
      <c r="D30" s="751"/>
      <c r="E30" s="751"/>
      <c r="F30" s="751"/>
      <c r="G30" s="751"/>
      <c r="I30" s="352" t="s">
        <v>32</v>
      </c>
      <c r="J30" s="353">
        <f t="shared" ref="J30:P31" si="1">J20*MSP_MM</f>
        <v>1.3089875</v>
      </c>
      <c r="K30" s="353">
        <f t="shared" si="1"/>
        <v>1.3089875</v>
      </c>
      <c r="L30" s="353">
        <f t="shared" si="1"/>
        <v>1.3089875</v>
      </c>
      <c r="M30" s="353">
        <f t="shared" si="1"/>
        <v>1.3089875</v>
      </c>
      <c r="N30" s="353">
        <f t="shared" si="1"/>
        <v>1.3089875</v>
      </c>
      <c r="O30" s="353">
        <f t="shared" si="1"/>
        <v>1.3089875</v>
      </c>
      <c r="P30" s="353">
        <f t="shared" si="1"/>
        <v>1.3089875</v>
      </c>
      <c r="R30" s="751"/>
      <c r="S30" s="751"/>
      <c r="T30" s="751"/>
      <c r="U30" s="751"/>
      <c r="V30" s="751"/>
      <c r="W30" s="751"/>
      <c r="Y30" s="751"/>
      <c r="Z30" s="751"/>
      <c r="AA30" s="751"/>
      <c r="AB30" s="751"/>
      <c r="AC30" s="751"/>
      <c r="AD30" s="751"/>
    </row>
    <row r="31" spans="2:30">
      <c r="B31" s="751"/>
      <c r="C31" s="751"/>
      <c r="D31" s="751"/>
      <c r="E31" s="751"/>
      <c r="F31" s="751"/>
      <c r="G31" s="751"/>
      <c r="I31" s="352" t="s">
        <v>64</v>
      </c>
      <c r="J31" s="353">
        <f t="shared" si="1"/>
        <v>0.84444684317239482</v>
      </c>
      <c r="K31" s="353">
        <f t="shared" si="1"/>
        <v>0.84444684317239482</v>
      </c>
      <c r="L31" s="353">
        <f t="shared" si="1"/>
        <v>0.84444684317239482</v>
      </c>
      <c r="M31" s="353">
        <f t="shared" si="1"/>
        <v>0.84444684317239482</v>
      </c>
      <c r="N31" s="353">
        <f t="shared" si="1"/>
        <v>0.84444684317239482</v>
      </c>
      <c r="O31" s="353">
        <f t="shared" si="1"/>
        <v>0.84444684317239482</v>
      </c>
      <c r="P31" s="353">
        <f t="shared" si="1"/>
        <v>0.84444684317239482</v>
      </c>
      <c r="R31" s="751"/>
      <c r="S31" s="751"/>
      <c r="T31" s="751"/>
      <c r="U31" s="751"/>
      <c r="V31" s="751"/>
      <c r="W31" s="751"/>
      <c r="Y31" s="751"/>
      <c r="Z31" s="751"/>
      <c r="AA31" s="751"/>
      <c r="AB31" s="751"/>
      <c r="AC31" s="751"/>
      <c r="AD31" s="751"/>
    </row>
    <row r="32" spans="2:30">
      <c r="B32" s="751"/>
      <c r="C32" s="751"/>
      <c r="D32" s="751"/>
      <c r="E32" s="751"/>
      <c r="F32" s="751"/>
      <c r="G32" s="751"/>
      <c r="R32" s="751"/>
      <c r="S32" s="751"/>
      <c r="T32" s="751"/>
      <c r="U32" s="751"/>
      <c r="V32" s="751"/>
      <c r="W32" s="751"/>
      <c r="Y32" s="751"/>
      <c r="Z32" s="751"/>
      <c r="AA32" s="751"/>
      <c r="AB32" s="751"/>
      <c r="AC32" s="751"/>
      <c r="AD32" s="751"/>
    </row>
    <row r="33" spans="2:30">
      <c r="B33" s="751"/>
      <c r="C33" s="751"/>
      <c r="D33" s="751"/>
      <c r="E33" s="751"/>
      <c r="F33" s="751"/>
      <c r="G33" s="751"/>
      <c r="I33" s="741" t="s">
        <v>433</v>
      </c>
      <c r="J33" s="741"/>
      <c r="K33" s="741"/>
      <c r="L33" s="741"/>
      <c r="M33" s="741"/>
      <c r="N33" s="741"/>
      <c r="O33" s="741"/>
      <c r="P33" s="741"/>
      <c r="R33" s="751"/>
      <c r="S33" s="751"/>
      <c r="T33" s="751"/>
      <c r="U33" s="751"/>
      <c r="V33" s="751"/>
      <c r="W33" s="751"/>
      <c r="Y33" s="751"/>
      <c r="Z33" s="751"/>
      <c r="AA33" s="751"/>
      <c r="AB33" s="751"/>
      <c r="AC33" s="751"/>
      <c r="AD33" s="751"/>
    </row>
    <row r="34" spans="2:30">
      <c r="B34" s="751"/>
      <c r="C34" s="751"/>
      <c r="D34" s="751"/>
      <c r="E34" s="751"/>
      <c r="F34" s="751"/>
      <c r="G34" s="751"/>
      <c r="I34" s="447" t="s">
        <v>370</v>
      </c>
      <c r="J34" s="447" t="s">
        <v>115</v>
      </c>
      <c r="K34" s="447" t="s">
        <v>109</v>
      </c>
      <c r="L34" s="447" t="s">
        <v>110</v>
      </c>
      <c r="M34" s="447" t="s">
        <v>111</v>
      </c>
      <c r="N34" s="447" t="s">
        <v>112</v>
      </c>
      <c r="O34" s="447" t="s">
        <v>113</v>
      </c>
      <c r="P34" s="447" t="s">
        <v>114</v>
      </c>
      <c r="R34" s="751"/>
      <c r="S34" s="751"/>
      <c r="T34" s="751"/>
      <c r="U34" s="751"/>
      <c r="V34" s="751"/>
      <c r="W34" s="751"/>
      <c r="Y34" s="751"/>
      <c r="Z34" s="751"/>
      <c r="AA34" s="751"/>
      <c r="AB34" s="751"/>
      <c r="AC34" s="751"/>
      <c r="AD34" s="751"/>
    </row>
    <row r="35" spans="2:30">
      <c r="B35" s="751"/>
      <c r="C35" s="751"/>
      <c r="D35" s="751"/>
      <c r="E35" s="751"/>
      <c r="F35" s="751"/>
      <c r="G35" s="751"/>
      <c r="I35" s="352" t="s">
        <v>383</v>
      </c>
      <c r="J35" s="354">
        <v>0</v>
      </c>
      <c r="K35" s="354">
        <v>33550565</v>
      </c>
      <c r="L35" s="354">
        <v>40667351</v>
      </c>
      <c r="M35" s="354">
        <v>48292480</v>
      </c>
      <c r="N35" s="354">
        <v>55409266</v>
      </c>
      <c r="O35" s="354">
        <v>67101130</v>
      </c>
      <c r="P35" s="354">
        <v>117935319</v>
      </c>
      <c r="R35" s="751"/>
      <c r="S35" s="751"/>
      <c r="T35" s="751"/>
      <c r="U35" s="751"/>
      <c r="V35" s="751"/>
      <c r="W35" s="751"/>
      <c r="Y35" s="751"/>
      <c r="Z35" s="751"/>
      <c r="AA35" s="751"/>
      <c r="AB35" s="751"/>
      <c r="AC35" s="751"/>
      <c r="AD35" s="751"/>
    </row>
    <row r="36" spans="2:30">
      <c r="B36" s="751"/>
      <c r="C36" s="751"/>
      <c r="D36" s="751"/>
      <c r="E36" s="751"/>
      <c r="F36" s="751"/>
      <c r="G36" s="751"/>
      <c r="I36" s="352" t="s">
        <v>384</v>
      </c>
      <c r="J36" s="354">
        <v>0</v>
      </c>
      <c r="K36" s="354">
        <v>18300308</v>
      </c>
      <c r="L36" s="354">
        <v>28975488</v>
      </c>
      <c r="M36" s="354">
        <v>43209061</v>
      </c>
      <c r="N36" s="354">
        <v>60492685</v>
      </c>
      <c r="O36" s="354">
        <v>91501540</v>
      </c>
      <c r="P36" s="354">
        <v>159111012</v>
      </c>
      <c r="Q36" s="403"/>
      <c r="R36" s="751"/>
      <c r="S36" s="751"/>
      <c r="T36" s="751"/>
      <c r="U36" s="751"/>
      <c r="V36" s="751"/>
      <c r="W36" s="751"/>
      <c r="Y36" s="751"/>
      <c r="Z36" s="751"/>
      <c r="AA36" s="751"/>
      <c r="AB36" s="751"/>
      <c r="AC36" s="751"/>
      <c r="AD36" s="751"/>
    </row>
    <row r="37" spans="2:30">
      <c r="B37" s="751"/>
      <c r="C37" s="751"/>
      <c r="D37" s="751"/>
      <c r="E37" s="751"/>
      <c r="F37" s="751"/>
      <c r="G37" s="751"/>
      <c r="I37" s="352" t="s">
        <v>29</v>
      </c>
      <c r="J37" s="354">
        <v>0</v>
      </c>
      <c r="K37" s="354">
        <v>17395544</v>
      </c>
      <c r="L37" s="354">
        <v>30328743</v>
      </c>
      <c r="M37" s="354">
        <v>37492095</v>
      </c>
      <c r="N37" s="354">
        <v>50879605</v>
      </c>
      <c r="O37" s="354">
        <v>64026036</v>
      </c>
      <c r="P37" s="354">
        <v>175648708</v>
      </c>
      <c r="R37" s="751"/>
      <c r="S37" s="751"/>
      <c r="T37" s="751"/>
      <c r="U37" s="751"/>
      <c r="V37" s="751"/>
      <c r="W37" s="751"/>
      <c r="Y37" s="751"/>
      <c r="Z37" s="751"/>
      <c r="AA37" s="751"/>
      <c r="AB37" s="751"/>
      <c r="AC37" s="751"/>
      <c r="AD37" s="751"/>
    </row>
    <row r="38" spans="2:30">
      <c r="B38" s="751"/>
      <c r="C38" s="751"/>
      <c r="D38" s="751"/>
      <c r="E38" s="751"/>
      <c r="F38" s="751"/>
      <c r="G38" s="751"/>
      <c r="I38" s="352" t="s">
        <v>30</v>
      </c>
      <c r="J38" s="354">
        <v>0</v>
      </c>
      <c r="K38" s="354">
        <v>43917197</v>
      </c>
      <c r="L38" s="354">
        <v>56667351</v>
      </c>
      <c r="M38" s="354">
        <v>64459112</v>
      </c>
      <c r="N38" s="354">
        <v>81459317</v>
      </c>
      <c r="O38" s="354">
        <v>92084446</v>
      </c>
      <c r="P38" s="354">
        <v>213210909</v>
      </c>
      <c r="R38" s="751"/>
      <c r="S38" s="751"/>
      <c r="T38" s="751"/>
      <c r="U38" s="751"/>
      <c r="V38" s="751"/>
      <c r="W38" s="751"/>
      <c r="Y38" s="751"/>
      <c r="Z38" s="751"/>
      <c r="AA38" s="751"/>
      <c r="AB38" s="751"/>
      <c r="AC38" s="751"/>
      <c r="AD38" s="751"/>
    </row>
    <row r="39" spans="2:30">
      <c r="I39" s="352" t="s">
        <v>83</v>
      </c>
      <c r="J39" s="354">
        <v>0</v>
      </c>
      <c r="K39" s="354">
        <v>53984035</v>
      </c>
      <c r="L39" s="354">
        <v>61884138</v>
      </c>
      <c r="M39" s="354">
        <v>76763114</v>
      </c>
      <c r="N39" s="354">
        <v>93501207</v>
      </c>
      <c r="O39" s="354">
        <v>110826182</v>
      </c>
      <c r="P39" s="354">
        <v>175594348</v>
      </c>
      <c r="R39" s="751"/>
      <c r="S39" s="751"/>
      <c r="T39" s="751"/>
      <c r="U39" s="751"/>
      <c r="V39" s="751"/>
      <c r="W39" s="751"/>
      <c r="Y39" s="751"/>
      <c r="Z39" s="751"/>
      <c r="AA39" s="751"/>
      <c r="AB39" s="751"/>
      <c r="AC39" s="751"/>
      <c r="AD39" s="751"/>
    </row>
    <row r="40" spans="2:30">
      <c r="B40" s="755" t="s">
        <v>517</v>
      </c>
      <c r="C40" s="755"/>
      <c r="D40" s="755"/>
      <c r="E40" s="755"/>
      <c r="F40" s="755"/>
      <c r="G40" s="755"/>
      <c r="I40" s="352" t="s">
        <v>32</v>
      </c>
      <c r="J40" s="354">
        <v>0</v>
      </c>
      <c r="K40" s="354">
        <v>20842018</v>
      </c>
      <c r="L40" s="354">
        <v>25925436</v>
      </c>
      <c r="M40" s="354">
        <v>42192377</v>
      </c>
      <c r="N40" s="354">
        <v>57950976</v>
      </c>
      <c r="O40" s="354">
        <v>86418121</v>
      </c>
      <c r="P40" s="354">
        <v>195203286</v>
      </c>
      <c r="R40" s="751"/>
      <c r="S40" s="751"/>
      <c r="T40" s="751"/>
      <c r="U40" s="751"/>
      <c r="V40" s="751"/>
      <c r="W40" s="751"/>
      <c r="Y40" s="751"/>
      <c r="Z40" s="751"/>
      <c r="AA40" s="751"/>
      <c r="AB40" s="751"/>
      <c r="AC40" s="751"/>
      <c r="AD40" s="751"/>
    </row>
    <row r="41" spans="2:30">
      <c r="B41" s="447" t="s">
        <v>436</v>
      </c>
      <c r="C41" s="447" t="s">
        <v>365</v>
      </c>
      <c r="D41" s="447" t="s">
        <v>442</v>
      </c>
      <c r="E41" s="447" t="s">
        <v>518</v>
      </c>
      <c r="F41" s="447" t="s">
        <v>519</v>
      </c>
      <c r="G41" s="447" t="s">
        <v>590</v>
      </c>
      <c r="I41" s="352" t="s">
        <v>64</v>
      </c>
      <c r="J41" s="354">
        <v>0</v>
      </c>
      <c r="K41" s="354">
        <v>138468789</v>
      </c>
      <c r="L41" s="354">
        <v>163784434</v>
      </c>
      <c r="M41" s="354">
        <v>201392365</v>
      </c>
      <c r="N41" s="354">
        <v>254141881</v>
      </c>
      <c r="O41" s="354">
        <v>311601660</v>
      </c>
      <c r="P41" s="354">
        <v>479046606</v>
      </c>
      <c r="R41" s="751"/>
      <c r="S41" s="751"/>
      <c r="T41" s="751"/>
      <c r="U41" s="751"/>
      <c r="V41" s="751"/>
      <c r="W41" s="751"/>
      <c r="Y41" s="751"/>
      <c r="Z41" s="751"/>
      <c r="AA41" s="751"/>
      <c r="AB41" s="751"/>
      <c r="AC41" s="751"/>
      <c r="AD41" s="751"/>
    </row>
    <row r="42" spans="2:30">
      <c r="B42" s="587">
        <v>1</v>
      </c>
      <c r="C42" s="564" t="s">
        <v>437</v>
      </c>
      <c r="D42" s="564" t="s">
        <v>441</v>
      </c>
      <c r="E42" s="564" t="s">
        <v>470</v>
      </c>
      <c r="F42" s="564" t="s">
        <v>438</v>
      </c>
      <c r="G42" s="564" t="s">
        <v>447</v>
      </c>
      <c r="R42" s="751"/>
      <c r="S42" s="751"/>
      <c r="T42" s="751"/>
      <c r="U42" s="751"/>
      <c r="V42" s="751"/>
      <c r="W42" s="751"/>
      <c r="Y42" s="751"/>
      <c r="Z42" s="751"/>
      <c r="AA42" s="751"/>
      <c r="AB42" s="751"/>
      <c r="AC42" s="751"/>
      <c r="AD42" s="751"/>
    </row>
    <row r="43" spans="2:30">
      <c r="B43" s="587">
        <v>2</v>
      </c>
      <c r="C43" s="564" t="s">
        <v>99</v>
      </c>
      <c r="D43" s="564" t="s">
        <v>441</v>
      </c>
      <c r="E43" s="564" t="s">
        <v>470</v>
      </c>
      <c r="F43" s="564" t="s">
        <v>470</v>
      </c>
      <c r="G43" s="564" t="s">
        <v>448</v>
      </c>
      <c r="I43" s="741" t="s">
        <v>434</v>
      </c>
      <c r="J43" s="741"/>
      <c r="K43" s="741"/>
      <c r="L43" s="741"/>
      <c r="M43" s="741"/>
      <c r="N43" s="741"/>
      <c r="O43" s="741"/>
      <c r="P43" s="741"/>
      <c r="R43" s="751"/>
      <c r="S43" s="751"/>
      <c r="T43" s="751"/>
      <c r="U43" s="751"/>
      <c r="V43" s="751"/>
      <c r="W43" s="751"/>
      <c r="Y43" s="751"/>
      <c r="Z43" s="751"/>
      <c r="AA43" s="751"/>
      <c r="AB43" s="751"/>
      <c r="AC43" s="751"/>
      <c r="AD43" s="751"/>
    </row>
    <row r="44" spans="2:30">
      <c r="B44" s="587">
        <v>3</v>
      </c>
      <c r="C44" s="564" t="s">
        <v>439</v>
      </c>
      <c r="D44" s="564" t="s">
        <v>441</v>
      </c>
      <c r="E44" s="564" t="s">
        <v>470</v>
      </c>
      <c r="F44" s="564" t="s">
        <v>470</v>
      </c>
      <c r="G44" s="564" t="s">
        <v>449</v>
      </c>
      <c r="I44" s="447" t="s">
        <v>370</v>
      </c>
      <c r="J44" s="447" t="s">
        <v>115</v>
      </c>
      <c r="K44" s="447" t="s">
        <v>109</v>
      </c>
      <c r="L44" s="447" t="s">
        <v>110</v>
      </c>
      <c r="M44" s="447" t="s">
        <v>111</v>
      </c>
      <c r="N44" s="447" t="s">
        <v>112</v>
      </c>
      <c r="O44" s="447" t="s">
        <v>113</v>
      </c>
      <c r="P44" s="447" t="s">
        <v>114</v>
      </c>
      <c r="R44" s="751"/>
      <c r="S44" s="751"/>
      <c r="T44" s="751"/>
      <c r="U44" s="751"/>
      <c r="V44" s="751"/>
      <c r="W44" s="751"/>
      <c r="Y44" s="751"/>
      <c r="Z44" s="751"/>
      <c r="AA44" s="751"/>
      <c r="AB44" s="751"/>
      <c r="AC44" s="751"/>
      <c r="AD44" s="751"/>
    </row>
    <row r="45" spans="2:30">
      <c r="B45" s="587">
        <v>4</v>
      </c>
      <c r="C45" s="564" t="s">
        <v>437</v>
      </c>
      <c r="D45" s="564" t="s">
        <v>440</v>
      </c>
      <c r="E45" s="564" t="s">
        <v>438</v>
      </c>
      <c r="F45" s="564" t="s">
        <v>438</v>
      </c>
      <c r="G45" s="564" t="s">
        <v>450</v>
      </c>
      <c r="I45" s="352" t="s">
        <v>383</v>
      </c>
      <c r="J45" s="354">
        <v>0</v>
      </c>
      <c r="K45" s="354">
        <v>14170398</v>
      </c>
      <c r="L45" s="354">
        <v>16289391</v>
      </c>
      <c r="M45" s="354">
        <v>22607436</v>
      </c>
      <c r="N45" s="354">
        <v>28955677</v>
      </c>
      <c r="O45" s="354">
        <v>38110726</v>
      </c>
      <c r="P45" s="354">
        <v>65936870</v>
      </c>
      <c r="R45" s="751"/>
      <c r="S45" s="751"/>
      <c r="T45" s="751"/>
      <c r="U45" s="751"/>
      <c r="V45" s="751"/>
      <c r="W45" s="751"/>
      <c r="Y45" s="751"/>
      <c r="Z45" s="751"/>
      <c r="AA45" s="751"/>
      <c r="AB45" s="751"/>
      <c r="AC45" s="751"/>
      <c r="AD45" s="751"/>
    </row>
    <row r="46" spans="2:30">
      <c r="B46" s="587">
        <v>5</v>
      </c>
      <c r="C46" s="564" t="s">
        <v>99</v>
      </c>
      <c r="D46" s="564" t="s">
        <v>440</v>
      </c>
      <c r="E46" s="564" t="s">
        <v>438</v>
      </c>
      <c r="F46" s="564" t="s">
        <v>470</v>
      </c>
      <c r="G46" s="564" t="s">
        <v>451</v>
      </c>
      <c r="I46" s="352" t="s">
        <v>384</v>
      </c>
      <c r="J46" s="354">
        <v>0</v>
      </c>
      <c r="K46" s="354">
        <v>18190417</v>
      </c>
      <c r="L46" s="354">
        <v>25940597</v>
      </c>
      <c r="M46" s="354">
        <v>36139266</v>
      </c>
      <c r="N46" s="354">
        <v>48576825</v>
      </c>
      <c r="O46" s="354">
        <v>57659261</v>
      </c>
      <c r="P46" s="354">
        <v>85380865</v>
      </c>
      <c r="R46" s="751"/>
      <c r="S46" s="751"/>
      <c r="T46" s="751"/>
      <c r="U46" s="751"/>
      <c r="V46" s="751"/>
      <c r="W46" s="751"/>
      <c r="Y46" s="751"/>
      <c r="Z46" s="751"/>
      <c r="AA46" s="751"/>
      <c r="AB46" s="751"/>
      <c r="AC46" s="751"/>
      <c r="AD46" s="751"/>
    </row>
    <row r="47" spans="2:30">
      <c r="B47" s="587">
        <v>6</v>
      </c>
      <c r="C47" s="564" t="s">
        <v>439</v>
      </c>
      <c r="D47" s="564" t="s">
        <v>440</v>
      </c>
      <c r="E47" s="564" t="s">
        <v>438</v>
      </c>
      <c r="F47" s="564" t="s">
        <v>470</v>
      </c>
      <c r="G47" s="564" t="s">
        <v>452</v>
      </c>
      <c r="I47" s="352" t="s">
        <v>29</v>
      </c>
      <c r="J47" s="354">
        <v>0</v>
      </c>
      <c r="K47" s="354">
        <v>161745467</v>
      </c>
      <c r="L47" s="354">
        <v>187403943</v>
      </c>
      <c r="M47" s="354">
        <v>215929848</v>
      </c>
      <c r="N47" s="354">
        <v>254928573</v>
      </c>
      <c r="O47" s="354">
        <v>303832681</v>
      </c>
      <c r="P47" s="354">
        <v>407893892</v>
      </c>
      <c r="R47" s="751"/>
      <c r="S47" s="751"/>
      <c r="T47" s="751"/>
      <c r="U47" s="751"/>
      <c r="V47" s="751"/>
      <c r="W47" s="751"/>
      <c r="Y47" s="751"/>
      <c r="Z47" s="751"/>
      <c r="AA47" s="751"/>
      <c r="AB47" s="751"/>
      <c r="AC47" s="751"/>
      <c r="AD47" s="751"/>
    </row>
    <row r="48" spans="2:30" ht="11.25" customHeight="1">
      <c r="B48" s="754" t="s">
        <v>591</v>
      </c>
      <c r="C48" s="754"/>
      <c r="D48" s="754"/>
      <c r="E48" s="754"/>
      <c r="F48" s="754"/>
      <c r="G48" s="754"/>
      <c r="I48" s="352" t="s">
        <v>30</v>
      </c>
      <c r="J48" s="354">
        <v>0</v>
      </c>
      <c r="K48" s="354">
        <v>16311869</v>
      </c>
      <c r="L48" s="354">
        <v>25513155</v>
      </c>
      <c r="M48" s="354">
        <v>40216177</v>
      </c>
      <c r="N48" s="354">
        <v>63499254</v>
      </c>
      <c r="O48" s="354">
        <v>98595383</v>
      </c>
      <c r="P48" s="354">
        <v>327960335</v>
      </c>
    </row>
    <row r="49" spans="2:20">
      <c r="B49" s="754"/>
      <c r="C49" s="754"/>
      <c r="D49" s="754"/>
      <c r="E49" s="754"/>
      <c r="F49" s="754"/>
      <c r="G49" s="754"/>
      <c r="I49" s="352" t="s">
        <v>83</v>
      </c>
      <c r="J49" s="354">
        <v>0</v>
      </c>
      <c r="K49" s="354">
        <v>12450000</v>
      </c>
      <c r="L49" s="354">
        <v>15600000</v>
      </c>
      <c r="M49" s="354">
        <v>18900000</v>
      </c>
      <c r="N49" s="354">
        <v>20850000</v>
      </c>
      <c r="O49" s="354">
        <v>24600000</v>
      </c>
      <c r="P49" s="354">
        <v>31500000</v>
      </c>
    </row>
    <row r="50" spans="2:20" ht="10.95">
      <c r="I50" s="352" t="s">
        <v>32</v>
      </c>
      <c r="J50" s="354">
        <v>0</v>
      </c>
      <c r="K50" s="354">
        <v>3150000</v>
      </c>
      <c r="L50" s="354">
        <v>4050000</v>
      </c>
      <c r="M50" s="354">
        <v>5700000</v>
      </c>
      <c r="N50" s="354">
        <v>7950000</v>
      </c>
      <c r="O50" s="354">
        <v>9750000</v>
      </c>
      <c r="P50" s="354">
        <v>20550000</v>
      </c>
    </row>
    <row r="51" spans="2:20" ht="10.95">
      <c r="I51" s="352" t="s">
        <v>64</v>
      </c>
      <c r="J51" s="354">
        <v>0</v>
      </c>
      <c r="K51" s="354">
        <v>17250000</v>
      </c>
      <c r="L51" s="354">
        <v>22350000</v>
      </c>
      <c r="M51" s="354">
        <v>26100000</v>
      </c>
      <c r="N51" s="354">
        <v>30750000</v>
      </c>
      <c r="O51" s="354">
        <v>35100000</v>
      </c>
      <c r="P51" s="354">
        <v>47850000</v>
      </c>
    </row>
    <row r="53" spans="2:20" ht="10.95">
      <c r="I53" s="741" t="s">
        <v>432</v>
      </c>
      <c r="J53" s="741"/>
      <c r="K53" s="741"/>
      <c r="L53" s="741"/>
      <c r="M53" s="741"/>
      <c r="N53" s="741"/>
      <c r="O53" s="741"/>
      <c r="P53" s="741"/>
    </row>
    <row r="54" spans="2:20" ht="10.95">
      <c r="I54" s="447" t="s">
        <v>370</v>
      </c>
      <c r="J54" s="447" t="s">
        <v>115</v>
      </c>
      <c r="K54" s="447" t="s">
        <v>109</v>
      </c>
      <c r="L54" s="447" t="s">
        <v>110</v>
      </c>
      <c r="M54" s="447" t="s">
        <v>111</v>
      </c>
      <c r="N54" s="447" t="s">
        <v>112</v>
      </c>
      <c r="O54" s="447" t="s">
        <v>113</v>
      </c>
      <c r="P54" s="447" t="s">
        <v>114</v>
      </c>
    </row>
    <row r="55" spans="2:20" ht="10.95">
      <c r="I55" s="352" t="s">
        <v>383</v>
      </c>
      <c r="J55" s="354">
        <v>0</v>
      </c>
      <c r="K55" s="354">
        <f t="shared" ref="K55:P61" si="2">K35*$P$9*$P$7/(1-1/((1+$P$7)^$P$8))</f>
        <v>3980871.4273577635</v>
      </c>
      <c r="L55" s="354">
        <f t="shared" si="2"/>
        <v>4825298.6387033779</v>
      </c>
      <c r="M55" s="354">
        <f t="shared" si="2"/>
        <v>5730042.2150341207</v>
      </c>
      <c r="N55" s="354">
        <f t="shared" si="2"/>
        <v>6574469.4263797347</v>
      </c>
      <c r="O55" s="354">
        <f t="shared" si="2"/>
        <v>7961742.854715527</v>
      </c>
      <c r="P55" s="354">
        <f t="shared" si="2"/>
        <v>13993366.182757972</v>
      </c>
      <c r="T55" s="632"/>
    </row>
    <row r="56" spans="2:20" ht="10.95">
      <c r="I56" s="352" t="s">
        <v>384</v>
      </c>
      <c r="J56" s="354">
        <v>0</v>
      </c>
      <c r="K56" s="354">
        <f t="shared" si="2"/>
        <v>2171384.3933491642</v>
      </c>
      <c r="L56" s="354">
        <f t="shared" si="2"/>
        <v>3438025.3290204727</v>
      </c>
      <c r="M56" s="354">
        <f t="shared" si="2"/>
        <v>5126879.8703645878</v>
      </c>
      <c r="N56" s="354">
        <f t="shared" si="2"/>
        <v>7177631.7710492676</v>
      </c>
      <c r="O56" s="354">
        <f t="shared" si="2"/>
        <v>10856921.966745822</v>
      </c>
      <c r="P56" s="354">
        <f t="shared" si="2"/>
        <v>18878981.067793589</v>
      </c>
      <c r="R56" s="631"/>
      <c r="S56" s="631"/>
    </row>
    <row r="57" spans="2:20" ht="10.95">
      <c r="I57" s="352" t="s">
        <v>29</v>
      </c>
      <c r="J57" s="354">
        <v>0</v>
      </c>
      <c r="K57" s="354">
        <f t="shared" si="2"/>
        <v>2064031.5318965502</v>
      </c>
      <c r="L57" s="354">
        <f t="shared" si="2"/>
        <v>3598592.9428126407</v>
      </c>
      <c r="M57" s="354">
        <f t="shared" si="2"/>
        <v>4448545.344535416</v>
      </c>
      <c r="N57" s="354">
        <f t="shared" si="2"/>
        <v>6037012.0675985403</v>
      </c>
      <c r="O57" s="354">
        <f t="shared" si="2"/>
        <v>7596874.0711037079</v>
      </c>
      <c r="P57" s="354">
        <f t="shared" si="2"/>
        <v>20841226.457125448</v>
      </c>
      <c r="R57" s="631"/>
      <c r="S57" s="631"/>
    </row>
    <row r="58" spans="2:20" ht="10.95">
      <c r="I58" s="352" t="s">
        <v>30</v>
      </c>
      <c r="J58" s="354">
        <v>0</v>
      </c>
      <c r="K58" s="354">
        <f t="shared" si="2"/>
        <v>5210902.2517785355</v>
      </c>
      <c r="L58" s="354">
        <f t="shared" si="2"/>
        <v>6723744.8448320739</v>
      </c>
      <c r="M58" s="354">
        <f t="shared" si="2"/>
        <v>7648259.7891765442</v>
      </c>
      <c r="N58" s="354">
        <f t="shared" si="2"/>
        <v>9665383.2070303001</v>
      </c>
      <c r="O58" s="354">
        <f t="shared" si="2"/>
        <v>10926085.447010174</v>
      </c>
      <c r="P58" s="354">
        <f t="shared" si="2"/>
        <v>25298090.081018794</v>
      </c>
    </row>
    <row r="59" spans="2:20" ht="10.95">
      <c r="I59" s="352" t="s">
        <v>83</v>
      </c>
      <c r="J59" s="354">
        <v>0</v>
      </c>
      <c r="K59" s="354">
        <f t="shared" si="2"/>
        <v>6405361.6523292968</v>
      </c>
      <c r="L59" s="354">
        <f t="shared" si="2"/>
        <v>7342731.6878527924</v>
      </c>
      <c r="M59" s="354">
        <f t="shared" si="2"/>
        <v>9108165.1589952894</v>
      </c>
      <c r="N59" s="354">
        <f t="shared" si="2"/>
        <v>11094188.231100244</v>
      </c>
      <c r="O59" s="354">
        <f t="shared" si="2"/>
        <v>13149846.547351774</v>
      </c>
      <c r="P59" s="354">
        <f t="shared" si="2"/>
        <v>20834776.486140128</v>
      </c>
      <c r="S59" s="631"/>
    </row>
    <row r="60" spans="2:20" ht="10.95">
      <c r="I60" s="352" t="s">
        <v>32</v>
      </c>
      <c r="J60" s="354">
        <v>0</v>
      </c>
      <c r="K60" s="354">
        <f t="shared" si="2"/>
        <v>2472965.6250103749</v>
      </c>
      <c r="L60" s="354">
        <f t="shared" si="2"/>
        <v>3076127.8510270198</v>
      </c>
      <c r="M60" s="354">
        <f t="shared" si="2"/>
        <v>5006247.3777001034</v>
      </c>
      <c r="N60" s="354">
        <f t="shared" si="2"/>
        <v>6876050.6580409454</v>
      </c>
      <c r="O60" s="354">
        <f t="shared" si="2"/>
        <v>10253759.622076288</v>
      </c>
      <c r="P60" s="354">
        <f t="shared" si="2"/>
        <v>23161433.60815968</v>
      </c>
    </row>
    <row r="61" spans="2:20" ht="10.95">
      <c r="I61" s="352" t="s">
        <v>64</v>
      </c>
      <c r="J61" s="354">
        <v>0</v>
      </c>
      <c r="K61" s="354">
        <f t="shared" si="2"/>
        <v>16429721.696517808</v>
      </c>
      <c r="L61" s="354">
        <f t="shared" si="2"/>
        <v>19433496.084389739</v>
      </c>
      <c r="M61" s="354">
        <f t="shared" si="2"/>
        <v>23895785.704845976</v>
      </c>
      <c r="N61" s="354">
        <f t="shared" si="2"/>
        <v>30154668.112678785</v>
      </c>
      <c r="O61" s="354">
        <f t="shared" si="2"/>
        <v>36972436.828150243</v>
      </c>
      <c r="P61" s="354">
        <f t="shared" si="2"/>
        <v>56840263.232470512</v>
      </c>
    </row>
    <row r="63" spans="2:20" ht="10.95">
      <c r="I63" s="741" t="s">
        <v>435</v>
      </c>
      <c r="J63" s="741"/>
      <c r="K63" s="741"/>
      <c r="L63" s="741"/>
      <c r="M63" s="741"/>
      <c r="N63" s="741"/>
      <c r="O63" s="741"/>
      <c r="P63" s="741"/>
    </row>
    <row r="64" spans="2:20" ht="10.95">
      <c r="I64" s="447" t="s">
        <v>370</v>
      </c>
      <c r="J64" s="447" t="s">
        <v>115</v>
      </c>
      <c r="K64" s="447" t="s">
        <v>109</v>
      </c>
      <c r="L64" s="447" t="s">
        <v>110</v>
      </c>
      <c r="M64" s="447" t="s">
        <v>111</v>
      </c>
      <c r="N64" s="447" t="s">
        <v>112</v>
      </c>
      <c r="O64" s="447" t="s">
        <v>113</v>
      </c>
      <c r="P64" s="447" t="s">
        <v>114</v>
      </c>
    </row>
    <row r="65" spans="9:21" ht="10.95">
      <c r="I65" s="352" t="s">
        <v>383</v>
      </c>
      <c r="J65" s="354">
        <v>0</v>
      </c>
      <c r="K65" s="540">
        <f t="shared" ref="K65:P71" si="3">K45*$P$9*$P$7/(1-1/((1+$P$7)^$P$8))</f>
        <v>1681358.6451521039</v>
      </c>
      <c r="L65" s="540">
        <f t="shared" si="3"/>
        <v>1932783.284006058</v>
      </c>
      <c r="M65" s="540">
        <f t="shared" si="3"/>
        <v>2682437.5690310816</v>
      </c>
      <c r="N65" s="540">
        <f t="shared" si="3"/>
        <v>3435674.696658622</v>
      </c>
      <c r="O65" s="540">
        <f t="shared" si="3"/>
        <v>4521947.6992193917</v>
      </c>
      <c r="P65" s="540">
        <f t="shared" si="3"/>
        <v>7823600.0434688153</v>
      </c>
    </row>
    <row r="66" spans="9:21" ht="10.95">
      <c r="I66" s="352" t="s">
        <v>384</v>
      </c>
      <c r="J66" s="354">
        <v>0</v>
      </c>
      <c r="K66" s="540">
        <f t="shared" si="3"/>
        <v>2158345.5088468087</v>
      </c>
      <c r="L66" s="540">
        <f t="shared" si="3"/>
        <v>3077926.7474602149</v>
      </c>
      <c r="M66" s="540">
        <f t="shared" si="3"/>
        <v>4288028.2768734861</v>
      </c>
      <c r="N66" s="540">
        <f t="shared" si="3"/>
        <v>5763780.5704392251</v>
      </c>
      <c r="O66" s="540">
        <f t="shared" si="3"/>
        <v>6841437.8308521435</v>
      </c>
      <c r="P66" s="540">
        <f t="shared" si="3"/>
        <v>10130686.202202275</v>
      </c>
      <c r="R66" s="631"/>
      <c r="S66" s="631"/>
    </row>
    <row r="67" spans="9:21" ht="10.95">
      <c r="I67" s="352" t="s">
        <v>29</v>
      </c>
      <c r="J67" s="354">
        <v>0</v>
      </c>
      <c r="K67" s="540">
        <f t="shared" si="3"/>
        <v>19191566.761541516</v>
      </c>
      <c r="L67" s="540">
        <f t="shared" si="3"/>
        <v>22236019.037619278</v>
      </c>
      <c r="M67" s="540">
        <f t="shared" si="3"/>
        <v>25620700.045346629</v>
      </c>
      <c r="N67" s="540">
        <f t="shared" si="3"/>
        <v>30248011.390353274</v>
      </c>
      <c r="O67" s="540">
        <f t="shared" si="3"/>
        <v>36050625.033897527</v>
      </c>
      <c r="P67" s="540">
        <f t="shared" si="3"/>
        <v>48397788.235654257</v>
      </c>
      <c r="R67" s="631"/>
      <c r="S67" s="631"/>
    </row>
    <row r="68" spans="9:21" ht="10.95">
      <c r="I68" s="352" t="s">
        <v>30</v>
      </c>
      <c r="J68" s="354">
        <v>0</v>
      </c>
      <c r="K68" s="540">
        <f t="shared" si="3"/>
        <v>1935450.3636198931</v>
      </c>
      <c r="L68" s="540">
        <f t="shared" si="3"/>
        <v>3027209.5197577109</v>
      </c>
      <c r="M68" s="540">
        <f t="shared" si="3"/>
        <v>4771765.540665633</v>
      </c>
      <c r="N68" s="540">
        <f t="shared" si="3"/>
        <v>7534369.8655189024</v>
      </c>
      <c r="O68" s="540">
        <f t="shared" si="3"/>
        <v>11698626.924884735</v>
      </c>
      <c r="P68" s="540">
        <f t="shared" si="3"/>
        <v>38913440.858840391</v>
      </c>
    </row>
    <row r="69" spans="9:21" ht="10.95">
      <c r="I69" s="352" t="s">
        <v>83</v>
      </c>
      <c r="J69" s="354">
        <v>0</v>
      </c>
      <c r="K69" s="540">
        <f t="shared" si="3"/>
        <v>1477228.4541438916</v>
      </c>
      <c r="L69" s="540">
        <f t="shared" si="3"/>
        <v>1850985.0509754787</v>
      </c>
      <c r="M69" s="540">
        <f t="shared" si="3"/>
        <v>2242539.5809895224</v>
      </c>
      <c r="N69" s="540">
        <f t="shared" si="3"/>
        <v>2473912.7123614573</v>
      </c>
      <c r="O69" s="540">
        <f t="shared" si="3"/>
        <v>2918861.0419228701</v>
      </c>
      <c r="P69" s="540">
        <f t="shared" si="3"/>
        <v>3737565.9683158705</v>
      </c>
    </row>
    <row r="70" spans="9:21" ht="10.95">
      <c r="I70" s="352" t="s">
        <v>32</v>
      </c>
      <c r="J70" s="354">
        <v>0</v>
      </c>
      <c r="K70" s="540">
        <f t="shared" si="3"/>
        <v>373756.59683158703</v>
      </c>
      <c r="L70" s="540">
        <f t="shared" si="3"/>
        <v>480544.19592632621</v>
      </c>
      <c r="M70" s="540">
        <f t="shared" si="3"/>
        <v>676321.46093334793</v>
      </c>
      <c r="N70" s="540">
        <f t="shared" si="3"/>
        <v>943290.45867019589</v>
      </c>
      <c r="O70" s="540">
        <f t="shared" si="3"/>
        <v>1156865.6568596743</v>
      </c>
      <c r="P70" s="540">
        <f t="shared" si="3"/>
        <v>2438316.8459965442</v>
      </c>
    </row>
    <row r="71" spans="9:21" ht="10.95">
      <c r="I71" s="352" t="s">
        <v>64</v>
      </c>
      <c r="J71" s="354">
        <v>0</v>
      </c>
      <c r="K71" s="540">
        <f t="shared" si="3"/>
        <v>2046762.3159825006</v>
      </c>
      <c r="L71" s="540">
        <f t="shared" si="3"/>
        <v>2651892.0441860221</v>
      </c>
      <c r="M71" s="540">
        <f t="shared" si="3"/>
        <v>3096840.3737474354</v>
      </c>
      <c r="N71" s="540">
        <f t="shared" si="3"/>
        <v>3648576.3024035878</v>
      </c>
      <c r="O71" s="540">
        <f t="shared" si="3"/>
        <v>4164716.3646948272</v>
      </c>
      <c r="P71" s="540">
        <f t="shared" si="3"/>
        <v>5677540.6852036314</v>
      </c>
    </row>
    <row r="72" spans="9:21" ht="10.95">
      <c r="R72" s="631"/>
      <c r="S72" s="656"/>
      <c r="T72" s="656"/>
      <c r="U72" s="656"/>
    </row>
    <row r="73" spans="9:21" ht="10.95">
      <c r="R73" s="631"/>
      <c r="S73" s="656"/>
      <c r="T73" s="656"/>
      <c r="U73" s="656"/>
    </row>
    <row r="74" spans="9:21" ht="10.95">
      <c r="S74" s="657"/>
      <c r="T74" s="656"/>
      <c r="U74" s="657"/>
    </row>
    <row r="75" spans="9:21" ht="10.95">
      <c r="S75" s="657"/>
      <c r="T75" s="657"/>
      <c r="U75" s="657"/>
    </row>
  </sheetData>
  <mergeCells count="20">
    <mergeCell ref="B48:G49"/>
    <mergeCell ref="N4:P4"/>
    <mergeCell ref="B40:G40"/>
    <mergeCell ref="Y3:AD3"/>
    <mergeCell ref="Y4:AD47"/>
    <mergeCell ref="B4:G38"/>
    <mergeCell ref="I63:P63"/>
    <mergeCell ref="R3:W3"/>
    <mergeCell ref="I23:P23"/>
    <mergeCell ref="I33:P33"/>
    <mergeCell ref="I53:P53"/>
    <mergeCell ref="I43:P43"/>
    <mergeCell ref="R4:W9"/>
    <mergeCell ref="R16:W47"/>
    <mergeCell ref="R14:W15"/>
    <mergeCell ref="I3:P3"/>
    <mergeCell ref="I5:P5"/>
    <mergeCell ref="I6:P6"/>
    <mergeCell ref="I13:P13"/>
    <mergeCell ref="I4:M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Z36"/>
  <sheetViews>
    <sheetView topLeftCell="A3" workbookViewId="0">
      <selection activeCell="C6" sqref="C6"/>
    </sheetView>
  </sheetViews>
  <sheetFormatPr defaultColWidth="11.5546875" defaultRowHeight="14.4"/>
  <cols>
    <col min="1" max="1" width="18.6640625" customWidth="1"/>
    <col min="5" max="5" width="10.77734375" style="624"/>
    <col min="7" max="7" width="2.6640625" customWidth="1"/>
    <col min="13" max="14" width="10.77734375" style="624"/>
    <col min="15" max="15" width="2.77734375" style="624" customWidth="1"/>
    <col min="19" max="19" width="2.44140625" customWidth="1"/>
    <col min="23" max="23" width="3" customWidth="1"/>
  </cols>
  <sheetData>
    <row r="1" spans="1:26" s="624" customFormat="1" ht="15"/>
    <row r="2" spans="1:26" ht="15">
      <c r="B2" s="756" t="s">
        <v>652</v>
      </c>
      <c r="C2" s="756"/>
      <c r="D2" s="756"/>
      <c r="E2" s="756"/>
      <c r="F2" s="756"/>
      <c r="G2" s="654"/>
      <c r="H2" s="654" t="s">
        <v>657</v>
      </c>
      <c r="I2" s="654"/>
      <c r="J2" s="654"/>
      <c r="K2" s="654"/>
      <c r="L2" s="654"/>
      <c r="M2" s="654"/>
      <c r="N2" s="654"/>
      <c r="O2" s="654"/>
      <c r="P2" s="756" t="s">
        <v>660</v>
      </c>
      <c r="Q2" s="756"/>
      <c r="R2" s="756"/>
      <c r="T2" s="756" t="s">
        <v>60</v>
      </c>
      <c r="U2" s="756"/>
      <c r="V2" s="756"/>
      <c r="X2" s="756" t="s">
        <v>643</v>
      </c>
      <c r="Y2" s="756"/>
      <c r="Z2" s="756"/>
    </row>
    <row r="3" spans="1:26" s="651" customFormat="1" ht="60">
      <c r="B3" s="651" t="s">
        <v>653</v>
      </c>
      <c r="C3" s="651" t="s">
        <v>654</v>
      </c>
      <c r="D3" s="651" t="s">
        <v>655</v>
      </c>
      <c r="E3" s="651" t="s">
        <v>663</v>
      </c>
      <c r="F3" s="651" t="s">
        <v>656</v>
      </c>
      <c r="H3" s="651" t="s">
        <v>654</v>
      </c>
      <c r="I3" s="651" t="s">
        <v>655</v>
      </c>
      <c r="J3" s="651" t="s">
        <v>664</v>
      </c>
      <c r="K3" s="651" t="s">
        <v>658</v>
      </c>
      <c r="L3" s="651" t="s">
        <v>653</v>
      </c>
      <c r="M3" s="651" t="s">
        <v>665</v>
      </c>
      <c r="N3" s="651" t="s">
        <v>666</v>
      </c>
      <c r="P3" s="651" t="s">
        <v>652</v>
      </c>
      <c r="Q3" s="651" t="s">
        <v>661</v>
      </c>
      <c r="R3" s="651" t="s">
        <v>662</v>
      </c>
      <c r="T3" s="651" t="s">
        <v>652</v>
      </c>
      <c r="U3" s="651" t="s">
        <v>661</v>
      </c>
      <c r="V3" s="651" t="s">
        <v>662</v>
      </c>
      <c r="X3" s="651" t="s">
        <v>652</v>
      </c>
      <c r="Y3" s="651" t="s">
        <v>661</v>
      </c>
      <c r="Z3" s="651" t="s">
        <v>662</v>
      </c>
    </row>
    <row r="4" spans="1:26" ht="15">
      <c r="A4" t="s">
        <v>651</v>
      </c>
      <c r="B4" s="645">
        <v>340000</v>
      </c>
      <c r="C4" s="645"/>
      <c r="D4" s="645"/>
      <c r="E4" s="645"/>
      <c r="F4" s="645"/>
      <c r="H4" s="645"/>
      <c r="I4" s="645"/>
      <c r="L4" s="645">
        <v>180000</v>
      </c>
      <c r="M4" s="645"/>
      <c r="N4" s="645"/>
      <c r="O4" s="645"/>
      <c r="Q4" s="652">
        <f>'Electricity Prices &amp; Trends'!D13</f>
        <v>1.1470599343714742</v>
      </c>
      <c r="R4" s="653">
        <v>0.2</v>
      </c>
    </row>
    <row r="5" spans="1:26" ht="15">
      <c r="A5" t="s">
        <v>140</v>
      </c>
      <c r="B5" s="645">
        <f>'LCC results'!E184</f>
        <v>1673.5319219999999</v>
      </c>
      <c r="C5" s="645">
        <f>'Equipment Price'!$J$56/'Revised Equipment Price'!$B$4</f>
        <v>0</v>
      </c>
      <c r="D5" s="645">
        <f>'Equipment Price'!$J$66/'Revised Equipment Price'!$B$4</f>
        <v>0</v>
      </c>
      <c r="E5" s="645">
        <f>SUM(C5:D5)*'Markups &amp; Distribution Channels'!$G$10</f>
        <v>0</v>
      </c>
      <c r="F5" s="645">
        <f>B5-E5</f>
        <v>1673.5319219999999</v>
      </c>
      <c r="H5" s="645">
        <f>'Equipment Price'!$J$56/'Revised Equipment Price'!$L$4</f>
        <v>0</v>
      </c>
      <c r="I5" s="645">
        <f>'Equipment Price'!$J$66/'Revised Equipment Price'!$L$4</f>
        <v>0</v>
      </c>
      <c r="J5" s="645">
        <f>SUM(H5:I5)</f>
        <v>0</v>
      </c>
      <c r="K5" s="645">
        <f>J5*'Markups &amp; Distribution Channels'!$G$10</f>
        <v>0</v>
      </c>
      <c r="L5" s="645">
        <f>F5+K5</f>
        <v>1673.5319219999999</v>
      </c>
      <c r="M5" s="645">
        <f>L5-B5</f>
        <v>0</v>
      </c>
      <c r="N5" s="653">
        <f>(L5/L$5)-1</f>
        <v>0</v>
      </c>
      <c r="O5" s="645"/>
      <c r="P5" s="645">
        <f>'LCC results'!G184</f>
        <v>4173.3170469999995</v>
      </c>
      <c r="Q5" s="645">
        <f t="shared" ref="Q5:Q11" si="0">P5*$Q$4</f>
        <v>4787.0447780431741</v>
      </c>
      <c r="R5" s="645">
        <f t="shared" ref="R5:R11" si="1">Q5*(1+$R$4)</f>
        <v>5744.4537336518088</v>
      </c>
      <c r="T5" s="645">
        <f>P5+$L5</f>
        <v>5846.8489689999997</v>
      </c>
      <c r="U5" s="645">
        <f t="shared" ref="U5:V5" si="2">Q5+$L5</f>
        <v>6460.5767000431742</v>
      </c>
      <c r="V5" s="645">
        <f t="shared" si="2"/>
        <v>7417.9856556518089</v>
      </c>
      <c r="X5" s="645">
        <f>T5-T$5</f>
        <v>0</v>
      </c>
      <c r="Y5" s="645">
        <f t="shared" ref="Y5:Z5" si="3">U5-U$5</f>
        <v>0</v>
      </c>
      <c r="Z5" s="645">
        <f t="shared" si="3"/>
        <v>0</v>
      </c>
    </row>
    <row r="6" spans="1:26" ht="15">
      <c r="A6" t="s">
        <v>132</v>
      </c>
      <c r="B6" s="645">
        <f>'LCC results'!E185</f>
        <v>1696.3370890000001</v>
      </c>
      <c r="C6" s="645">
        <f>'Equipment Price'!$K$56/'Revised Equipment Price'!$B$4</f>
        <v>6.386424686321071</v>
      </c>
      <c r="D6" s="645">
        <f>'Equipment Price'!$K$66/'Revised Equipment Price'!$B$4</f>
        <v>6.3480750260200258</v>
      </c>
      <c r="E6" s="645">
        <f>SUM(C6:D6)*'Markups &amp; Distribution Channels'!$G$10</f>
        <v>18.459984267908446</v>
      </c>
      <c r="F6" s="645">
        <f t="shared" ref="F6:F11" si="4">B6-E6</f>
        <v>1677.8771047320918</v>
      </c>
      <c r="H6" s="645">
        <f>'Equipment Price'!$K$56/'Revised Equipment Price'!$L$4</f>
        <v>12.063246629717579</v>
      </c>
      <c r="I6" s="645">
        <f>'Equipment Price'!$K$66/'Revised Equipment Price'!$L$4</f>
        <v>11.990808382482271</v>
      </c>
      <c r="J6" s="645">
        <f t="shared" ref="J6:J11" si="5">SUM(H6:I6)</f>
        <v>24.05405501219985</v>
      </c>
      <c r="K6" s="645">
        <f>J6*'Markups &amp; Distribution Channels'!$G$10</f>
        <v>34.86885917271595</v>
      </c>
      <c r="L6" s="645">
        <f t="shared" ref="L6:L11" si="6">F6+K6</f>
        <v>1712.7459639048077</v>
      </c>
      <c r="M6" s="645">
        <f t="shared" ref="M6:M30" si="7">L6-B6</f>
        <v>16.40887490480759</v>
      </c>
      <c r="N6" s="653">
        <f t="shared" ref="N6:N11" si="8">(L6/L$5)-1</f>
        <v>2.3431905534221364E-2</v>
      </c>
      <c r="O6" s="645"/>
      <c r="P6" s="645">
        <f>'LCC results'!G185</f>
        <v>4103.6650609999997</v>
      </c>
      <c r="Q6" s="645">
        <f t="shared" si="0"/>
        <v>4707.1497755531718</v>
      </c>
      <c r="R6" s="645">
        <f t="shared" si="1"/>
        <v>5648.579730663806</v>
      </c>
      <c r="T6" s="645">
        <f t="shared" ref="T6:T11" si="9">P6+$L6</f>
        <v>5816.4110249048072</v>
      </c>
      <c r="U6" s="645">
        <f t="shared" ref="U6:U11" si="10">Q6+$L6</f>
        <v>6419.8957394579793</v>
      </c>
      <c r="V6" s="645">
        <f t="shared" ref="V6:V11" si="11">R6+$L6</f>
        <v>7361.3256945686135</v>
      </c>
      <c r="X6" s="645">
        <f t="shared" ref="X6:X11" si="12">T6-T$5</f>
        <v>-30.437944095192506</v>
      </c>
      <c r="Y6" s="645">
        <f t="shared" ref="Y6:Y11" si="13">U6-U$5</f>
        <v>-40.680960585194953</v>
      </c>
      <c r="Z6" s="645">
        <f t="shared" ref="Z6:Z11" si="14">V6-V$5</f>
        <v>-56.659961083195412</v>
      </c>
    </row>
    <row r="7" spans="1:26" ht="15">
      <c r="A7" s="624" t="s">
        <v>133</v>
      </c>
      <c r="B7" s="645">
        <f>'LCC results'!E186</f>
        <v>1710.433331</v>
      </c>
      <c r="C7" s="645">
        <f>'Equipment Price'!$L$56/'Revised Equipment Price'!$B$4</f>
        <v>10.11183920300139</v>
      </c>
      <c r="D7" s="645">
        <f>'Equipment Price'!$L$66/'Revised Equipment Price'!$B$4</f>
        <v>9.0527257278241606</v>
      </c>
      <c r="E7" s="645">
        <f>SUM(C7:D7)*'Markups &amp; Distribution Channels'!$G$10</f>
        <v>27.78103381489742</v>
      </c>
      <c r="F7" s="645">
        <f t="shared" si="4"/>
        <v>1682.6522971851025</v>
      </c>
      <c r="H7" s="645">
        <f>'Equipment Price'!$L$56/'Revised Equipment Price'!$L$4</f>
        <v>19.100140716780405</v>
      </c>
      <c r="I7" s="645">
        <f>'Equipment Price'!$L$66/'Revised Equipment Price'!$L$4</f>
        <v>17.099593041445637</v>
      </c>
      <c r="J7" s="645">
        <f t="shared" si="5"/>
        <v>36.199733758226046</v>
      </c>
      <c r="K7" s="645">
        <f>J7*'Markups &amp; Distribution Channels'!$G$10</f>
        <v>52.475286094806251</v>
      </c>
      <c r="L7" s="645">
        <f t="shared" si="6"/>
        <v>1735.1275832799088</v>
      </c>
      <c r="M7" s="645">
        <f t="shared" si="7"/>
        <v>24.694252279908824</v>
      </c>
      <c r="N7" s="653">
        <f t="shared" si="8"/>
        <v>3.6805788088163371E-2</v>
      </c>
      <c r="O7" s="645"/>
      <c r="P7" s="645">
        <f>'LCC results'!G186</f>
        <v>4078.1693800000003</v>
      </c>
      <c r="Q7" s="645">
        <f t="shared" si="0"/>
        <v>4677.9047013785557</v>
      </c>
      <c r="R7" s="645">
        <f t="shared" si="1"/>
        <v>5613.4856416542671</v>
      </c>
      <c r="T7" s="645">
        <f t="shared" si="9"/>
        <v>5813.2969632799086</v>
      </c>
      <c r="U7" s="645">
        <f t="shared" si="10"/>
        <v>6413.0322846584641</v>
      </c>
      <c r="V7" s="645">
        <f t="shared" si="11"/>
        <v>7348.6132249341754</v>
      </c>
      <c r="X7" s="645">
        <f t="shared" si="12"/>
        <v>-33.552005720091074</v>
      </c>
      <c r="Y7" s="645">
        <f t="shared" si="13"/>
        <v>-47.544415384710192</v>
      </c>
      <c r="Z7" s="645">
        <f t="shared" si="14"/>
        <v>-69.372430717633506</v>
      </c>
    </row>
    <row r="8" spans="1:26" ht="15">
      <c r="A8" s="624" t="s">
        <v>134</v>
      </c>
      <c r="B8" s="645">
        <f>'LCC results'!E187</f>
        <v>1729.822977</v>
      </c>
      <c r="C8" s="645">
        <f>'Equipment Price'!$M$56/'Revised Equipment Price'!$B$4</f>
        <v>15.079058442248787</v>
      </c>
      <c r="D8" s="645">
        <f>'Equipment Price'!$M$66/'Revised Equipment Price'!$B$4</f>
        <v>12.611847873157313</v>
      </c>
      <c r="E8" s="645">
        <f>SUM(C8:D8)*'Markups &amp; Distribution Channels'!$G$10</f>
        <v>40.140854096619201</v>
      </c>
      <c r="F8" s="645">
        <f t="shared" si="4"/>
        <v>1689.6821229033808</v>
      </c>
      <c r="H8" s="645">
        <f>'Equipment Price'!$M$56/'Revised Equipment Price'!$L$4</f>
        <v>28.482665946469933</v>
      </c>
      <c r="I8" s="645">
        <f>'Equipment Price'!$M$66/'Revised Equipment Price'!$L$4</f>
        <v>23.822379315963811</v>
      </c>
      <c r="J8" s="645">
        <f t="shared" si="5"/>
        <v>52.305045262433744</v>
      </c>
      <c r="K8" s="645">
        <f>J8*'Markups &amp; Distribution Channels'!$G$10</f>
        <v>75.82161329361405</v>
      </c>
      <c r="L8" s="645">
        <f t="shared" si="6"/>
        <v>1765.5037361969949</v>
      </c>
      <c r="M8" s="645">
        <f t="shared" si="7"/>
        <v>35.680759196994813</v>
      </c>
      <c r="N8" s="653">
        <f t="shared" si="8"/>
        <v>5.4956713396348889E-2</v>
      </c>
      <c r="O8" s="645"/>
      <c r="P8" s="645">
        <f>'LCC results'!G187</f>
        <v>4041.2187250000006</v>
      </c>
      <c r="Q8" s="645">
        <f t="shared" si="0"/>
        <v>4635.5200854792738</v>
      </c>
      <c r="R8" s="645">
        <f t="shared" si="1"/>
        <v>5562.6241025751287</v>
      </c>
      <c r="T8" s="645">
        <f t="shared" si="9"/>
        <v>5806.7224611969959</v>
      </c>
      <c r="U8" s="645">
        <f t="shared" si="10"/>
        <v>6401.0238216762682</v>
      </c>
      <c r="V8" s="645">
        <f t="shared" si="11"/>
        <v>7328.1278387721231</v>
      </c>
      <c r="X8" s="645">
        <f t="shared" si="12"/>
        <v>-40.126507803003733</v>
      </c>
      <c r="Y8" s="645">
        <f t="shared" si="13"/>
        <v>-59.552878366906043</v>
      </c>
      <c r="Z8" s="645">
        <f t="shared" si="14"/>
        <v>-89.857816879685743</v>
      </c>
    </row>
    <row r="9" spans="1:26" ht="15">
      <c r="A9" s="624" t="s">
        <v>135</v>
      </c>
      <c r="B9" s="645">
        <f>'LCC results'!E188</f>
        <v>1753.7208619999999</v>
      </c>
      <c r="C9" s="645">
        <f>'Equipment Price'!$N$56/'Revised Equipment Price'!$B$4</f>
        <v>21.11068167955667</v>
      </c>
      <c r="D9" s="645">
        <f>'Equipment Price'!$N$66/'Revised Equipment Price'!$B$4</f>
        <v>16.952295795409487</v>
      </c>
      <c r="E9" s="645">
        <f>SUM(C9:D9)*'Markups &amp; Distribution Channels'!$G$10</f>
        <v>55.176252012216331</v>
      </c>
      <c r="F9" s="645">
        <f t="shared" si="4"/>
        <v>1698.5446099877836</v>
      </c>
      <c r="H9" s="645">
        <f>'Equipment Price'!$N$56/'Revised Equipment Price'!$L$4</f>
        <v>39.875732061384817</v>
      </c>
      <c r="I9" s="645">
        <f>'Equipment Price'!$N$66/'Revised Equipment Price'!$L$4</f>
        <v>32.021003169106805</v>
      </c>
      <c r="J9" s="645">
        <f t="shared" si="5"/>
        <v>71.896735230491629</v>
      </c>
      <c r="K9" s="645">
        <f>J9*'Markups &amp; Distribution Channels'!$G$10</f>
        <v>104.22180935640861</v>
      </c>
      <c r="L9" s="645">
        <f t="shared" si="6"/>
        <v>1802.7664193441922</v>
      </c>
      <c r="M9" s="645">
        <f t="shared" si="7"/>
        <v>49.045557344192275</v>
      </c>
      <c r="N9" s="653">
        <f t="shared" si="8"/>
        <v>7.7222606659182791E-2</v>
      </c>
      <c r="O9" s="645"/>
      <c r="P9" s="645">
        <f>'LCC results'!G188</f>
        <v>4007.0219939999997</v>
      </c>
      <c r="Q9" s="645">
        <f t="shared" si="0"/>
        <v>4596.2943854626938</v>
      </c>
      <c r="R9" s="645">
        <f t="shared" si="1"/>
        <v>5515.5532625552323</v>
      </c>
      <c r="T9" s="645">
        <f t="shared" si="9"/>
        <v>5809.7884133441921</v>
      </c>
      <c r="U9" s="645">
        <f t="shared" si="10"/>
        <v>6399.0608048068862</v>
      </c>
      <c r="V9" s="645">
        <f t="shared" si="11"/>
        <v>7318.3196818994247</v>
      </c>
      <c r="X9" s="645">
        <f t="shared" si="12"/>
        <v>-37.060555655807548</v>
      </c>
      <c r="Y9" s="645">
        <f t="shared" si="13"/>
        <v>-61.515895236288088</v>
      </c>
      <c r="Z9" s="645">
        <f t="shared" si="14"/>
        <v>-99.665973752384161</v>
      </c>
    </row>
    <row r="10" spans="1:26" ht="15">
      <c r="A10" s="624" t="s">
        <v>136</v>
      </c>
      <c r="B10" s="645">
        <f>'LCC results'!E189</f>
        <v>1779.9263209999999</v>
      </c>
      <c r="C10" s="645">
        <f>'Equipment Price'!$O$56/'Revised Equipment Price'!$B$4</f>
        <v>31.932123431605358</v>
      </c>
      <c r="D10" s="645">
        <f>'Equipment Price'!$O$66/'Revised Equipment Price'!$B$4</f>
        <v>20.121875973094539</v>
      </c>
      <c r="E10" s="645">
        <f>SUM(C10:D10)*'Markups &amp; Distribution Channels'!$G$10</f>
        <v>75.457696163850457</v>
      </c>
      <c r="F10" s="645">
        <f t="shared" si="4"/>
        <v>1704.4686248361495</v>
      </c>
      <c r="H10" s="645">
        <f>'Equipment Price'!$O$56/'Revised Equipment Price'!$L$4</f>
        <v>60.316233148587898</v>
      </c>
      <c r="I10" s="645">
        <f>'Equipment Price'!$O$66/'Revised Equipment Price'!$L$4</f>
        <v>38.007987949178577</v>
      </c>
      <c r="J10" s="645">
        <f t="shared" si="5"/>
        <v>98.324221097766468</v>
      </c>
      <c r="K10" s="645">
        <f>J10*'Markups &amp; Distribution Channels'!$G$10</f>
        <v>142.53120386505086</v>
      </c>
      <c r="L10" s="645">
        <f t="shared" si="6"/>
        <v>1846.9998287012004</v>
      </c>
      <c r="M10" s="645">
        <f t="shared" si="7"/>
        <v>67.073507701200469</v>
      </c>
      <c r="N10" s="653">
        <f t="shared" si="8"/>
        <v>0.10365377822843858</v>
      </c>
      <c r="O10" s="645"/>
      <c r="P10" s="645">
        <f>'LCC results'!G189</f>
        <v>3945.1386030000003</v>
      </c>
      <c r="Q10" s="645">
        <f t="shared" si="0"/>
        <v>4525.3104270435497</v>
      </c>
      <c r="R10" s="645">
        <f t="shared" si="1"/>
        <v>5430.3725124522598</v>
      </c>
      <c r="T10" s="645">
        <f t="shared" si="9"/>
        <v>5792.1384317012007</v>
      </c>
      <c r="U10" s="645">
        <f t="shared" si="10"/>
        <v>6372.3102557447501</v>
      </c>
      <c r="V10" s="645">
        <f t="shared" si="11"/>
        <v>7277.3723411534602</v>
      </c>
      <c r="X10" s="645">
        <f t="shared" si="12"/>
        <v>-54.710537298798954</v>
      </c>
      <c r="Y10" s="645">
        <f t="shared" si="13"/>
        <v>-88.266444298424176</v>
      </c>
      <c r="Z10" s="645">
        <f t="shared" si="14"/>
        <v>-140.6133144983487</v>
      </c>
    </row>
    <row r="11" spans="1:26" ht="15">
      <c r="A11" s="624" t="s">
        <v>137</v>
      </c>
      <c r="B11" s="645">
        <f>'LCC results'!E190</f>
        <v>1854.510309</v>
      </c>
      <c r="C11" s="645">
        <f>'Equipment Price'!$P$56/'Revised Equipment Price'!$B$4</f>
        <v>55.52641490527526</v>
      </c>
      <c r="D11" s="645">
        <f>'Equipment Price'!$P$66/'Revised Equipment Price'!$B$4</f>
        <v>29.796135888830221</v>
      </c>
      <c r="E11" s="645">
        <f>SUM(C11:D11)*'Markups &amp; Distribution Channels'!$G$10</f>
        <v>123.68392798584863</v>
      </c>
      <c r="F11" s="645">
        <f t="shared" si="4"/>
        <v>1730.8263810141514</v>
      </c>
      <c r="H11" s="645">
        <f>'Equipment Price'!$P$56/'Revised Equipment Price'!$L$4</f>
        <v>104.88322815440883</v>
      </c>
      <c r="I11" s="645">
        <f>'Equipment Price'!$P$66/'Revised Equipment Price'!$L$4</f>
        <v>56.281590012234865</v>
      </c>
      <c r="J11" s="645">
        <f t="shared" si="5"/>
        <v>161.1648181666437</v>
      </c>
      <c r="K11" s="645">
        <f>J11*'Markups &amp; Distribution Channels'!$G$10</f>
        <v>233.62519730660298</v>
      </c>
      <c r="L11" s="645">
        <f t="shared" si="6"/>
        <v>1964.4515783207544</v>
      </c>
      <c r="M11" s="645">
        <f t="shared" si="7"/>
        <v>109.94126932075437</v>
      </c>
      <c r="N11" s="653">
        <f t="shared" si="8"/>
        <v>0.17383573775699657</v>
      </c>
      <c r="O11" s="645"/>
      <c r="P11" s="645">
        <f>'LCC results'!G190</f>
        <v>3764.3127619999996</v>
      </c>
      <c r="Q11" s="645">
        <f t="shared" si="0"/>
        <v>4317.8923497334226</v>
      </c>
      <c r="R11" s="645">
        <f t="shared" si="1"/>
        <v>5181.4708196801066</v>
      </c>
      <c r="T11" s="645">
        <f t="shared" si="9"/>
        <v>5728.7643403207539</v>
      </c>
      <c r="U11" s="645">
        <f t="shared" si="10"/>
        <v>6282.343928054177</v>
      </c>
      <c r="V11" s="645">
        <f t="shared" si="11"/>
        <v>7145.922398000861</v>
      </c>
      <c r="X11" s="645">
        <f t="shared" si="12"/>
        <v>-118.08462867924572</v>
      </c>
      <c r="Y11" s="645">
        <f t="shared" si="13"/>
        <v>-178.23277198899723</v>
      </c>
      <c r="Z11" s="645">
        <f t="shared" si="14"/>
        <v>-272.06325765094789</v>
      </c>
    </row>
    <row r="12" spans="1:26" s="624" customFormat="1" ht="15">
      <c r="B12" s="645"/>
      <c r="C12" s="645"/>
      <c r="D12" s="645"/>
      <c r="E12" s="645"/>
      <c r="F12" s="645"/>
      <c r="H12" s="645"/>
      <c r="I12" s="645"/>
      <c r="J12" s="645"/>
      <c r="K12" s="645"/>
      <c r="L12" s="645"/>
      <c r="M12" s="645"/>
      <c r="N12" s="653"/>
      <c r="O12" s="645"/>
      <c r="P12" s="645"/>
      <c r="Q12" s="645"/>
      <c r="R12" s="645"/>
      <c r="T12" s="645"/>
      <c r="U12" s="645"/>
      <c r="V12" s="645"/>
      <c r="X12" s="645"/>
      <c r="Y12" s="645"/>
      <c r="Z12" s="645"/>
    </row>
    <row r="13" spans="1:26" s="624" customFormat="1" ht="15">
      <c r="A13" s="624" t="s">
        <v>668</v>
      </c>
      <c r="B13" s="645">
        <v>384064</v>
      </c>
      <c r="C13" s="645"/>
      <c r="D13" s="645"/>
      <c r="E13" s="645"/>
      <c r="F13" s="645"/>
      <c r="H13" s="645"/>
      <c r="I13" s="645"/>
      <c r="J13" s="645"/>
      <c r="K13" s="645"/>
      <c r="L13" s="645">
        <v>107000</v>
      </c>
      <c r="M13" s="645"/>
      <c r="N13" s="653"/>
      <c r="O13" s="645"/>
      <c r="P13" s="645"/>
      <c r="Q13" s="645"/>
      <c r="R13" s="645"/>
      <c r="T13" s="645"/>
      <c r="U13" s="645"/>
      <c r="V13" s="645"/>
      <c r="X13" s="645"/>
      <c r="Y13" s="645"/>
      <c r="Z13" s="645"/>
    </row>
    <row r="14" spans="1:26" s="624" customFormat="1" ht="15">
      <c r="A14" s="624" t="s">
        <v>140</v>
      </c>
      <c r="B14" s="645">
        <f>'LCC results'!E100</f>
        <v>4393.9019399999997</v>
      </c>
      <c r="C14" s="645">
        <f>'Equipment Price'!$J$57/'Revised Equipment Price'!$B$13</f>
        <v>0</v>
      </c>
      <c r="D14" s="645">
        <f>'Equipment Price'!$J$67/'Revised Equipment Price'!$B$13</f>
        <v>0</v>
      </c>
      <c r="E14" s="645">
        <f>SUM(C14:D14)*'Markups &amp; Distribution Channels'!$G$10</f>
        <v>0</v>
      </c>
      <c r="F14" s="645">
        <f>B14-E14</f>
        <v>4393.9019399999997</v>
      </c>
      <c r="H14" s="645">
        <f>'Equipment Price'!$J$57/'Revised Equipment Price'!$L$13</f>
        <v>0</v>
      </c>
      <c r="I14" s="645">
        <f>'Equipment Price'!$J$67/'Revised Equipment Price'!$L$13</f>
        <v>0</v>
      </c>
      <c r="J14" s="645">
        <f>SUM(H14:I14)</f>
        <v>0</v>
      </c>
      <c r="K14" s="645">
        <f>J14*'Markups &amp; Distribution Channels'!$G$10</f>
        <v>0</v>
      </c>
      <c r="L14" s="645">
        <f>F14+K14</f>
        <v>4393.9019399999997</v>
      </c>
      <c r="M14" s="645">
        <f>L14-B14</f>
        <v>0</v>
      </c>
      <c r="N14" s="653">
        <f t="shared" ref="N14:N20" si="15">(L14/L$14)-1</f>
        <v>0</v>
      </c>
      <c r="O14" s="645"/>
      <c r="P14" s="645">
        <f>'LCC results'!G100</f>
        <v>28780.48374</v>
      </c>
      <c r="Q14" s="645">
        <f t="shared" ref="Q14:Q20" si="16">P14*$Q$4</f>
        <v>33012.939789983684</v>
      </c>
      <c r="R14" s="645">
        <f t="shared" ref="R14:R20" si="17">Q14*(1+$R$4)</f>
        <v>39615.527747980421</v>
      </c>
      <c r="T14" s="645">
        <f>P14+$L14</f>
        <v>33174.385679999999</v>
      </c>
      <c r="U14" s="645">
        <f t="shared" ref="U14:U20" si="18">Q14+$L14</f>
        <v>37406.841729983687</v>
      </c>
      <c r="V14" s="645">
        <f t="shared" ref="V14:V20" si="19">R14+$L14</f>
        <v>44009.429687980417</v>
      </c>
      <c r="X14" s="645">
        <f t="shared" ref="X14:Z20" si="20">T14-T$14</f>
        <v>0</v>
      </c>
      <c r="Y14" s="645">
        <f t="shared" si="20"/>
        <v>0</v>
      </c>
      <c r="Z14" s="645">
        <f t="shared" si="20"/>
        <v>0</v>
      </c>
    </row>
    <row r="15" spans="1:26" s="624" customFormat="1" ht="15">
      <c r="A15" s="624" t="s">
        <v>132</v>
      </c>
      <c r="B15" s="645">
        <f>'LCC results'!E101</f>
        <v>4420.8342789999997</v>
      </c>
      <c r="C15" s="645">
        <f>'Equipment Price'!$K$57/'Revised Equipment Price'!$B$13</f>
        <v>5.3741864165778361</v>
      </c>
      <c r="D15" s="645">
        <f>'Equipment Price'!$K$67/'Revised Equipment Price'!$B$13</f>
        <v>49.969710156488283</v>
      </c>
      <c r="E15" s="645">
        <f>SUM(C15:D15)*'Markups &amp; Distribution Channels'!$G$10</f>
        <v>80.226744916682236</v>
      </c>
      <c r="F15" s="645">
        <f t="shared" ref="F15:F20" si="21">B15-E15</f>
        <v>4340.6075340833177</v>
      </c>
      <c r="H15" s="645">
        <f>'Equipment Price'!$K$57/'Revised Equipment Price'!$L$13</f>
        <v>19.290014316790188</v>
      </c>
      <c r="I15" s="645">
        <f>'Equipment Price'!$K$67/'Revised Equipment Price'!$L$13</f>
        <v>179.3604370237525</v>
      </c>
      <c r="J15" s="645">
        <f t="shared" ref="J15:J20" si="22">SUM(H15:I15)</f>
        <v>198.65045134054267</v>
      </c>
      <c r="K15" s="645">
        <f>J15*'Markups &amp; Distribution Channels'!$G$10</f>
        <v>287.96452859514625</v>
      </c>
      <c r="L15" s="645">
        <f t="shared" ref="L15:L20" si="23">F15+K15</f>
        <v>4628.5720626784641</v>
      </c>
      <c r="M15" s="645">
        <f t="shared" ref="M15:M20" si="24">L15-B15</f>
        <v>207.73778367846444</v>
      </c>
      <c r="N15" s="653">
        <f t="shared" si="15"/>
        <v>5.3408138343311373E-2</v>
      </c>
      <c r="O15" s="645"/>
      <c r="P15" s="645">
        <f>'LCC results'!G101</f>
        <v>28706.278921000001</v>
      </c>
      <c r="Q15" s="645">
        <f t="shared" si="16"/>
        <v>32927.822415171497</v>
      </c>
      <c r="R15" s="645">
        <f t="shared" si="17"/>
        <v>39513.386898205797</v>
      </c>
      <c r="T15" s="645">
        <f t="shared" ref="T15:T20" si="25">P15+$L15</f>
        <v>33334.850983678465</v>
      </c>
      <c r="U15" s="645">
        <f t="shared" si="18"/>
        <v>37556.394477849957</v>
      </c>
      <c r="V15" s="645">
        <f t="shared" si="19"/>
        <v>44141.958960884265</v>
      </c>
      <c r="X15" s="645">
        <f t="shared" si="20"/>
        <v>160.46530367846572</v>
      </c>
      <c r="Y15" s="645">
        <f t="shared" si="20"/>
        <v>149.55274786626978</v>
      </c>
      <c r="Z15" s="645">
        <f t="shared" si="20"/>
        <v>132.52927290384832</v>
      </c>
    </row>
    <row r="16" spans="1:26" s="624" customFormat="1" ht="15">
      <c r="A16" s="624" t="s">
        <v>133</v>
      </c>
      <c r="B16" s="645">
        <f>'LCC results'!E102</f>
        <v>4429.4924339999998</v>
      </c>
      <c r="C16" s="645">
        <f>'Equipment Price'!$L$57/'Revised Equipment Price'!$B$13</f>
        <v>9.369774159547994</v>
      </c>
      <c r="D16" s="645">
        <f>'Equipment Price'!$L$67/'Revised Equipment Price'!$B$13</f>
        <v>57.896650135444297</v>
      </c>
      <c r="E16" s="645">
        <f>SUM(C16:D16)*'Markups &amp; Distribution Channels'!$G$10</f>
        <v>97.50969117700285</v>
      </c>
      <c r="F16" s="645">
        <f t="shared" si="21"/>
        <v>4331.9827428229974</v>
      </c>
      <c r="H16" s="645">
        <f>'Equipment Price'!$L$57/'Revised Equipment Price'!$L$13</f>
        <v>33.631709745912531</v>
      </c>
      <c r="I16" s="645">
        <f>'Equipment Price'!$L$67/'Revised Equipment Price'!$L$13</f>
        <v>207.81326203382503</v>
      </c>
      <c r="J16" s="645">
        <f t="shared" si="22"/>
        <v>241.44497177973756</v>
      </c>
      <c r="K16" s="645">
        <f>J16*'Markups &amp; Distribution Channels'!$G$10</f>
        <v>349.99964516078899</v>
      </c>
      <c r="L16" s="645">
        <f t="shared" si="23"/>
        <v>4681.9823879837859</v>
      </c>
      <c r="M16" s="645">
        <f t="shared" si="24"/>
        <v>252.48995398378611</v>
      </c>
      <c r="N16" s="653">
        <f t="shared" si="15"/>
        <v>6.5563695302627956E-2</v>
      </c>
      <c r="O16" s="645"/>
      <c r="P16" s="645">
        <f>'LCC results'!G102</f>
        <v>28675.031166000001</v>
      </c>
      <c r="Q16" s="645">
        <f t="shared" si="16"/>
        <v>32891.97936737194</v>
      </c>
      <c r="R16" s="645">
        <f t="shared" si="17"/>
        <v>39470.375240846326</v>
      </c>
      <c r="T16" s="645">
        <f t="shared" si="25"/>
        <v>33357.013553983787</v>
      </c>
      <c r="U16" s="645">
        <f t="shared" si="18"/>
        <v>37573.961755355725</v>
      </c>
      <c r="V16" s="645">
        <f t="shared" si="19"/>
        <v>44152.357628830112</v>
      </c>
      <c r="X16" s="645">
        <f t="shared" si="20"/>
        <v>182.62787398378714</v>
      </c>
      <c r="Y16" s="645">
        <f t="shared" si="20"/>
        <v>167.12002537203807</v>
      </c>
      <c r="Z16" s="645">
        <f t="shared" si="20"/>
        <v>142.92794084969501</v>
      </c>
    </row>
    <row r="17" spans="1:26" s="624" customFormat="1" ht="15">
      <c r="A17" s="624" t="s">
        <v>134</v>
      </c>
      <c r="B17" s="645">
        <f>'LCC results'!E103</f>
        <v>4440.973234</v>
      </c>
      <c r="C17" s="645">
        <f>'Equipment Price'!$M$57/'Revised Equipment Price'!$B$13</f>
        <v>11.582823030889164</v>
      </c>
      <c r="D17" s="645">
        <f>'Equipment Price'!$M$67/'Revised Equipment Price'!$B$13</f>
        <v>66.709454792291467</v>
      </c>
      <c r="E17" s="645">
        <f>SUM(C17:D17)*'Markups &amp; Distribution Channels'!$G$10</f>
        <v>113.49281476004947</v>
      </c>
      <c r="F17" s="645">
        <f t="shared" si="21"/>
        <v>4327.4804192399506</v>
      </c>
      <c r="H17" s="645">
        <f>'Equipment Price'!$M$57/'Revised Equipment Price'!$L$13</f>
        <v>41.575190135845013</v>
      </c>
      <c r="I17" s="645">
        <f>'Equipment Price'!$M$67/'Revised Equipment Price'!$L$13</f>
        <v>239.44579481632363</v>
      </c>
      <c r="J17" s="645">
        <f t="shared" si="22"/>
        <v>281.02098495216865</v>
      </c>
      <c r="K17" s="645">
        <f>J17*'Markups &amp; Distribution Channels'!$G$10</f>
        <v>407.3692000748004</v>
      </c>
      <c r="L17" s="645">
        <f t="shared" si="23"/>
        <v>4734.8496193147512</v>
      </c>
      <c r="M17" s="645">
        <f t="shared" si="24"/>
        <v>293.87638531475113</v>
      </c>
      <c r="N17" s="653">
        <f t="shared" si="15"/>
        <v>7.7595650510751124E-2</v>
      </c>
      <c r="O17" s="645"/>
      <c r="P17" s="645">
        <f>'LCC results'!G103</f>
        <v>28623.250395999999</v>
      </c>
      <c r="Q17" s="645">
        <f t="shared" si="16"/>
        <v>32832.58372073403</v>
      </c>
      <c r="R17" s="645">
        <f t="shared" si="17"/>
        <v>39399.100464880838</v>
      </c>
      <c r="T17" s="645">
        <f t="shared" si="25"/>
        <v>33358.100015314747</v>
      </c>
      <c r="U17" s="645">
        <f t="shared" si="18"/>
        <v>37567.433340048781</v>
      </c>
      <c r="V17" s="645">
        <f t="shared" si="19"/>
        <v>44133.950084195589</v>
      </c>
      <c r="X17" s="645">
        <f t="shared" si="20"/>
        <v>183.71433531474759</v>
      </c>
      <c r="Y17" s="645">
        <f t="shared" si="20"/>
        <v>160.59161006509385</v>
      </c>
      <c r="Z17" s="645">
        <f t="shared" si="20"/>
        <v>124.52039621517179</v>
      </c>
    </row>
    <row r="18" spans="1:26" s="624" customFormat="1" ht="15">
      <c r="A18" s="624" t="s">
        <v>135</v>
      </c>
      <c r="B18" s="645">
        <f>'LCC results'!E104</f>
        <v>4459.6158660000001</v>
      </c>
      <c r="C18" s="645">
        <f>'Equipment Price'!$N$57/'Revised Equipment Price'!$B$13</f>
        <v>15.718765798404798</v>
      </c>
      <c r="D18" s="645">
        <f>'Equipment Price'!$N$67/'Revised Equipment Price'!$B$13</f>
        <v>78.757736706260602</v>
      </c>
      <c r="E18" s="645">
        <f>SUM(C18:D18)*'Markups &amp; Distribution Channels'!$G$10</f>
        <v>136.95353483207347</v>
      </c>
      <c r="F18" s="645">
        <f t="shared" si="21"/>
        <v>4322.6623311679268</v>
      </c>
      <c r="H18" s="645">
        <f>'Equipment Price'!$N$57/'Revised Equipment Price'!$L$13</f>
        <v>56.420673528958318</v>
      </c>
      <c r="I18" s="645">
        <f>'Equipment Price'!$N$67/'Revised Equipment Price'!$L$13</f>
        <v>282.69169523694649</v>
      </c>
      <c r="J18" s="645">
        <f t="shared" si="22"/>
        <v>339.11236876590482</v>
      </c>
      <c r="K18" s="645">
        <f>J18*'Markups &amp; Distribution Channels'!$G$10</f>
        <v>491.5787140350044</v>
      </c>
      <c r="L18" s="645">
        <f t="shared" si="23"/>
        <v>4814.2410452029308</v>
      </c>
      <c r="M18" s="645">
        <f t="shared" si="24"/>
        <v>354.62517920293067</v>
      </c>
      <c r="N18" s="653">
        <f t="shared" si="15"/>
        <v>9.5664198005049439E-2</v>
      </c>
      <c r="O18" s="645"/>
      <c r="P18" s="645">
        <f>'LCC results'!G104</f>
        <v>28512.435733999999</v>
      </c>
      <c r="Q18" s="645">
        <f t="shared" si="16"/>
        <v>32705.472661812917</v>
      </c>
      <c r="R18" s="645">
        <f t="shared" si="17"/>
        <v>39246.567194175499</v>
      </c>
      <c r="T18" s="645">
        <f t="shared" si="25"/>
        <v>33326.676779202928</v>
      </c>
      <c r="U18" s="645">
        <f t="shared" si="18"/>
        <v>37519.71370701585</v>
      </c>
      <c r="V18" s="645">
        <f t="shared" si="19"/>
        <v>44060.808239378428</v>
      </c>
      <c r="X18" s="645">
        <f t="shared" si="20"/>
        <v>152.29109920292831</v>
      </c>
      <c r="Y18" s="645">
        <f t="shared" si="20"/>
        <v>112.87197703216225</v>
      </c>
      <c r="Z18" s="645">
        <f t="shared" si="20"/>
        <v>51.378551398011041</v>
      </c>
    </row>
    <row r="19" spans="1:26" s="624" customFormat="1" ht="15">
      <c r="A19" s="624" t="s">
        <v>136</v>
      </c>
      <c r="B19" s="645">
        <f>'LCC results'!E105</f>
        <v>4481.7481889999999</v>
      </c>
      <c r="C19" s="645">
        <f>'Equipment Price'!$O$57/'Revised Equipment Price'!$B$13</f>
        <v>19.780229521912254</v>
      </c>
      <c r="D19" s="645">
        <f>'Equipment Price'!$O$67/'Revised Equipment Price'!$B$13</f>
        <v>93.86619166049806</v>
      </c>
      <c r="E19" s="645">
        <f>SUM(C19:D19)*'Markups &amp; Distribution Channels'!$G$10</f>
        <v>164.74232946099093</v>
      </c>
      <c r="F19" s="645">
        <f t="shared" si="21"/>
        <v>4317.0058595390092</v>
      </c>
      <c r="H19" s="645">
        <f>'Equipment Price'!$O$57/'Revised Equipment Price'!$L$13</f>
        <v>70.998823094427181</v>
      </c>
      <c r="I19" s="645">
        <f>'Equipment Price'!$O$67/'Revised Equipment Price'!$L$13</f>
        <v>336.92172928876192</v>
      </c>
      <c r="J19" s="645">
        <f t="shared" si="22"/>
        <v>407.92055238318909</v>
      </c>
      <c r="K19" s="645">
        <f>J19*'Markups &amp; Distribution Channels'!$G$10</f>
        <v>591.3233460009908</v>
      </c>
      <c r="L19" s="645">
        <f t="shared" si="23"/>
        <v>4908.3292055399997</v>
      </c>
      <c r="M19" s="645">
        <f t="shared" si="24"/>
        <v>426.58101653999984</v>
      </c>
      <c r="N19" s="653">
        <f t="shared" si="15"/>
        <v>0.11707754805743353</v>
      </c>
      <c r="O19" s="645"/>
      <c r="P19" s="645">
        <f>'LCC results'!G105</f>
        <v>28412.489021000001</v>
      </c>
      <c r="Q19" s="645">
        <f t="shared" si="16"/>
        <v>32590.827791758493</v>
      </c>
      <c r="R19" s="645">
        <f t="shared" si="17"/>
        <v>39108.993350110191</v>
      </c>
      <c r="T19" s="645">
        <f t="shared" si="25"/>
        <v>33320.818226540003</v>
      </c>
      <c r="U19" s="645">
        <f t="shared" si="18"/>
        <v>37499.156997298494</v>
      </c>
      <c r="V19" s="645">
        <f t="shared" si="19"/>
        <v>44017.322555650193</v>
      </c>
      <c r="X19" s="645">
        <f t="shared" si="20"/>
        <v>146.43254654000339</v>
      </c>
      <c r="Y19" s="645">
        <f t="shared" si="20"/>
        <v>92.315267314806988</v>
      </c>
      <c r="Z19" s="645">
        <f t="shared" si="20"/>
        <v>7.8928676697760238</v>
      </c>
    </row>
    <row r="20" spans="1:26" s="624" customFormat="1" ht="15">
      <c r="A20" s="624" t="s">
        <v>137</v>
      </c>
      <c r="B20" s="645">
        <f>'LCC results'!E106</f>
        <v>4646.9298859999999</v>
      </c>
      <c r="C20" s="645">
        <f>'Equipment Price'!$P$57/'Revised Equipment Price'!$B$13</f>
        <v>54.26498306825281</v>
      </c>
      <c r="D20" s="645">
        <f>'Equipment Price'!$P$67/'Revised Equipment Price'!$B$13</f>
        <v>126.01490437961969</v>
      </c>
      <c r="E20" s="645">
        <f>SUM(C20:D20)*'Markups &amp; Distribution Channels'!$G$10</f>
        <v>261.33448201996322</v>
      </c>
      <c r="F20" s="645">
        <f t="shared" si="21"/>
        <v>4385.5954039800363</v>
      </c>
      <c r="H20" s="645">
        <f>'Equipment Price'!$P$57/'Revised Equipment Price'!$L$13</f>
        <v>194.7778173563126</v>
      </c>
      <c r="I20" s="645">
        <f>'Equipment Price'!$P$67/'Revised Equipment Price'!$L$13</f>
        <v>452.31577790331079</v>
      </c>
      <c r="J20" s="645">
        <f t="shared" si="22"/>
        <v>647.09359525962338</v>
      </c>
      <c r="K20" s="645">
        <f>J20*'Markups &amp; Distribution Channels'!$G$10</f>
        <v>938.02959348144998</v>
      </c>
      <c r="L20" s="645">
        <f t="shared" si="23"/>
        <v>5323.6249974614866</v>
      </c>
      <c r="M20" s="645">
        <f t="shared" si="24"/>
        <v>676.6951114614867</v>
      </c>
      <c r="N20" s="653">
        <f t="shared" si="15"/>
        <v>0.21159394773873519</v>
      </c>
      <c r="O20" s="645"/>
      <c r="P20" s="645">
        <f>'LCC results'!G106</f>
        <v>26634.634164000003</v>
      </c>
      <c r="Q20" s="645">
        <f t="shared" si="16"/>
        <v>30551.521716166069</v>
      </c>
      <c r="R20" s="645">
        <f t="shared" si="17"/>
        <v>36661.826059399282</v>
      </c>
      <c r="T20" s="645">
        <f t="shared" si="25"/>
        <v>31958.25916146149</v>
      </c>
      <c r="U20" s="645">
        <f t="shared" si="18"/>
        <v>35875.146713627553</v>
      </c>
      <c r="V20" s="645">
        <f t="shared" si="19"/>
        <v>41985.451056860766</v>
      </c>
      <c r="X20" s="645">
        <f t="shared" si="20"/>
        <v>-1216.1265185385091</v>
      </c>
      <c r="Y20" s="645">
        <f t="shared" si="20"/>
        <v>-1531.6950163561341</v>
      </c>
      <c r="Z20" s="645">
        <f t="shared" si="20"/>
        <v>-2023.9786311196513</v>
      </c>
    </row>
    <row r="21" spans="1:26" s="624" customFormat="1" ht="15">
      <c r="B21" s="645"/>
      <c r="C21" s="645"/>
      <c r="D21" s="645"/>
      <c r="E21" s="645"/>
      <c r="F21" s="645"/>
      <c r="H21" s="645"/>
      <c r="I21" s="645"/>
      <c r="J21" s="645"/>
      <c r="K21" s="645"/>
      <c r="L21" s="645"/>
      <c r="M21" s="645"/>
      <c r="N21" s="653"/>
      <c r="O21" s="645"/>
      <c r="P21" s="645"/>
      <c r="Q21" s="645"/>
      <c r="R21" s="645"/>
      <c r="T21" s="645"/>
      <c r="U21" s="645"/>
      <c r="V21" s="645"/>
      <c r="X21" s="645"/>
      <c r="Y21" s="645"/>
      <c r="Z21" s="645"/>
    </row>
    <row r="22" spans="1:26" ht="15">
      <c r="M22" s="645"/>
      <c r="N22" s="645"/>
      <c r="P22" s="645"/>
      <c r="Q22" s="645"/>
      <c r="R22" s="645"/>
    </row>
    <row r="23" spans="1:26" ht="15">
      <c r="A23" t="s">
        <v>659</v>
      </c>
      <c r="B23" s="645">
        <v>221684</v>
      </c>
      <c r="L23" s="645">
        <v>50000</v>
      </c>
      <c r="M23" s="645"/>
      <c r="N23" s="645"/>
      <c r="P23" s="645"/>
      <c r="Q23" s="645"/>
      <c r="R23" s="645"/>
    </row>
    <row r="24" spans="1:26" ht="15">
      <c r="A24" s="624" t="s">
        <v>140</v>
      </c>
      <c r="B24" s="634">
        <f>'LCC results'!E58</f>
        <v>1858.3779099999999</v>
      </c>
      <c r="C24" s="645">
        <f>'Equipment Price'!$J$57/'Revised Equipment Price'!$B$23</f>
        <v>0</v>
      </c>
      <c r="D24" s="645">
        <f>'Equipment Price'!$J$67/'Revised Equipment Price'!$B$23</f>
        <v>0</v>
      </c>
      <c r="E24" s="645">
        <f>SUM(C24:D24)*'Markups &amp; Distribution Channels'!$G$10</f>
        <v>0</v>
      </c>
      <c r="F24" s="645">
        <f>B24-E24</f>
        <v>1858.3779099999999</v>
      </c>
      <c r="H24" s="645">
        <f>'Equipment Price'!$J$57/'Revised Equipment Price'!$L$23</f>
        <v>0</v>
      </c>
      <c r="I24" s="645">
        <f>'Equipment Price'!$J$67/'Revised Equipment Price'!$L$23</f>
        <v>0</v>
      </c>
      <c r="J24" s="645">
        <f>SUM(H24:I24)</f>
        <v>0</v>
      </c>
      <c r="K24" s="645">
        <f>J24*'Markups &amp; Distribution Channels'!$G$10</f>
        <v>0</v>
      </c>
      <c r="L24" s="645">
        <f>F24+K24</f>
        <v>1858.3779099999999</v>
      </c>
      <c r="M24" s="645">
        <f t="shared" si="7"/>
        <v>0</v>
      </c>
      <c r="N24" s="653">
        <f>(L24/L$24)-1</f>
        <v>0</v>
      </c>
      <c r="O24" s="645"/>
      <c r="P24" s="645">
        <f>'LCC results'!G58</f>
        <v>11676.861280000001</v>
      </c>
      <c r="Q24" s="645">
        <f t="shared" ref="Q24:Q30" si="26">P24*$Q$4</f>
        <v>13394.05973350161</v>
      </c>
      <c r="R24" s="645">
        <f t="shared" ref="R24:R30" si="27">Q24*(1+$R$4)</f>
        <v>16072.871680201932</v>
      </c>
      <c r="T24" s="645">
        <f>P24+$L24</f>
        <v>13535.23919</v>
      </c>
      <c r="U24" s="645">
        <f t="shared" ref="U24:U30" si="28">Q24+$L24</f>
        <v>15252.437643501609</v>
      </c>
      <c r="V24" s="645">
        <f t="shared" ref="V24:V30" si="29">R24+$L24</f>
        <v>17931.249590201933</v>
      </c>
      <c r="X24" s="645">
        <f>T24-T$24</f>
        <v>0</v>
      </c>
      <c r="Y24" s="645">
        <f t="shared" ref="Y24:Z24" si="30">U24-U$24</f>
        <v>0</v>
      </c>
      <c r="Z24" s="645">
        <f t="shared" si="30"/>
        <v>0</v>
      </c>
    </row>
    <row r="25" spans="1:26" ht="15">
      <c r="A25" s="624" t="s">
        <v>132</v>
      </c>
      <c r="B25" s="634">
        <f>'LCC results'!E59</f>
        <v>1982.0438340000001</v>
      </c>
      <c r="C25" s="645">
        <f>'Equipment Price'!$K$57/'Revised Equipment Price'!$B$23</f>
        <v>9.3106923905042773</v>
      </c>
      <c r="D25" s="645">
        <f>'Equipment Price'!$K$67/'Revised Equipment Price'!$B$23</f>
        <v>86.571727150094347</v>
      </c>
      <c r="E25" s="645">
        <f>SUM(C25:D25)*'Markups &amp; Distribution Channels'!$G$10</f>
        <v>138.99155807221382</v>
      </c>
      <c r="F25" s="645">
        <f t="shared" ref="F25:F30" si="31">B25-E25</f>
        <v>1843.0522759277862</v>
      </c>
      <c r="H25" s="645">
        <f>'Equipment Price'!$K$57/'Revised Equipment Price'!$L$23</f>
        <v>41.280630637931004</v>
      </c>
      <c r="I25" s="645">
        <f>'Equipment Price'!$K$67/'Revised Equipment Price'!$L$23</f>
        <v>383.83133523083029</v>
      </c>
      <c r="J25" s="645">
        <f t="shared" ref="J25:J30" si="32">SUM(H25:I25)</f>
        <v>425.11196586876127</v>
      </c>
      <c r="K25" s="645">
        <f>J25*'Markups &amp; Distribution Channels'!$G$10</f>
        <v>616.24409119361292</v>
      </c>
      <c r="L25" s="645">
        <f t="shared" ref="L25:L30" si="33">F25+K25</f>
        <v>2459.2963671213993</v>
      </c>
      <c r="M25" s="645">
        <f t="shared" si="7"/>
        <v>477.25253312139921</v>
      </c>
      <c r="N25" s="653">
        <f t="shared" ref="N25:N30" si="34">(L25/L$24)-1</f>
        <v>0.32335643567857475</v>
      </c>
      <c r="O25" s="645"/>
      <c r="P25" s="645">
        <f>'LCC results'!G59</f>
        <v>11405.304796</v>
      </c>
      <c r="Q25" s="645">
        <f t="shared" si="26"/>
        <v>13082.568170786421</v>
      </c>
      <c r="R25" s="645">
        <f t="shared" si="27"/>
        <v>15699.081804943704</v>
      </c>
      <c r="T25" s="645">
        <f t="shared" ref="T25:T30" si="35">P25+$L25</f>
        <v>13864.601163121399</v>
      </c>
      <c r="U25" s="645">
        <f t="shared" si="28"/>
        <v>15541.864537907819</v>
      </c>
      <c r="V25" s="645">
        <f t="shared" si="29"/>
        <v>18158.378172065102</v>
      </c>
      <c r="X25" s="645">
        <f t="shared" ref="X25:X30" si="36">T25-T$24</f>
        <v>329.36197312139848</v>
      </c>
      <c r="Y25" s="645">
        <f t="shared" ref="Y25:Y30" si="37">U25-U$24</f>
        <v>289.42689440620961</v>
      </c>
      <c r="Z25" s="645">
        <f t="shared" ref="Z25:Z30" si="38">V25-V$24</f>
        <v>227.12858186316953</v>
      </c>
    </row>
    <row r="26" spans="1:26" ht="15">
      <c r="A26" s="624" t="s">
        <v>133</v>
      </c>
      <c r="B26" s="634">
        <f>'LCC results'!E60</f>
        <v>2008.573856</v>
      </c>
      <c r="C26" s="645">
        <f>'Equipment Price'!$L$57/'Revised Equipment Price'!$B$23</f>
        <v>16.23298453119143</v>
      </c>
      <c r="D26" s="645">
        <f>'Equipment Price'!$L$67/'Revised Equipment Price'!$B$23</f>
        <v>100.30502443847674</v>
      </c>
      <c r="E26" s="645">
        <f>SUM(C26:D26)*'Markups &amp; Distribution Channels'!$G$10</f>
        <v>168.93398726206863</v>
      </c>
      <c r="F26" s="645">
        <f t="shared" si="31"/>
        <v>1839.6398687379315</v>
      </c>
      <c r="H26" s="645">
        <f>'Equipment Price'!$L$57/'Revised Equipment Price'!$L$23</f>
        <v>71.971858856252808</v>
      </c>
      <c r="I26" s="645">
        <f>'Equipment Price'!$L$67/'Revised Equipment Price'!$L$23</f>
        <v>444.72038075238555</v>
      </c>
      <c r="J26" s="645">
        <f t="shared" si="32"/>
        <v>516.69223960863837</v>
      </c>
      <c r="K26" s="645">
        <f>J26*'Markups &amp; Distribution Channels'!$G$10</f>
        <v>748.99924064408845</v>
      </c>
      <c r="L26" s="645">
        <f t="shared" si="33"/>
        <v>2588.6391093820198</v>
      </c>
      <c r="M26" s="645">
        <f t="shared" si="7"/>
        <v>580.06525338201982</v>
      </c>
      <c r="N26" s="653">
        <f t="shared" si="34"/>
        <v>0.39295624181306588</v>
      </c>
      <c r="O26" s="645"/>
      <c r="P26" s="645">
        <f>'LCC results'!G60</f>
        <v>11377.329733999999</v>
      </c>
      <c r="Q26" s="645">
        <f t="shared" si="26"/>
        <v>13050.479098004662</v>
      </c>
      <c r="R26" s="645">
        <f t="shared" si="27"/>
        <v>15660.574917605594</v>
      </c>
      <c r="T26" s="645">
        <f t="shared" si="35"/>
        <v>13965.968843382019</v>
      </c>
      <c r="U26" s="645">
        <f t="shared" si="28"/>
        <v>15639.118207386682</v>
      </c>
      <c r="V26" s="645">
        <f t="shared" si="29"/>
        <v>18249.214026987614</v>
      </c>
      <c r="X26" s="645">
        <f t="shared" si="36"/>
        <v>430.72965338201902</v>
      </c>
      <c r="Y26" s="645">
        <f t="shared" si="37"/>
        <v>386.68056388507284</v>
      </c>
      <c r="Z26" s="645">
        <f t="shared" si="38"/>
        <v>317.96443678568176</v>
      </c>
    </row>
    <row r="27" spans="1:26" ht="15">
      <c r="A27" s="624" t="s">
        <v>134</v>
      </c>
      <c r="B27" s="634">
        <f>'LCC results'!E61</f>
        <v>2036.0769769999999</v>
      </c>
      <c r="C27" s="645">
        <f>'Equipment Price'!$M$57/'Revised Equipment Price'!$B$23</f>
        <v>20.067056461158298</v>
      </c>
      <c r="D27" s="645">
        <f>'Equipment Price'!$M$67/'Revised Equipment Price'!$B$23</f>
        <v>115.57306817518011</v>
      </c>
      <c r="E27" s="645">
        <f>SUM(C27:D27)*'Markups &amp; Distribution Channels'!$G$10</f>
        <v>196.62449436135961</v>
      </c>
      <c r="F27" s="645">
        <f t="shared" si="31"/>
        <v>1839.4524826386403</v>
      </c>
      <c r="H27" s="645">
        <f>'Equipment Price'!$M$57/'Revised Equipment Price'!$L$23</f>
        <v>88.970906890708321</v>
      </c>
      <c r="I27" s="645">
        <f>'Equipment Price'!$M$67/'Revised Equipment Price'!$L$23</f>
        <v>512.41400090693253</v>
      </c>
      <c r="J27" s="645">
        <f t="shared" si="32"/>
        <v>601.38490779764084</v>
      </c>
      <c r="K27" s="645">
        <f>J27*'Markups &amp; Distribution Channels'!$G$10</f>
        <v>871.77008816007276</v>
      </c>
      <c r="L27" s="645">
        <f t="shared" si="33"/>
        <v>2711.2225707987131</v>
      </c>
      <c r="M27" s="645">
        <f t="shared" si="7"/>
        <v>675.14559379871321</v>
      </c>
      <c r="N27" s="653">
        <f t="shared" si="34"/>
        <v>0.4589188540229221</v>
      </c>
      <c r="O27" s="645"/>
      <c r="P27" s="645">
        <f>'LCC results'!G61</f>
        <v>11216.324943</v>
      </c>
      <c r="Q27" s="645">
        <f t="shared" si="26"/>
        <v>12865.796953006709</v>
      </c>
      <c r="R27" s="645">
        <f t="shared" si="27"/>
        <v>15438.95634360805</v>
      </c>
      <c r="T27" s="645">
        <f t="shared" si="35"/>
        <v>13927.547513798712</v>
      </c>
      <c r="U27" s="645">
        <f t="shared" si="28"/>
        <v>15577.019523805422</v>
      </c>
      <c r="V27" s="645">
        <f t="shared" si="29"/>
        <v>18150.178914406762</v>
      </c>
      <c r="X27" s="645">
        <f t="shared" si="36"/>
        <v>392.30832379871208</v>
      </c>
      <c r="Y27" s="645">
        <f t="shared" si="37"/>
        <v>324.5818803038128</v>
      </c>
      <c r="Z27" s="645">
        <f t="shared" si="38"/>
        <v>218.92932420482975</v>
      </c>
    </row>
    <row r="28" spans="1:26" ht="15">
      <c r="A28" s="624" t="s">
        <v>135</v>
      </c>
      <c r="B28" s="634">
        <f>'LCC results'!E62</f>
        <v>2072.1049619999999</v>
      </c>
      <c r="C28" s="645">
        <f>'Equipment Price'!$N$57/'Revised Equipment Price'!$B$23</f>
        <v>27.232511446917865</v>
      </c>
      <c r="D28" s="645">
        <f>'Equipment Price'!$N$67/'Revised Equipment Price'!$B$23</f>
        <v>136.44652473950882</v>
      </c>
      <c r="E28" s="645">
        <f>SUM(C28:D28)*'Markups &amp; Distribution Channels'!$G$10</f>
        <v>237.26981830779607</v>
      </c>
      <c r="F28" s="645">
        <f t="shared" si="31"/>
        <v>1834.8351436922039</v>
      </c>
      <c r="H28" s="645">
        <f>'Equipment Price'!$N$57/'Revised Equipment Price'!$L$23</f>
        <v>120.74024135197081</v>
      </c>
      <c r="I28" s="645">
        <f>'Equipment Price'!$N$67/'Revised Equipment Price'!$L$23</f>
        <v>604.96022780706551</v>
      </c>
      <c r="J28" s="645">
        <f t="shared" si="32"/>
        <v>725.70046915903629</v>
      </c>
      <c r="K28" s="645">
        <f>J28*'Markups &amp; Distribution Channels'!$G$10</f>
        <v>1051.9784480349092</v>
      </c>
      <c r="L28" s="645">
        <f t="shared" si="33"/>
        <v>2886.8135917271129</v>
      </c>
      <c r="M28" s="645">
        <f t="shared" si="7"/>
        <v>814.70862972711302</v>
      </c>
      <c r="N28" s="653">
        <f t="shared" si="34"/>
        <v>0.55340502929628177</v>
      </c>
      <c r="O28" s="645"/>
      <c r="P28" s="645">
        <f>'LCC results'!G62</f>
        <v>11102.884898</v>
      </c>
      <c r="Q28" s="645">
        <f t="shared" si="26"/>
        <v>12735.674422433913</v>
      </c>
      <c r="R28" s="645">
        <f t="shared" si="27"/>
        <v>15282.809306920695</v>
      </c>
      <c r="T28" s="645">
        <f t="shared" si="35"/>
        <v>13989.698489727114</v>
      </c>
      <c r="U28" s="645">
        <f t="shared" si="28"/>
        <v>15622.488014161027</v>
      </c>
      <c r="V28" s="645">
        <f t="shared" si="29"/>
        <v>18169.622898647809</v>
      </c>
      <c r="X28" s="645">
        <f t="shared" si="36"/>
        <v>454.45929972711383</v>
      </c>
      <c r="Y28" s="645">
        <f t="shared" si="37"/>
        <v>370.05037065941724</v>
      </c>
      <c r="Z28" s="645">
        <f t="shared" si="38"/>
        <v>238.37330844587632</v>
      </c>
    </row>
    <row r="29" spans="1:26" ht="15">
      <c r="A29" s="624" t="s">
        <v>136</v>
      </c>
      <c r="B29" s="634">
        <f>'LCC results'!E63</f>
        <v>2148.7399369999998</v>
      </c>
      <c r="C29" s="645">
        <f>'Equipment Price'!$O$57/'Revised Equipment Price'!$B$23</f>
        <v>34.268932674905308</v>
      </c>
      <c r="D29" s="645">
        <f>'Equipment Price'!$O$67/'Revised Equipment Price'!$B$23</f>
        <v>162.6216823672323</v>
      </c>
      <c r="E29" s="645">
        <f>SUM(C29:D29)*'Markups &amp; Distribution Channels'!$G$10</f>
        <v>285.41346250566579</v>
      </c>
      <c r="F29" s="645">
        <f t="shared" si="31"/>
        <v>1863.326474494334</v>
      </c>
      <c r="H29" s="645">
        <f>'Equipment Price'!$O$57/'Revised Equipment Price'!$L$23</f>
        <v>151.93748142207417</v>
      </c>
      <c r="I29" s="645">
        <f>'Equipment Price'!$O$67/'Revised Equipment Price'!$L$23</f>
        <v>721.01250067795058</v>
      </c>
      <c r="J29" s="645">
        <f t="shared" si="32"/>
        <v>872.94998210002473</v>
      </c>
      <c r="K29" s="645">
        <f>J29*'Markups &amp; Distribution Channels'!$G$10</f>
        <v>1265.4319604421205</v>
      </c>
      <c r="L29" s="645">
        <f t="shared" si="33"/>
        <v>3128.7584349364543</v>
      </c>
      <c r="M29" s="645">
        <f t="shared" si="7"/>
        <v>980.01849793645442</v>
      </c>
      <c r="N29" s="653">
        <f t="shared" si="34"/>
        <v>0.68359644079952187</v>
      </c>
      <c r="O29" s="645"/>
      <c r="P29" s="645">
        <f>'LCC results'!G63</f>
        <v>11071.263552999999</v>
      </c>
      <c r="Q29" s="645">
        <f t="shared" si="26"/>
        <v>12699.402844513474</v>
      </c>
      <c r="R29" s="645">
        <f t="shared" si="27"/>
        <v>15239.283413416168</v>
      </c>
      <c r="T29" s="645">
        <f t="shared" si="35"/>
        <v>14200.021987936452</v>
      </c>
      <c r="U29" s="645">
        <f t="shared" si="28"/>
        <v>15828.161279449927</v>
      </c>
      <c r="V29" s="645">
        <f t="shared" si="29"/>
        <v>18368.041848352623</v>
      </c>
      <c r="X29" s="645">
        <f t="shared" si="36"/>
        <v>664.78279793645197</v>
      </c>
      <c r="Y29" s="645">
        <f t="shared" si="37"/>
        <v>575.72363594831768</v>
      </c>
      <c r="Z29" s="645">
        <f t="shared" si="38"/>
        <v>436.79225815069003</v>
      </c>
    </row>
    <row r="30" spans="1:26" ht="15">
      <c r="A30" s="624" t="s">
        <v>137</v>
      </c>
      <c r="B30" s="634">
        <f>'LCC results'!E64</f>
        <v>2342.2041170000002</v>
      </c>
      <c r="C30" s="645">
        <f>'Equipment Price'!$P$57/'Revised Equipment Price'!$B$23</f>
        <v>94.01321907366092</v>
      </c>
      <c r="D30" s="645">
        <f>'Equipment Price'!$P$67/'Revised Equipment Price'!$B$23</f>
        <v>218.31881523093347</v>
      </c>
      <c r="E30" s="645">
        <f>SUM(C30:D30)*'Markups &amp; Distribution Channels'!$G$10</f>
        <v>452.75782872248408</v>
      </c>
      <c r="F30" s="645">
        <f t="shared" si="31"/>
        <v>1889.446288277516</v>
      </c>
      <c r="H30" s="645">
        <f>'Equipment Price'!$P$57/'Revised Equipment Price'!$L$23</f>
        <v>416.82452914250894</v>
      </c>
      <c r="I30" s="645">
        <f>'Equipment Price'!$P$67/'Revised Equipment Price'!$L$23</f>
        <v>967.95576471308516</v>
      </c>
      <c r="J30" s="645">
        <f t="shared" si="32"/>
        <v>1384.7802938555942</v>
      </c>
      <c r="K30" s="645">
        <f>J30*'Markups &amp; Distribution Channels'!$G$10</f>
        <v>2007.3833300503034</v>
      </c>
      <c r="L30" s="645">
        <f t="shared" si="33"/>
        <v>3896.8296183278194</v>
      </c>
      <c r="M30" s="645">
        <f t="shared" si="7"/>
        <v>1554.6255013278192</v>
      </c>
      <c r="N30" s="653">
        <f t="shared" si="34"/>
        <v>1.0968983743074192</v>
      </c>
      <c r="O30" s="645"/>
      <c r="P30" s="645">
        <f>'LCC results'!G64</f>
        <v>10492.141323</v>
      </c>
      <c r="Q30" s="645">
        <f t="shared" si="26"/>
        <v>12035.114937376613</v>
      </c>
      <c r="R30" s="645">
        <f t="shared" si="27"/>
        <v>14442.137924851935</v>
      </c>
      <c r="T30" s="645">
        <f t="shared" si="35"/>
        <v>14388.97094132782</v>
      </c>
      <c r="U30" s="645">
        <f t="shared" si="28"/>
        <v>15931.944555704433</v>
      </c>
      <c r="V30" s="645">
        <f t="shared" si="29"/>
        <v>18338.967543179755</v>
      </c>
      <c r="X30" s="645">
        <f t="shared" si="36"/>
        <v>853.73175132781944</v>
      </c>
      <c r="Y30" s="645">
        <f t="shared" si="37"/>
        <v>679.50691220282351</v>
      </c>
      <c r="Z30" s="645">
        <f t="shared" si="38"/>
        <v>407.71795297782228</v>
      </c>
    </row>
    <row r="33" spans="13:26" ht="45">
      <c r="N33" s="655" t="s">
        <v>491</v>
      </c>
      <c r="P33" s="756" t="s">
        <v>660</v>
      </c>
      <c r="Q33" s="756"/>
      <c r="R33" s="756"/>
      <c r="S33" s="624"/>
      <c r="T33" s="756" t="s">
        <v>60</v>
      </c>
      <c r="U33" s="756"/>
      <c r="V33" s="756"/>
      <c r="W33" s="624"/>
      <c r="X33" s="756" t="s">
        <v>643</v>
      </c>
      <c r="Y33" s="756"/>
      <c r="Z33" s="756"/>
    </row>
    <row r="34" spans="13:26" ht="15">
      <c r="P34" s="655" t="s">
        <v>652</v>
      </c>
      <c r="Q34" s="655" t="s">
        <v>661</v>
      </c>
      <c r="R34" s="655" t="s">
        <v>662</v>
      </c>
      <c r="S34" s="655"/>
      <c r="T34" s="655" t="s">
        <v>652</v>
      </c>
      <c r="U34" s="655" t="s">
        <v>661</v>
      </c>
      <c r="V34" s="655" t="s">
        <v>662</v>
      </c>
      <c r="W34" s="655"/>
      <c r="X34" s="655" t="s">
        <v>652</v>
      </c>
      <c r="Y34" s="655" t="s">
        <v>661</v>
      </c>
      <c r="Z34" s="655" t="s">
        <v>662</v>
      </c>
    </row>
    <row r="35" spans="13:26" ht="15">
      <c r="M35" s="624" t="s">
        <v>652</v>
      </c>
      <c r="N35" s="645">
        <f>L5</f>
        <v>1673.5319219999999</v>
      </c>
      <c r="P35" s="645">
        <f>P5</f>
        <v>4173.3170469999995</v>
      </c>
      <c r="Q35" s="645">
        <f>Q5</f>
        <v>4787.0447780431741</v>
      </c>
      <c r="R35" s="645">
        <f t="shared" ref="R35:V35" si="39">R5</f>
        <v>5744.4537336518088</v>
      </c>
      <c r="S35" s="645"/>
      <c r="T35" s="645">
        <f t="shared" si="39"/>
        <v>5846.8489689999997</v>
      </c>
      <c r="U35" s="645">
        <f t="shared" si="39"/>
        <v>6460.5767000431742</v>
      </c>
      <c r="V35" s="645">
        <f t="shared" si="39"/>
        <v>7417.9856556518089</v>
      </c>
      <c r="W35" s="645"/>
      <c r="X35" s="645"/>
      <c r="Y35" s="645"/>
      <c r="Z35" s="645"/>
    </row>
    <row r="36" spans="13:26" ht="15">
      <c r="M36" s="624" t="s">
        <v>667</v>
      </c>
      <c r="N36" s="645">
        <f>L10</f>
        <v>1846.9998287012004</v>
      </c>
      <c r="P36" s="645">
        <f>P10</f>
        <v>3945.1386030000003</v>
      </c>
      <c r="Q36" s="645">
        <f t="shared" ref="Q36:Z36" si="40">Q10</f>
        <v>4525.3104270435497</v>
      </c>
      <c r="R36" s="645">
        <f t="shared" si="40"/>
        <v>5430.3725124522598</v>
      </c>
      <c r="S36" s="645"/>
      <c r="T36" s="645">
        <f t="shared" si="40"/>
        <v>5792.1384317012007</v>
      </c>
      <c r="U36" s="645">
        <f t="shared" si="40"/>
        <v>6372.3102557447501</v>
      </c>
      <c r="V36" s="645">
        <f t="shared" si="40"/>
        <v>7277.3723411534602</v>
      </c>
      <c r="W36" s="645"/>
      <c r="X36" s="645">
        <f t="shared" si="40"/>
        <v>-54.710537298798954</v>
      </c>
      <c r="Y36" s="645">
        <f t="shared" si="40"/>
        <v>-88.266444298424176</v>
      </c>
      <c r="Z36" s="645">
        <f t="shared" si="40"/>
        <v>-140.6133144983487</v>
      </c>
    </row>
  </sheetData>
  <mergeCells count="7">
    <mergeCell ref="P33:R33"/>
    <mergeCell ref="T33:V33"/>
    <mergeCell ref="X33:Z33"/>
    <mergeCell ref="B2:F2"/>
    <mergeCell ref="P2:R2"/>
    <mergeCell ref="T2:V2"/>
    <mergeCell ref="X2:Z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B1:Q82"/>
  <sheetViews>
    <sheetView zoomScale="115" zoomScaleNormal="115" zoomScalePageLayoutView="115" workbookViewId="0">
      <selection activeCell="D13" sqref="D13"/>
    </sheetView>
  </sheetViews>
  <sheetFormatPr defaultColWidth="8.77734375" defaultRowHeight="12" customHeight="1"/>
  <cols>
    <col min="1" max="1" width="2.6640625" style="207" customWidth="1"/>
    <col min="2" max="2" width="7" style="207" bestFit="1" customWidth="1"/>
    <col min="3" max="3" width="9.109375" style="207" bestFit="1" customWidth="1"/>
    <col min="4" max="4" width="9" style="207" customWidth="1"/>
    <col min="5" max="5" width="8.77734375" style="207"/>
    <col min="6" max="6" width="4.44140625" style="207" bestFit="1" customWidth="1"/>
    <col min="7" max="7" width="11.44140625" style="207" customWidth="1"/>
    <col min="8" max="8" width="14.6640625" style="207" customWidth="1"/>
    <col min="9" max="16384" width="8.77734375" style="207"/>
  </cols>
  <sheetData>
    <row r="1" spans="2:17" s="200" customFormat="1" ht="12" customHeight="1">
      <c r="B1" s="201" t="s">
        <v>46</v>
      </c>
    </row>
    <row r="2" spans="2:17" s="202" customFormat="1" ht="12" customHeight="1">
      <c r="C2" s="203"/>
    </row>
    <row r="3" spans="2:17" ht="12" customHeight="1">
      <c r="B3" s="662" t="s">
        <v>453</v>
      </c>
      <c r="C3" s="662"/>
      <c r="D3" s="662"/>
      <c r="F3" s="662" t="s">
        <v>238</v>
      </c>
      <c r="G3" s="662"/>
      <c r="H3" s="662"/>
      <c r="J3" s="722" t="s">
        <v>63</v>
      </c>
      <c r="K3" s="722"/>
      <c r="L3" s="722"/>
      <c r="M3" s="722"/>
      <c r="N3" s="722"/>
      <c r="O3" s="722"/>
      <c r="P3" s="722"/>
      <c r="Q3" s="722"/>
    </row>
    <row r="4" spans="2:17" ht="12" customHeight="1">
      <c r="B4" s="495"/>
      <c r="C4" s="204" t="s">
        <v>239</v>
      </c>
      <c r="D4" s="204" t="s">
        <v>35</v>
      </c>
      <c r="F4" s="205" t="s">
        <v>33</v>
      </c>
      <c r="G4" s="210" t="s">
        <v>239</v>
      </c>
      <c r="H4" s="210" t="s">
        <v>35</v>
      </c>
      <c r="J4" s="758" t="s">
        <v>513</v>
      </c>
      <c r="K4" s="758"/>
      <c r="L4" s="758"/>
      <c r="M4" s="758"/>
      <c r="N4" s="758"/>
      <c r="O4" s="758"/>
      <c r="P4" s="758"/>
      <c r="Q4" s="758"/>
    </row>
    <row r="5" spans="2:17" ht="12" customHeight="1">
      <c r="B5" s="494" t="s">
        <v>404</v>
      </c>
      <c r="C5" s="492">
        <v>8.3623535689969261E-2</v>
      </c>
      <c r="D5" s="492">
        <v>0.10503439265406768</v>
      </c>
      <c r="F5" s="206">
        <v>2022</v>
      </c>
      <c r="G5" s="501">
        <v>1.0344891493700261</v>
      </c>
      <c r="H5" s="501">
        <v>1.0629067619469394</v>
      </c>
      <c r="J5" s="758"/>
      <c r="K5" s="758"/>
      <c r="L5" s="758"/>
      <c r="M5" s="758"/>
      <c r="N5" s="758"/>
      <c r="O5" s="758"/>
      <c r="P5" s="758"/>
      <c r="Q5" s="758"/>
    </row>
    <row r="6" spans="2:17" ht="12" customHeight="1">
      <c r="B6" s="496" t="s">
        <v>405</v>
      </c>
      <c r="C6" s="492">
        <v>9.8368748504867223E-2</v>
      </c>
      <c r="D6" s="492">
        <v>0.12321342215188708</v>
      </c>
      <c r="F6" s="206">
        <v>2023</v>
      </c>
      <c r="G6" s="501">
        <f t="shared" ref="G6:G69" si="0">G5*(1+C$10)</f>
        <v>1.04270621912973</v>
      </c>
      <c r="H6" s="501">
        <f t="shared" ref="H6:H69" si="1">H5*(1+D$10)</f>
        <v>1.0690550969664352</v>
      </c>
      <c r="J6" s="758"/>
      <c r="K6" s="758"/>
      <c r="L6" s="758"/>
      <c r="M6" s="758"/>
      <c r="N6" s="758"/>
      <c r="O6" s="758"/>
      <c r="P6" s="758"/>
      <c r="Q6" s="758"/>
    </row>
    <row r="7" spans="2:17" ht="18" customHeight="1">
      <c r="B7" s="757" t="s">
        <v>385</v>
      </c>
      <c r="C7" s="757"/>
      <c r="D7" s="757"/>
      <c r="F7" s="206">
        <v>2024</v>
      </c>
      <c r="G7" s="501">
        <f t="shared" si="0"/>
        <v>1.0509885580471403</v>
      </c>
      <c r="H7" s="501">
        <f t="shared" si="1"/>
        <v>1.0752389967455742</v>
      </c>
      <c r="J7" s="758"/>
      <c r="K7" s="758"/>
      <c r="L7" s="758"/>
      <c r="M7" s="758"/>
      <c r="N7" s="758"/>
      <c r="O7" s="758"/>
      <c r="P7" s="758"/>
      <c r="Q7" s="758"/>
    </row>
    <row r="8" spans="2:17" ht="12" customHeight="1">
      <c r="B8" s="757"/>
      <c r="C8" s="757"/>
      <c r="D8" s="757"/>
      <c r="F8" s="206">
        <v>2025</v>
      </c>
      <c r="G8" s="501">
        <f t="shared" si="0"/>
        <v>1.0593366845629022</v>
      </c>
      <c r="H8" s="501">
        <f t="shared" si="1"/>
        <v>1.0814586670070643</v>
      </c>
      <c r="J8" s="758"/>
      <c r="K8" s="758"/>
      <c r="L8" s="758"/>
      <c r="M8" s="758"/>
      <c r="N8" s="758"/>
      <c r="O8" s="758"/>
      <c r="P8" s="758"/>
      <c r="Q8" s="758"/>
    </row>
    <row r="9" spans="2:17" ht="12" customHeight="1">
      <c r="B9" s="495"/>
      <c r="C9" s="436" t="s">
        <v>239</v>
      </c>
      <c r="D9" s="436" t="s">
        <v>35</v>
      </c>
      <c r="F9" s="206">
        <v>2026</v>
      </c>
      <c r="G9" s="501">
        <f t="shared" si="0"/>
        <v>1.0677511212356965</v>
      </c>
      <c r="H9" s="501">
        <f t="shared" si="1"/>
        <v>1.0877143146636068</v>
      </c>
      <c r="J9" s="758"/>
      <c r="K9" s="758"/>
      <c r="L9" s="758"/>
      <c r="M9" s="758"/>
      <c r="N9" s="758"/>
      <c r="O9" s="758"/>
      <c r="P9" s="758"/>
      <c r="Q9" s="758"/>
    </row>
    <row r="10" spans="2:17" ht="12" customHeight="1">
      <c r="B10" s="494"/>
      <c r="C10" s="493">
        <v>7.9431183639846626E-3</v>
      </c>
      <c r="D10" s="493">
        <v>5.7844537635959687E-3</v>
      </c>
      <c r="F10" s="206">
        <v>2027</v>
      </c>
      <c r="G10" s="501">
        <f t="shared" si="0"/>
        <v>1.076232394774949</v>
      </c>
      <c r="H10" s="501">
        <f t="shared" si="1"/>
        <v>1.09400614782478</v>
      </c>
      <c r="J10" s="758"/>
      <c r="K10" s="758"/>
      <c r="L10" s="758"/>
      <c r="M10" s="758"/>
      <c r="N10" s="758"/>
      <c r="O10" s="758"/>
      <c r="P10" s="758"/>
      <c r="Q10" s="758"/>
    </row>
    <row r="11" spans="2:17" ht="12" customHeight="1">
      <c r="B11" s="207" t="s">
        <v>644</v>
      </c>
      <c r="C11" s="211"/>
      <c r="D11" s="211">
        <v>0.14380000000000001</v>
      </c>
      <c r="F11" s="206">
        <v>2028</v>
      </c>
      <c r="G11" s="501">
        <f t="shared" si="0"/>
        <v>1.0847810360738011</v>
      </c>
      <c r="H11" s="501">
        <f t="shared" si="1"/>
        <v>1.1003343758039623</v>
      </c>
      <c r="J11" s="758"/>
      <c r="K11" s="758"/>
      <c r="L11" s="758"/>
      <c r="M11" s="758"/>
      <c r="N11" s="758"/>
      <c r="O11" s="758"/>
      <c r="P11" s="758"/>
      <c r="Q11" s="758"/>
    </row>
    <row r="12" spans="2:17" ht="12" customHeight="1">
      <c r="B12" s="207" t="s">
        <v>645</v>
      </c>
      <c r="D12" s="650">
        <f>D6*(1+D10)^3</f>
        <v>0.12536398115831193</v>
      </c>
      <c r="F12" s="206">
        <v>2029</v>
      </c>
      <c r="G12" s="501">
        <f t="shared" si="0"/>
        <v>1.0933975802423412</v>
      </c>
      <c r="H12" s="501">
        <f t="shared" si="1"/>
        <v>1.1066992091252956</v>
      </c>
      <c r="J12" s="758"/>
      <c r="K12" s="758"/>
      <c r="L12" s="758"/>
      <c r="M12" s="758"/>
      <c r="N12" s="758"/>
      <c r="O12" s="758"/>
      <c r="P12" s="758"/>
      <c r="Q12" s="758"/>
    </row>
    <row r="13" spans="2:17" ht="12" customHeight="1">
      <c r="B13" s="207" t="s">
        <v>646</v>
      </c>
      <c r="D13" s="650">
        <f>D11/D12</f>
        <v>1.1470599343714742</v>
      </c>
      <c r="F13" s="206">
        <v>2030</v>
      </c>
      <c r="G13" s="501">
        <f t="shared" si="0"/>
        <v>1.1020825666411005</v>
      </c>
      <c r="H13" s="501">
        <f t="shared" si="1"/>
        <v>1.1131008595306893</v>
      </c>
      <c r="J13" s="758"/>
      <c r="K13" s="758"/>
      <c r="L13" s="758"/>
      <c r="M13" s="758"/>
      <c r="N13" s="758"/>
      <c r="O13" s="758"/>
      <c r="P13" s="758"/>
      <c r="Q13" s="758"/>
    </row>
    <row r="14" spans="2:17" ht="12" customHeight="1">
      <c r="F14" s="206">
        <v>2031</v>
      </c>
      <c r="G14" s="501">
        <f t="shared" si="0"/>
        <v>1.1108365389148147</v>
      </c>
      <c r="H14" s="501">
        <f t="shared" si="1"/>
        <v>1.1195395399868635</v>
      </c>
    </row>
    <row r="15" spans="2:17" ht="12" customHeight="1">
      <c r="D15" s="614"/>
      <c r="F15" s="206">
        <v>2032</v>
      </c>
      <c r="G15" s="501">
        <f t="shared" si="0"/>
        <v>1.1196600450264542</v>
      </c>
      <c r="H15" s="501">
        <f t="shared" si="1"/>
        <v>1.1260154646924352</v>
      </c>
    </row>
    <row r="16" spans="2:17" ht="12" customHeight="1">
      <c r="F16" s="206">
        <v>2033</v>
      </c>
      <c r="G16" s="501">
        <f t="shared" si="0"/>
        <v>1.1285536372915237</v>
      </c>
      <c r="H16" s="501">
        <f t="shared" si="1"/>
        <v>1.1325288490850427</v>
      </c>
    </row>
    <row r="17" spans="3:12" ht="12" customHeight="1">
      <c r="F17" s="206">
        <v>2034</v>
      </c>
      <c r="G17" s="501">
        <f t="shared" si="0"/>
        <v>1.1375178724126356</v>
      </c>
      <c r="H17" s="501">
        <f t="shared" si="1"/>
        <v>1.1390799098485138</v>
      </c>
    </row>
    <row r="18" spans="3:12" ht="12" customHeight="1">
      <c r="F18" s="206">
        <v>2035</v>
      </c>
      <c r="G18" s="501">
        <f t="shared" si="0"/>
        <v>1.1465533115143571</v>
      </c>
      <c r="H18" s="501">
        <f t="shared" si="1"/>
        <v>1.1456688649200737</v>
      </c>
    </row>
    <row r="19" spans="3:12" ht="12" customHeight="1">
      <c r="F19" s="206">
        <v>2036</v>
      </c>
      <c r="G19" s="501">
        <f t="shared" si="0"/>
        <v>1.1556605201783343</v>
      </c>
      <c r="H19" s="501">
        <f t="shared" si="1"/>
        <v>1.1522959334975955</v>
      </c>
    </row>
    <row r="20" spans="3:12" ht="12" customHeight="1">
      <c r="C20" s="541"/>
      <c r="D20" s="541"/>
      <c r="F20" s="206">
        <v>2037</v>
      </c>
      <c r="G20" s="501">
        <f t="shared" si="0"/>
        <v>1.1648400684786948</v>
      </c>
      <c r="H20" s="501">
        <f t="shared" si="1"/>
        <v>1.158961336046892</v>
      </c>
    </row>
    <row r="21" spans="3:12" ht="12" customHeight="1">
      <c r="C21" s="541"/>
      <c r="D21" s="542"/>
      <c r="F21" s="206">
        <v>2038</v>
      </c>
      <c r="G21" s="501">
        <f t="shared" si="0"/>
        <v>1.174092531017733</v>
      </c>
      <c r="H21" s="501">
        <f t="shared" si="1"/>
        <v>1.1656652943090506</v>
      </c>
    </row>
    <row r="22" spans="3:12" ht="12" customHeight="1">
      <c r="F22" s="206">
        <v>2039</v>
      </c>
      <c r="G22" s="501">
        <f t="shared" si="0"/>
        <v>1.1834184869618771</v>
      </c>
      <c r="H22" s="501">
        <f t="shared" si="1"/>
        <v>1.17240803130781</v>
      </c>
    </row>
    <row r="23" spans="3:12" ht="12" customHeight="1">
      <c r="F23" s="206">
        <v>2040</v>
      </c>
      <c r="G23" s="501">
        <f t="shared" si="0"/>
        <v>1.1928185200779429</v>
      </c>
      <c r="H23" s="501">
        <f t="shared" si="1"/>
        <v>1.1791897713569788</v>
      </c>
    </row>
    <row r="24" spans="3:12" ht="12" customHeight="1">
      <c r="F24" s="206">
        <v>2041</v>
      </c>
      <c r="G24" s="501">
        <f t="shared" si="0"/>
        <v>1.2022932187696749</v>
      </c>
      <c r="H24" s="501">
        <f t="shared" si="1"/>
        <v>1.1860107400678985</v>
      </c>
    </row>
    <row r="25" spans="3:12" ht="12" customHeight="1">
      <c r="F25" s="206">
        <v>2042</v>
      </c>
      <c r="G25" s="501">
        <f t="shared" si="0"/>
        <v>1.2118431761145785</v>
      </c>
      <c r="H25" s="501">
        <f t="shared" si="1"/>
        <v>1.1928711643569496</v>
      </c>
    </row>
    <row r="26" spans="3:12" ht="12" customHeight="1">
      <c r="F26" s="206">
        <v>2043</v>
      </c>
      <c r="G26" s="501">
        <f t="shared" si="0"/>
        <v>1.2214689899010436</v>
      </c>
      <c r="H26" s="501">
        <f t="shared" si="1"/>
        <v>1.1997712724530993</v>
      </c>
    </row>
    <row r="27" spans="3:12" ht="12" customHeight="1">
      <c r="F27" s="206">
        <v>2044</v>
      </c>
      <c r="G27" s="501">
        <f t="shared" si="0"/>
        <v>1.2311712626657643</v>
      </c>
      <c r="H27" s="501">
        <f t="shared" si="1"/>
        <v>1.2067112939054951</v>
      </c>
    </row>
    <row r="28" spans="3:12" ht="12" customHeight="1">
      <c r="F28" s="206">
        <v>2045</v>
      </c>
      <c r="G28" s="501">
        <f t="shared" si="0"/>
        <v>1.2409506017314549</v>
      </c>
      <c r="H28" s="501">
        <f t="shared" si="1"/>
        <v>1.2136914595911006</v>
      </c>
    </row>
    <row r="29" spans="3:12" ht="12" customHeight="1">
      <c r="F29" s="206">
        <v>2046</v>
      </c>
      <c r="G29" s="501">
        <f t="shared" si="0"/>
        <v>1.2508076192448658</v>
      </c>
      <c r="H29" s="501">
        <f t="shared" si="1"/>
        <v>1.2207120017223767</v>
      </c>
    </row>
    <row r="30" spans="3:12" ht="12" customHeight="1">
      <c r="F30" s="206">
        <v>2047</v>
      </c>
      <c r="G30" s="501">
        <f t="shared" si="0"/>
        <v>1.2607429322151016</v>
      </c>
      <c r="H30" s="501">
        <f t="shared" si="1"/>
        <v>1.2277731538550065</v>
      </c>
      <c r="L30" s="208"/>
    </row>
    <row r="31" spans="3:12" ht="12" customHeight="1">
      <c r="F31" s="206">
        <v>2048</v>
      </c>
      <c r="G31" s="501">
        <f t="shared" si="0"/>
        <v>1.2707571625522431</v>
      </c>
      <c r="H31" s="501">
        <f t="shared" si="1"/>
        <v>1.2348751508956652</v>
      </c>
    </row>
    <row r="32" spans="3:12" ht="12" customHeight="1">
      <c r="F32" s="206">
        <v>2049</v>
      </c>
      <c r="G32" s="501">
        <f t="shared" si="0"/>
        <v>1.2808509371062768</v>
      </c>
      <c r="H32" s="501">
        <f t="shared" si="1"/>
        <v>1.2420182291098349</v>
      </c>
    </row>
    <row r="33" spans="6:8" ht="12" customHeight="1">
      <c r="F33" s="206">
        <v>2050</v>
      </c>
      <c r="G33" s="501">
        <f t="shared" si="0"/>
        <v>1.2910248877063326</v>
      </c>
      <c r="H33" s="501">
        <f t="shared" si="1"/>
        <v>1.2492026261296643</v>
      </c>
    </row>
    <row r="34" spans="6:8" ht="12" customHeight="1">
      <c r="F34" s="206">
        <v>2051</v>
      </c>
      <c r="G34" s="501">
        <f t="shared" si="0"/>
        <v>1.301279651200234</v>
      </c>
      <c r="H34" s="501">
        <f t="shared" si="1"/>
        <v>1.256428580961874</v>
      </c>
    </row>
    <row r="35" spans="6:8" ht="12" customHeight="1">
      <c r="F35" s="206">
        <v>2052</v>
      </c>
      <c r="G35" s="501">
        <f t="shared" si="0"/>
        <v>1.311615869494362</v>
      </c>
      <c r="H35" s="501">
        <f t="shared" si="1"/>
        <v>1.2636963339957086</v>
      </c>
    </row>
    <row r="36" spans="6:8" ht="12" customHeight="1">
      <c r="F36" s="206">
        <v>2053</v>
      </c>
      <c r="G36" s="501">
        <f t="shared" si="0"/>
        <v>1.3220341895938363</v>
      </c>
      <c r="H36" s="501">
        <f t="shared" si="1"/>
        <v>1.2710061270109325</v>
      </c>
    </row>
    <row r="37" spans="6:8" ht="12" customHeight="1">
      <c r="F37" s="206">
        <v>2054</v>
      </c>
      <c r="G37" s="501">
        <f t="shared" si="0"/>
        <v>1.3325352636430148</v>
      </c>
      <c r="H37" s="501">
        <f t="shared" si="1"/>
        <v>1.2783582031858745</v>
      </c>
    </row>
    <row r="38" spans="6:8" ht="12" customHeight="1">
      <c r="F38" s="206">
        <v>2055</v>
      </c>
      <c r="G38" s="501">
        <f t="shared" si="0"/>
        <v>1.3431197489663147</v>
      </c>
      <c r="H38" s="501">
        <f t="shared" si="1"/>
        <v>1.2857528071055169</v>
      </c>
    </row>
    <row r="39" spans="6:8" ht="12" customHeight="1">
      <c r="F39" s="206">
        <v>2056</v>
      </c>
      <c r="G39" s="501">
        <f t="shared" si="0"/>
        <v>1.3537883081093596</v>
      </c>
      <c r="H39" s="501">
        <f t="shared" si="1"/>
        <v>1.2931901847696325</v>
      </c>
    </row>
    <row r="40" spans="6:8" ht="12" customHeight="1">
      <c r="F40" s="206">
        <v>2057</v>
      </c>
      <c r="G40" s="501">
        <f t="shared" si="0"/>
        <v>1.3645416088804507</v>
      </c>
      <c r="H40" s="501">
        <f t="shared" si="1"/>
        <v>1.3006705836009687</v>
      </c>
    </row>
    <row r="41" spans="6:8" ht="12" customHeight="1">
      <c r="F41" s="206">
        <v>2058</v>
      </c>
      <c r="G41" s="501">
        <f t="shared" si="0"/>
        <v>1.3753803243923701</v>
      </c>
      <c r="H41" s="501">
        <f t="shared" si="1"/>
        <v>1.308194252453478</v>
      </c>
    </row>
    <row r="42" spans="6:8" ht="12" customHeight="1">
      <c r="F42" s="206">
        <v>2059</v>
      </c>
      <c r="G42" s="501">
        <f t="shared" si="0"/>
        <v>1.3863051331045144</v>
      </c>
      <c r="H42" s="501">
        <f t="shared" si="1"/>
        <v>1.3157614416205972</v>
      </c>
    </row>
    <row r="43" spans="6:8" ht="12" customHeight="1">
      <c r="F43" s="206">
        <v>2060</v>
      </c>
      <c r="G43" s="501">
        <f t="shared" si="0"/>
        <v>1.397316718865363</v>
      </c>
      <c r="H43" s="501">
        <f t="shared" si="1"/>
        <v>1.323372402843574</v>
      </c>
    </row>
    <row r="44" spans="6:8" ht="12" customHeight="1">
      <c r="F44" s="206">
        <v>2061</v>
      </c>
      <c r="G44" s="501">
        <f t="shared" si="0"/>
        <v>1.4084157709552854</v>
      </c>
      <c r="H44" s="501">
        <f t="shared" si="1"/>
        <v>1.3310273893198417</v>
      </c>
    </row>
    <row r="45" spans="6:8" ht="12" customHeight="1">
      <c r="F45" s="206">
        <v>2062</v>
      </c>
      <c r="G45" s="501">
        <f t="shared" si="0"/>
        <v>1.4196029841296858</v>
      </c>
      <c r="H45" s="501">
        <f t="shared" si="1"/>
        <v>1.3387266557114423</v>
      </c>
    </row>
    <row r="46" spans="6:8" ht="12" customHeight="1">
      <c r="F46" s="206">
        <v>2063</v>
      </c>
      <c r="G46" s="501">
        <f t="shared" si="0"/>
        <v>1.4308790586624938</v>
      </c>
      <c r="H46" s="501">
        <f t="shared" si="1"/>
        <v>1.3464704581534988</v>
      </c>
    </row>
    <row r="47" spans="6:8" ht="12" customHeight="1">
      <c r="F47" s="206">
        <v>2064</v>
      </c>
      <c r="G47" s="501">
        <f t="shared" si="0"/>
        <v>1.442244700389997</v>
      </c>
      <c r="H47" s="501">
        <f t="shared" si="1"/>
        <v>1.3542590542627357</v>
      </c>
    </row>
    <row r="48" spans="6:8" ht="12" customHeight="1">
      <c r="F48" s="206">
        <v>2065</v>
      </c>
      <c r="G48" s="501">
        <f t="shared" si="0"/>
        <v>1.4537006207550243</v>
      </c>
      <c r="H48" s="501">
        <f t="shared" si="1"/>
        <v>1.3620927031460499</v>
      </c>
    </row>
    <row r="49" spans="6:8" ht="12" customHeight="1">
      <c r="F49" s="206">
        <v>2066</v>
      </c>
      <c r="G49" s="501">
        <f t="shared" si="0"/>
        <v>1.4652475368514795</v>
      </c>
      <c r="H49" s="501">
        <f t="shared" si="1"/>
        <v>1.3699716654091298</v>
      </c>
    </row>
    <row r="50" spans="6:8" ht="12" customHeight="1">
      <c r="F50" s="206">
        <v>2067</v>
      </c>
      <c r="G50" s="501">
        <f t="shared" si="0"/>
        <v>1.4768861714692276</v>
      </c>
      <c r="H50" s="501">
        <f t="shared" si="1"/>
        <v>1.3778962031651256</v>
      </c>
    </row>
    <row r="51" spans="6:8" ht="12" customHeight="1">
      <c r="F51" s="206">
        <v>2068</v>
      </c>
      <c r="G51" s="501">
        <f t="shared" si="0"/>
        <v>1.4886172531393398</v>
      </c>
      <c r="H51" s="501">
        <f t="shared" si="1"/>
        <v>1.3858665800433689</v>
      </c>
    </row>
    <row r="52" spans="6:8" ht="12" customHeight="1">
      <c r="F52" s="206">
        <v>2069</v>
      </c>
      <c r="G52" s="501">
        <f t="shared" si="0"/>
        <v>1.5004415161796953</v>
      </c>
      <c r="H52" s="501">
        <f t="shared" si="1"/>
        <v>1.3938830611981428</v>
      </c>
    </row>
    <row r="53" spans="6:8" ht="12" customHeight="1">
      <c r="F53" s="206">
        <v>2070</v>
      </c>
      <c r="G53" s="501">
        <f t="shared" si="0"/>
        <v>1.5123597007409473</v>
      </c>
      <c r="H53" s="501">
        <f t="shared" si="1"/>
        <v>1.4019459133175032</v>
      </c>
    </row>
    <row r="54" spans="6:8" ht="12" customHeight="1">
      <c r="F54" s="206">
        <v>2071</v>
      </c>
      <c r="G54" s="501">
        <f t="shared" si="0"/>
        <v>1.5243725528528531</v>
      </c>
      <c r="H54" s="501">
        <f t="shared" si="1"/>
        <v>1.4100554046321507</v>
      </c>
    </row>
    <row r="55" spans="6:8" ht="12" customHeight="1">
      <c r="F55" s="206">
        <v>2072</v>
      </c>
      <c r="G55" s="501">
        <f t="shared" si="0"/>
        <v>1.5364808244709727</v>
      </c>
      <c r="H55" s="501">
        <f t="shared" si="1"/>
        <v>1.4182118049243542</v>
      </c>
    </row>
    <row r="56" spans="6:8" ht="12" customHeight="1">
      <c r="F56" s="206">
        <v>2073</v>
      </c>
      <c r="G56" s="501">
        <f t="shared" si="0"/>
        <v>1.5486852735237384</v>
      </c>
      <c r="H56" s="501">
        <f t="shared" si="1"/>
        <v>1.4264153855369253</v>
      </c>
    </row>
    <row r="57" spans="6:8" ht="12" customHeight="1">
      <c r="F57" s="206">
        <v>2074</v>
      </c>
      <c r="G57" s="501">
        <f t="shared" si="0"/>
        <v>1.5609866639598975</v>
      </c>
      <c r="H57" s="501">
        <f t="shared" si="1"/>
        <v>1.4346664193822456</v>
      </c>
    </row>
    <row r="58" spans="6:8" ht="12" customHeight="1">
      <c r="F58" s="206">
        <v>2075</v>
      </c>
      <c r="G58" s="501">
        <f t="shared" si="0"/>
        <v>1.5733857657963324</v>
      </c>
      <c r="H58" s="501">
        <f t="shared" si="1"/>
        <v>1.4429651809513462</v>
      </c>
    </row>
    <row r="59" spans="6:8" ht="12" customHeight="1">
      <c r="F59" s="206">
        <v>2076</v>
      </c>
      <c r="G59" s="501">
        <f t="shared" si="0"/>
        <v>1.5858833551662612</v>
      </c>
      <c r="H59" s="501">
        <f t="shared" si="1"/>
        <v>1.4513119463230382</v>
      </c>
    </row>
    <row r="60" spans="6:8" ht="12" customHeight="1">
      <c r="F60" s="206">
        <v>2077</v>
      </c>
      <c r="G60" s="501">
        <f t="shared" si="0"/>
        <v>1.5984802143678198</v>
      </c>
      <c r="H60" s="501">
        <f t="shared" si="1"/>
        <v>1.4597069931730984</v>
      </c>
    </row>
    <row r="61" spans="6:8" ht="12" customHeight="1">
      <c r="F61" s="206">
        <v>2078</v>
      </c>
      <c r="G61" s="501">
        <f t="shared" si="0"/>
        <v>1.611177131913031</v>
      </c>
      <c r="H61" s="501">
        <f t="shared" si="1"/>
        <v>1.4681506007835059</v>
      </c>
    </row>
    <row r="62" spans="6:8" ht="12" customHeight="1">
      <c r="F62" s="206">
        <v>2079</v>
      </c>
      <c r="G62" s="501">
        <f t="shared" si="0"/>
        <v>1.6239749025771615</v>
      </c>
      <c r="H62" s="501">
        <f t="shared" si="1"/>
        <v>1.4766430500517338</v>
      </c>
    </row>
    <row r="63" spans="6:8" ht="12" customHeight="1">
      <c r="F63" s="206">
        <v>2080</v>
      </c>
      <c r="G63" s="501">
        <f t="shared" si="0"/>
        <v>1.6368743274484723</v>
      </c>
      <c r="H63" s="501">
        <f t="shared" si="1"/>
        <v>1.4851846235000934</v>
      </c>
    </row>
    <row r="64" spans="6:8" ht="12" customHeight="1">
      <c r="F64" s="206">
        <v>2081</v>
      </c>
      <c r="G64" s="501">
        <f t="shared" si="0"/>
        <v>1.6498762139783631</v>
      </c>
      <c r="H64" s="501">
        <f t="shared" si="1"/>
        <v>1.4937756052851334</v>
      </c>
    </row>
    <row r="65" spans="6:8" ht="12" customHeight="1">
      <c r="F65" s="206">
        <v>2082</v>
      </c>
      <c r="G65" s="501">
        <f t="shared" si="0"/>
        <v>1.6629813760319161</v>
      </c>
      <c r="H65" s="501">
        <f t="shared" si="1"/>
        <v>1.5024162812070929</v>
      </c>
    </row>
    <row r="66" spans="6:8" ht="12" customHeight="1">
      <c r="F66" s="206">
        <v>2083</v>
      </c>
      <c r="G66" s="501">
        <f t="shared" si="0"/>
        <v>1.6761906339388397</v>
      </c>
      <c r="H66" s="501">
        <f t="shared" si="1"/>
        <v>1.5111069387194092</v>
      </c>
    </row>
    <row r="67" spans="6:8" ht="12" customHeight="1">
      <c r="F67" s="206">
        <v>2084</v>
      </c>
      <c r="G67" s="501">
        <f t="shared" si="0"/>
        <v>1.6895048145448184</v>
      </c>
      <c r="H67" s="501">
        <f t="shared" si="1"/>
        <v>1.5198478669382807</v>
      </c>
    </row>
    <row r="68" spans="6:8" ht="12" customHeight="1">
      <c r="F68" s="206">
        <v>2085</v>
      </c>
      <c r="G68" s="501">
        <f t="shared" si="0"/>
        <v>1.7029247512632697</v>
      </c>
      <c r="H68" s="501">
        <f t="shared" si="1"/>
        <v>1.5286393566522851</v>
      </c>
    </row>
    <row r="69" spans="6:8" ht="12" customHeight="1">
      <c r="F69" s="206">
        <v>2086</v>
      </c>
      <c r="G69" s="501">
        <f t="shared" si="0"/>
        <v>1.716451284127513</v>
      </c>
      <c r="H69" s="501">
        <f t="shared" si="1"/>
        <v>1.5374817003320536</v>
      </c>
    </row>
    <row r="70" spans="6:8" ht="12" customHeight="1">
      <c r="F70" s="206">
        <v>2087</v>
      </c>
      <c r="G70" s="501">
        <f t="shared" ref="G70:H82" si="2">G69*(1+C$10)</f>
        <v>1.7300852598433514</v>
      </c>
      <c r="H70" s="501">
        <f t="shared" si="2"/>
        <v>1.5463751921399993</v>
      </c>
    </row>
    <row r="71" spans="6:8" ht="12" customHeight="1">
      <c r="F71" s="206">
        <v>2088</v>
      </c>
      <c r="G71" s="501">
        <f t="shared" si="2"/>
        <v>1.7438275318420722</v>
      </c>
      <c r="H71" s="501">
        <f t="shared" si="2"/>
        <v>1.555320127940105</v>
      </c>
    </row>
    <row r="72" spans="6:8" ht="12" customHeight="1">
      <c r="F72" s="206">
        <v>2089</v>
      </c>
      <c r="G72" s="501">
        <f t="shared" si="2"/>
        <v>1.7576789603338689</v>
      </c>
      <c r="H72" s="501">
        <f t="shared" si="2"/>
        <v>1.5643168053077647</v>
      </c>
    </row>
    <row r="73" spans="6:8" ht="12" customHeight="1">
      <c r="F73" s="206">
        <v>2090</v>
      </c>
      <c r="G73" s="501">
        <f t="shared" si="2"/>
        <v>1.7716404123616862</v>
      </c>
      <c r="H73" s="501">
        <f t="shared" si="2"/>
        <v>1.5733655235396837</v>
      </c>
    </row>
    <row r="74" spans="6:8" ht="12" customHeight="1">
      <c r="F74" s="206">
        <v>2091</v>
      </c>
      <c r="G74" s="501">
        <f t="shared" si="2"/>
        <v>1.7857127618554938</v>
      </c>
      <c r="H74" s="501">
        <f t="shared" si="2"/>
        <v>1.5824665836638352</v>
      </c>
    </row>
    <row r="75" spans="6:8" ht="12" customHeight="1">
      <c r="F75" s="206">
        <v>2092</v>
      </c>
      <c r="G75" s="501">
        <f t="shared" si="2"/>
        <v>1.7998968896869898</v>
      </c>
      <c r="H75" s="501">
        <f t="shared" si="2"/>
        <v>1.5916202884494743</v>
      </c>
    </row>
    <row r="76" spans="6:8" ht="12" customHeight="1">
      <c r="F76" s="206">
        <v>2093</v>
      </c>
      <c r="G76" s="501">
        <f t="shared" si="2"/>
        <v>1.8141936837247414</v>
      </c>
      <c r="H76" s="501">
        <f t="shared" si="2"/>
        <v>1.6008269424172117</v>
      </c>
    </row>
    <row r="77" spans="6:8" ht="12" customHeight="1">
      <c r="F77" s="206">
        <v>2094</v>
      </c>
      <c r="G77" s="501">
        <f t="shared" si="2"/>
        <v>1.8286040388897604</v>
      </c>
      <c r="H77" s="501">
        <f t="shared" si="2"/>
        <v>1.6100868518491429</v>
      </c>
    </row>
    <row r="78" spans="6:8" ht="12" customHeight="1">
      <c r="F78" s="206">
        <v>2095</v>
      </c>
      <c r="G78" s="501">
        <f t="shared" si="2"/>
        <v>1.8431288572115221</v>
      </c>
      <c r="H78" s="501">
        <f t="shared" si="2"/>
        <v>1.6194003247990383</v>
      </c>
    </row>
    <row r="79" spans="6:8" ht="12" customHeight="1">
      <c r="F79" s="206">
        <v>2096</v>
      </c>
      <c r="G79" s="501">
        <f t="shared" si="2"/>
        <v>1.8577690478844289</v>
      </c>
      <c r="H79" s="501">
        <f t="shared" si="2"/>
        <v>1.6287676711025907</v>
      </c>
    </row>
    <row r="80" spans="6:8" ht="12" customHeight="1">
      <c r="F80" s="206">
        <v>2097</v>
      </c>
      <c r="G80" s="501">
        <f t="shared" si="2"/>
        <v>1.8725255273247219</v>
      </c>
      <c r="H80" s="501">
        <f t="shared" si="2"/>
        <v>1.6381892023877236</v>
      </c>
    </row>
    <row r="81" spans="6:8" ht="12" customHeight="1">
      <c r="F81" s="206">
        <v>2098</v>
      </c>
      <c r="G81" s="501">
        <f t="shared" si="2"/>
        <v>1.8873992192278448</v>
      </c>
      <c r="H81" s="501">
        <f t="shared" si="2"/>
        <v>1.6476652320849576</v>
      </c>
    </row>
    <row r="82" spans="6:8" ht="12" customHeight="1">
      <c r="F82" s="206">
        <v>2099</v>
      </c>
      <c r="G82" s="501">
        <f t="shared" si="2"/>
        <v>1.9023910546262639</v>
      </c>
      <c r="H82" s="501">
        <f t="shared" si="2"/>
        <v>1.6571960754378379</v>
      </c>
    </row>
  </sheetData>
  <mergeCells count="5">
    <mergeCell ref="F3:H3"/>
    <mergeCell ref="J3:Q3"/>
    <mergeCell ref="B3:D3"/>
    <mergeCell ref="B7:D8"/>
    <mergeCell ref="J4:Q1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H20"/>
  <sheetViews>
    <sheetView zoomScale="115" zoomScaleNormal="115" zoomScalePageLayoutView="115" workbookViewId="0">
      <selection activeCell="C4" sqref="C4"/>
    </sheetView>
  </sheetViews>
  <sheetFormatPr defaultColWidth="8.77734375" defaultRowHeight="12" customHeight="1"/>
  <cols>
    <col min="1" max="1" width="4.44140625" style="2" customWidth="1"/>
    <col min="2" max="2" width="11.6640625" style="2" bestFit="1" customWidth="1"/>
    <col min="3" max="3" width="22.44140625" style="2" bestFit="1" customWidth="1"/>
    <col min="4" max="4" width="23.77734375" style="2" bestFit="1" customWidth="1"/>
    <col min="5" max="16384" width="8.77734375" style="2"/>
  </cols>
  <sheetData>
    <row r="1" spans="1:8" s="5" customFormat="1" ht="12" customHeight="1">
      <c r="A1" s="355"/>
      <c r="B1" s="4" t="s">
        <v>3</v>
      </c>
    </row>
    <row r="3" spans="1:8" ht="27.75" customHeight="1">
      <c r="B3" s="1" t="s">
        <v>1</v>
      </c>
      <c r="C3" s="1" t="s">
        <v>116</v>
      </c>
      <c r="D3" s="1" t="s">
        <v>117</v>
      </c>
    </row>
    <row r="4" spans="1:8" ht="12" customHeight="1">
      <c r="B4" s="3" t="s">
        <v>35</v>
      </c>
      <c r="C4" s="480">
        <v>6.0317000000000003E-2</v>
      </c>
      <c r="D4" s="480">
        <v>1.10641E-2</v>
      </c>
    </row>
    <row r="5" spans="1:8" ht="12" customHeight="1">
      <c r="B5" s="3" t="s">
        <v>34</v>
      </c>
      <c r="C5" s="480">
        <v>6.003E-2</v>
      </c>
      <c r="D5" s="480">
        <v>1.08121E-2</v>
      </c>
    </row>
    <row r="8" spans="1:8" ht="12" customHeight="1">
      <c r="B8" s="759" t="s">
        <v>63</v>
      </c>
      <c r="C8" s="759"/>
      <c r="D8" s="759"/>
      <c r="E8" s="759"/>
      <c r="F8" s="759"/>
      <c r="G8" s="759"/>
      <c r="H8" s="759"/>
    </row>
    <row r="9" spans="1:8" ht="12" customHeight="1">
      <c r="B9" s="760" t="s">
        <v>514</v>
      </c>
      <c r="C9" s="760"/>
      <c r="D9" s="760"/>
      <c r="E9" s="760"/>
      <c r="F9" s="760"/>
      <c r="G9" s="760"/>
      <c r="H9" s="760"/>
    </row>
    <row r="10" spans="1:8" ht="12" customHeight="1">
      <c r="B10" s="760"/>
      <c r="C10" s="760"/>
      <c r="D10" s="760"/>
      <c r="E10" s="760"/>
      <c r="F10" s="760"/>
      <c r="G10" s="760"/>
      <c r="H10" s="760"/>
    </row>
    <row r="11" spans="1:8" ht="12" customHeight="1">
      <c r="B11" s="760"/>
      <c r="C11" s="760"/>
      <c r="D11" s="760"/>
      <c r="E11" s="760"/>
      <c r="F11" s="760"/>
      <c r="G11" s="760"/>
      <c r="H11" s="760"/>
    </row>
    <row r="12" spans="1:8" ht="12" customHeight="1">
      <c r="B12" s="760"/>
      <c r="C12" s="760"/>
      <c r="D12" s="760"/>
      <c r="E12" s="760"/>
      <c r="F12" s="760"/>
      <c r="G12" s="760"/>
      <c r="H12" s="760"/>
    </row>
    <row r="13" spans="1:8" ht="12" customHeight="1">
      <c r="B13" s="760"/>
      <c r="C13" s="760"/>
      <c r="D13" s="760"/>
      <c r="E13" s="760"/>
      <c r="F13" s="760"/>
      <c r="G13" s="760"/>
      <c r="H13" s="760"/>
    </row>
    <row r="14" spans="1:8" ht="12" customHeight="1">
      <c r="B14" s="760"/>
      <c r="C14" s="760"/>
      <c r="D14" s="760"/>
      <c r="E14" s="760"/>
      <c r="F14" s="760"/>
      <c r="G14" s="760"/>
      <c r="H14" s="760"/>
    </row>
    <row r="15" spans="1:8" ht="12" customHeight="1">
      <c r="B15" s="760"/>
      <c r="C15" s="760"/>
      <c r="D15" s="760"/>
      <c r="E15" s="760"/>
      <c r="F15" s="760"/>
      <c r="G15" s="760"/>
      <c r="H15" s="760"/>
    </row>
    <row r="16" spans="1:8" ht="12" customHeight="1">
      <c r="B16" s="760"/>
      <c r="C16" s="760"/>
      <c r="D16" s="760"/>
      <c r="E16" s="760"/>
      <c r="F16" s="760"/>
      <c r="G16" s="760"/>
      <c r="H16" s="760"/>
    </row>
    <row r="17" spans="2:8" ht="12" customHeight="1">
      <c r="B17" s="760"/>
      <c r="C17" s="760"/>
      <c r="D17" s="760"/>
      <c r="E17" s="760"/>
      <c r="F17" s="760"/>
      <c r="G17" s="760"/>
      <c r="H17" s="760"/>
    </row>
    <row r="18" spans="2:8" ht="12" customHeight="1">
      <c r="B18" s="760"/>
      <c r="C18" s="760"/>
      <c r="D18" s="760"/>
      <c r="E18" s="760"/>
      <c r="F18" s="760"/>
      <c r="G18" s="760"/>
      <c r="H18" s="760"/>
    </row>
    <row r="19" spans="2:8" ht="12" customHeight="1">
      <c r="B19" s="760"/>
      <c r="C19" s="760"/>
      <c r="D19" s="760"/>
      <c r="E19" s="760"/>
      <c r="F19" s="760"/>
      <c r="G19" s="760"/>
      <c r="H19" s="760"/>
    </row>
    <row r="20" spans="2:8" ht="12" customHeight="1">
      <c r="B20" s="760"/>
      <c r="C20" s="760"/>
      <c r="D20" s="760"/>
      <c r="E20" s="760"/>
      <c r="F20" s="760"/>
      <c r="G20" s="760"/>
      <c r="H20" s="760"/>
    </row>
  </sheetData>
  <mergeCells count="2">
    <mergeCell ref="B8:H8"/>
    <mergeCell ref="B9:H2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B1:AC50"/>
  <sheetViews>
    <sheetView zoomScale="115" zoomScaleNormal="115" zoomScalePageLayoutView="115" workbookViewId="0">
      <selection activeCell="B1" sqref="B1"/>
    </sheetView>
  </sheetViews>
  <sheetFormatPr defaultColWidth="8.77734375" defaultRowHeight="10.199999999999999"/>
  <cols>
    <col min="1" max="1" width="2.33203125" style="358" customWidth="1"/>
    <col min="2" max="2" width="9.33203125" style="358" customWidth="1"/>
    <col min="3" max="10" width="10.33203125" style="358" customWidth="1"/>
    <col min="11" max="14" width="6.6640625" style="358" customWidth="1"/>
    <col min="15" max="15" width="7.109375" style="358" bestFit="1" customWidth="1"/>
    <col min="16" max="17" width="6.6640625" style="358" customWidth="1"/>
    <col min="18" max="18" width="6.109375" style="358" customWidth="1"/>
    <col min="19" max="19" width="11.6640625" style="358" customWidth="1"/>
    <col min="20" max="20" width="10.44140625" style="358" customWidth="1"/>
    <col min="21" max="23" width="6.6640625" style="358" customWidth="1"/>
    <col min="24" max="24" width="3.44140625" style="358" customWidth="1"/>
    <col min="25" max="25" width="8.77734375" style="358"/>
    <col min="26" max="26" width="17" style="358" bestFit="1" customWidth="1"/>
    <col min="27" max="33" width="8.77734375" style="358"/>
    <col min="34" max="34" width="10" style="358" bestFit="1" customWidth="1"/>
    <col min="35" max="16384" width="8.77734375" style="358"/>
  </cols>
  <sheetData>
    <row r="1" spans="2:29" s="357" customFormat="1" ht="10.95">
      <c r="B1" s="356" t="s">
        <v>49</v>
      </c>
      <c r="C1" s="356"/>
      <c r="D1" s="356"/>
      <c r="E1" s="356"/>
      <c r="F1" s="356"/>
      <c r="G1" s="356"/>
      <c r="H1" s="356"/>
      <c r="I1" s="356"/>
      <c r="J1" s="356"/>
    </row>
    <row r="3" spans="2:29" ht="10.95">
      <c r="B3" s="763" t="s">
        <v>118</v>
      </c>
      <c r="C3" s="763"/>
      <c r="D3" s="763"/>
      <c r="E3" s="763"/>
      <c r="F3" s="763"/>
      <c r="G3" s="763"/>
      <c r="H3" s="763"/>
      <c r="I3" s="763"/>
      <c r="J3" s="763"/>
      <c r="K3" s="763"/>
      <c r="L3" s="763"/>
      <c r="M3" s="763"/>
      <c r="N3" s="763"/>
      <c r="O3" s="763"/>
      <c r="P3" s="763"/>
      <c r="Q3" s="763"/>
      <c r="R3" s="763"/>
      <c r="S3" s="763"/>
      <c r="T3" s="763"/>
      <c r="U3" s="763"/>
      <c r="V3" s="763"/>
      <c r="W3" s="763"/>
      <c r="Y3" s="763" t="s">
        <v>119</v>
      </c>
      <c r="Z3" s="763"/>
      <c r="AA3" s="763"/>
      <c r="AB3" s="763"/>
      <c r="AC3" s="763"/>
    </row>
    <row r="4" spans="2:29">
      <c r="B4" s="764" t="s">
        <v>120</v>
      </c>
      <c r="C4" s="766" t="s">
        <v>171</v>
      </c>
      <c r="D4" s="767"/>
      <c r="E4" s="767"/>
      <c r="F4" s="768"/>
      <c r="G4" s="766" t="s">
        <v>172</v>
      </c>
      <c r="H4" s="767"/>
      <c r="I4" s="767"/>
      <c r="J4" s="768"/>
      <c r="K4" s="766" t="s">
        <v>173</v>
      </c>
      <c r="L4" s="767"/>
      <c r="M4" s="767"/>
      <c r="N4" s="768"/>
      <c r="O4" s="766" t="s">
        <v>121</v>
      </c>
      <c r="P4" s="767"/>
      <c r="Q4" s="767"/>
      <c r="R4" s="768"/>
      <c r="S4" s="764" t="s">
        <v>225</v>
      </c>
      <c r="T4" s="766" t="s">
        <v>122</v>
      </c>
      <c r="U4" s="767"/>
      <c r="V4" s="767"/>
      <c r="W4" s="768"/>
      <c r="Y4" s="359" t="s">
        <v>123</v>
      </c>
      <c r="Z4" s="359"/>
      <c r="AA4" s="359"/>
      <c r="AB4" s="360"/>
      <c r="AC4" s="360"/>
    </row>
    <row r="5" spans="2:29">
      <c r="B5" s="765"/>
      <c r="C5" s="772"/>
      <c r="D5" s="773"/>
      <c r="E5" s="773"/>
      <c r="F5" s="774"/>
      <c r="G5" s="772"/>
      <c r="H5" s="773"/>
      <c r="I5" s="773"/>
      <c r="J5" s="774"/>
      <c r="K5" s="769"/>
      <c r="L5" s="770"/>
      <c r="M5" s="770"/>
      <c r="N5" s="771"/>
      <c r="O5" s="769"/>
      <c r="P5" s="770"/>
      <c r="Q5" s="770"/>
      <c r="R5" s="771"/>
      <c r="S5" s="765"/>
      <c r="T5" s="769"/>
      <c r="U5" s="770"/>
      <c r="V5" s="770"/>
      <c r="W5" s="771"/>
      <c r="Y5" s="359" t="s">
        <v>124</v>
      </c>
      <c r="Z5" s="359"/>
      <c r="AA5" s="359"/>
      <c r="AB5" s="359"/>
      <c r="AC5" s="359"/>
    </row>
    <row r="6" spans="2:29" ht="10.95">
      <c r="B6" s="361" t="s">
        <v>125</v>
      </c>
      <c r="C6" s="362">
        <v>2</v>
      </c>
      <c r="D6" s="363">
        <v>4</v>
      </c>
      <c r="E6" s="363">
        <v>6</v>
      </c>
      <c r="F6" s="364">
        <v>8</v>
      </c>
      <c r="G6" s="362">
        <v>2</v>
      </c>
      <c r="H6" s="363">
        <v>4</v>
      </c>
      <c r="I6" s="363">
        <v>6</v>
      </c>
      <c r="J6" s="364">
        <v>8</v>
      </c>
      <c r="K6" s="362">
        <v>2</v>
      </c>
      <c r="L6" s="363">
        <v>4</v>
      </c>
      <c r="M6" s="363">
        <v>6</v>
      </c>
      <c r="N6" s="364">
        <v>8</v>
      </c>
      <c r="O6" s="365">
        <v>2</v>
      </c>
      <c r="P6" s="366">
        <v>4</v>
      </c>
      <c r="Q6" s="366">
        <v>6</v>
      </c>
      <c r="R6" s="367">
        <v>8</v>
      </c>
      <c r="S6" s="363" t="s">
        <v>224</v>
      </c>
      <c r="T6" s="365" t="s">
        <v>126</v>
      </c>
      <c r="U6" s="366" t="s">
        <v>127</v>
      </c>
      <c r="V6" s="366" t="s">
        <v>128</v>
      </c>
      <c r="W6" s="367" t="s">
        <v>129</v>
      </c>
      <c r="Y6" s="368" t="s">
        <v>141</v>
      </c>
      <c r="Z6" s="369">
        <v>0.96</v>
      </c>
      <c r="AA6" s="359"/>
      <c r="AB6" s="359"/>
      <c r="AC6" s="359"/>
    </row>
    <row r="7" spans="2:29" ht="10.95">
      <c r="B7" s="266">
        <v>1</v>
      </c>
      <c r="C7" s="371">
        <v>0.77</v>
      </c>
      <c r="D7" s="371">
        <v>0.85499999999999998</v>
      </c>
      <c r="E7" s="371">
        <v>0.82499999999999996</v>
      </c>
      <c r="F7" s="372">
        <v>0.755</v>
      </c>
      <c r="G7" s="373">
        <v>0.77</v>
      </c>
      <c r="H7" s="373">
        <v>0.85499999999999998</v>
      </c>
      <c r="I7" s="373">
        <v>0.82499999999999996</v>
      </c>
      <c r="J7" s="374">
        <v>0.755</v>
      </c>
      <c r="K7" s="375">
        <f t="shared" ref="K7:K26" si="0">MIN(C7,G7)</f>
        <v>0.77</v>
      </c>
      <c r="L7" s="375">
        <f t="shared" ref="L7:L26" si="1">MIN(D7,H7)</f>
        <v>0.85499999999999998</v>
      </c>
      <c r="M7" s="375">
        <f t="shared" ref="M7:M26" si="2">MIN(E7,I7)</f>
        <v>0.82499999999999996</v>
      </c>
      <c r="N7" s="376">
        <f t="shared" ref="N7:N26" si="3">MIN(F7,J7)</f>
        <v>0.755</v>
      </c>
      <c r="O7" s="377">
        <f t="shared" ref="O7:O26" si="4">$B7*(1/K7-1)</f>
        <v>0.29870129870129869</v>
      </c>
      <c r="P7" s="377">
        <f t="shared" ref="P7:P26" si="5">$B7*(1/L7-1)</f>
        <v>0.16959064327485374</v>
      </c>
      <c r="Q7" s="377">
        <f t="shared" ref="Q7:Q26" si="6">$B7*(1/M7-1)</f>
        <v>0.21212121212121215</v>
      </c>
      <c r="R7" s="377">
        <f t="shared" ref="R7:R26" si="7">$B7*(1/N7-1)</f>
        <v>0.32450331125827825</v>
      </c>
      <c r="S7" s="415">
        <f t="shared" ref="S7:S26" si="8">P7</f>
        <v>0.16959064327485374</v>
      </c>
      <c r="T7" s="378">
        <v>-0.45079999999999998</v>
      </c>
      <c r="U7" s="378">
        <v>1.2399</v>
      </c>
      <c r="V7" s="378">
        <v>-0.43009999999999998</v>
      </c>
      <c r="W7" s="379">
        <v>0.64100000000000001</v>
      </c>
      <c r="Y7" s="368" t="s">
        <v>142</v>
      </c>
      <c r="Z7" s="419">
        <v>275</v>
      </c>
      <c r="AA7" s="359"/>
      <c r="AB7" s="359"/>
      <c r="AC7" s="359"/>
    </row>
    <row r="8" spans="2:29" ht="10.95">
      <c r="B8" s="267">
        <v>1.5</v>
      </c>
      <c r="C8" s="380">
        <v>0.84</v>
      </c>
      <c r="D8" s="380">
        <v>0.86499999999999999</v>
      </c>
      <c r="E8" s="380">
        <v>0.875</v>
      </c>
      <c r="F8" s="381">
        <v>0.78500000000000003</v>
      </c>
      <c r="G8" s="382">
        <v>0.84</v>
      </c>
      <c r="H8" s="382">
        <v>0.86499999999999999</v>
      </c>
      <c r="I8" s="382">
        <v>0.86499999999999999</v>
      </c>
      <c r="J8" s="68">
        <v>0.77</v>
      </c>
      <c r="K8" s="383">
        <f t="shared" si="0"/>
        <v>0.84</v>
      </c>
      <c r="L8" s="383">
        <f t="shared" si="1"/>
        <v>0.86499999999999999</v>
      </c>
      <c r="M8" s="383">
        <f t="shared" si="2"/>
        <v>0.86499999999999999</v>
      </c>
      <c r="N8" s="384">
        <f t="shared" si="3"/>
        <v>0.77</v>
      </c>
      <c r="O8" s="385">
        <f t="shared" si="4"/>
        <v>0.2857142857142857</v>
      </c>
      <c r="P8" s="385">
        <f t="shared" si="5"/>
        <v>0.2341040462427747</v>
      </c>
      <c r="Q8" s="385">
        <f t="shared" si="6"/>
        <v>0.2341040462427747</v>
      </c>
      <c r="R8" s="385">
        <f t="shared" si="7"/>
        <v>0.44805194805194803</v>
      </c>
      <c r="S8" s="416">
        <f t="shared" si="8"/>
        <v>0.2341040462427747</v>
      </c>
      <c r="T8" s="386">
        <v>-0.45079999999999998</v>
      </c>
      <c r="U8" s="386">
        <v>1.2399</v>
      </c>
      <c r="V8" s="386">
        <v>-0.43009999999999998</v>
      </c>
      <c r="W8" s="387">
        <v>0.64100000000000001</v>
      </c>
      <c r="Y8" s="368" t="s">
        <v>143</v>
      </c>
      <c r="Z8" s="369">
        <v>0.19</v>
      </c>
      <c r="AA8" s="359"/>
      <c r="AB8" s="359"/>
      <c r="AC8" s="359"/>
    </row>
    <row r="9" spans="2:29" ht="10.95">
      <c r="B9" s="267">
        <v>2</v>
      </c>
      <c r="C9" s="380">
        <v>0.85499999999999998</v>
      </c>
      <c r="D9" s="380">
        <v>0.86499999999999999</v>
      </c>
      <c r="E9" s="380">
        <v>0.88500000000000001</v>
      </c>
      <c r="F9" s="381">
        <v>0.84</v>
      </c>
      <c r="G9" s="382">
        <v>0.85499999999999998</v>
      </c>
      <c r="H9" s="382">
        <v>0.86499999999999999</v>
      </c>
      <c r="I9" s="382">
        <v>0.875</v>
      </c>
      <c r="J9" s="68">
        <v>0.86499999999999999</v>
      </c>
      <c r="K9" s="383">
        <f t="shared" si="0"/>
        <v>0.85499999999999998</v>
      </c>
      <c r="L9" s="383">
        <f t="shared" si="1"/>
        <v>0.86499999999999999</v>
      </c>
      <c r="M9" s="383">
        <f t="shared" si="2"/>
        <v>0.875</v>
      </c>
      <c r="N9" s="384">
        <f t="shared" si="3"/>
        <v>0.84</v>
      </c>
      <c r="O9" s="385">
        <f t="shared" si="4"/>
        <v>0.33918128654970747</v>
      </c>
      <c r="P9" s="385">
        <f t="shared" si="5"/>
        <v>0.3121387283236996</v>
      </c>
      <c r="Q9" s="385">
        <f t="shared" si="6"/>
        <v>0.28571428571428559</v>
      </c>
      <c r="R9" s="385">
        <f t="shared" si="7"/>
        <v>0.38095238095238093</v>
      </c>
      <c r="S9" s="416">
        <f t="shared" si="8"/>
        <v>0.3121387283236996</v>
      </c>
      <c r="T9" s="386">
        <v>-0.45079999999999998</v>
      </c>
      <c r="U9" s="386">
        <v>1.2399</v>
      </c>
      <c r="V9" s="386">
        <v>-0.43009999999999998</v>
      </c>
      <c r="W9" s="387">
        <v>0.64100000000000001</v>
      </c>
      <c r="Y9" s="368" t="s">
        <v>130</v>
      </c>
      <c r="Z9" s="370" t="s">
        <v>131</v>
      </c>
      <c r="AA9" s="359"/>
      <c r="AB9" s="359"/>
      <c r="AC9" s="359"/>
    </row>
    <row r="10" spans="2:29" ht="10.95">
      <c r="B10" s="267">
        <v>3</v>
      </c>
      <c r="C10" s="380">
        <v>0.86499999999999999</v>
      </c>
      <c r="D10" s="380">
        <v>0.89500000000000002</v>
      </c>
      <c r="E10" s="380">
        <v>0.89500000000000002</v>
      </c>
      <c r="F10" s="381">
        <v>0.85499999999999998</v>
      </c>
      <c r="G10" s="382">
        <v>0.85499999999999998</v>
      </c>
      <c r="H10" s="382">
        <v>0.89500000000000002</v>
      </c>
      <c r="I10" s="382">
        <v>0.88500000000000001</v>
      </c>
      <c r="J10" s="68">
        <v>0.875</v>
      </c>
      <c r="K10" s="383">
        <f t="shared" si="0"/>
        <v>0.85499999999999998</v>
      </c>
      <c r="L10" s="383">
        <f t="shared" si="1"/>
        <v>0.89500000000000002</v>
      </c>
      <c r="M10" s="383">
        <f t="shared" si="2"/>
        <v>0.88500000000000001</v>
      </c>
      <c r="N10" s="384">
        <f t="shared" si="3"/>
        <v>0.85499999999999998</v>
      </c>
      <c r="O10" s="385">
        <f t="shared" si="4"/>
        <v>0.50877192982456121</v>
      </c>
      <c r="P10" s="385">
        <f t="shared" si="5"/>
        <v>0.35195530726256963</v>
      </c>
      <c r="Q10" s="385">
        <f t="shared" si="6"/>
        <v>0.38983050847457634</v>
      </c>
      <c r="R10" s="385">
        <f t="shared" si="7"/>
        <v>0.50877192982456121</v>
      </c>
      <c r="S10" s="416">
        <f t="shared" si="8"/>
        <v>0.35195530726256963</v>
      </c>
      <c r="T10" s="386">
        <v>-0.45079999999999998</v>
      </c>
      <c r="U10" s="386">
        <v>1.2399</v>
      </c>
      <c r="V10" s="386">
        <v>-0.43009999999999998</v>
      </c>
      <c r="W10" s="387">
        <v>0.64100000000000001</v>
      </c>
    </row>
    <row r="11" spans="2:29" ht="10.95">
      <c r="B11" s="267">
        <v>5</v>
      </c>
      <c r="C11" s="380">
        <v>0.88500000000000001</v>
      </c>
      <c r="D11" s="380">
        <v>0.89500000000000002</v>
      </c>
      <c r="E11" s="380">
        <v>0.89500000000000002</v>
      </c>
      <c r="F11" s="381">
        <v>0.86499999999999999</v>
      </c>
      <c r="G11" s="382">
        <v>0.86499999999999999</v>
      </c>
      <c r="H11" s="382">
        <v>0.89500000000000002</v>
      </c>
      <c r="I11" s="382">
        <v>0.89500000000000002</v>
      </c>
      <c r="J11" s="68">
        <v>0.88500000000000001</v>
      </c>
      <c r="K11" s="383">
        <f t="shared" si="0"/>
        <v>0.86499999999999999</v>
      </c>
      <c r="L11" s="383">
        <f t="shared" si="1"/>
        <v>0.89500000000000002</v>
      </c>
      <c r="M11" s="383">
        <f t="shared" si="2"/>
        <v>0.89500000000000002</v>
      </c>
      <c r="N11" s="384">
        <f t="shared" si="3"/>
        <v>0.86499999999999999</v>
      </c>
      <c r="O11" s="385">
        <f t="shared" si="4"/>
        <v>0.780346820809249</v>
      </c>
      <c r="P11" s="385">
        <f t="shared" si="5"/>
        <v>0.58659217877094938</v>
      </c>
      <c r="Q11" s="385">
        <f t="shared" si="6"/>
        <v>0.58659217877094938</v>
      </c>
      <c r="R11" s="385">
        <f t="shared" si="7"/>
        <v>0.780346820809249</v>
      </c>
      <c r="S11" s="416">
        <f t="shared" si="8"/>
        <v>0.58659217877094938</v>
      </c>
      <c r="T11" s="386">
        <v>-0.45079999999999998</v>
      </c>
      <c r="U11" s="386">
        <v>1.2399</v>
      </c>
      <c r="V11" s="386">
        <v>-0.43009999999999998</v>
      </c>
      <c r="W11" s="387">
        <v>0.64100000000000001</v>
      </c>
    </row>
    <row r="12" spans="2:29" ht="15" customHeight="1">
      <c r="B12" s="267">
        <v>7.5</v>
      </c>
      <c r="C12" s="380">
        <v>0.89500000000000002</v>
      </c>
      <c r="D12" s="380">
        <v>0.91700000000000004</v>
      </c>
      <c r="E12" s="380">
        <v>0.91</v>
      </c>
      <c r="F12" s="381">
        <v>0.86499999999999999</v>
      </c>
      <c r="G12" s="382">
        <v>0.88500000000000001</v>
      </c>
      <c r="H12" s="382">
        <v>0.91</v>
      </c>
      <c r="I12" s="382">
        <v>0.90200000000000002</v>
      </c>
      <c r="J12" s="68">
        <v>0.89500000000000002</v>
      </c>
      <c r="K12" s="383">
        <f t="shared" si="0"/>
        <v>0.88500000000000001</v>
      </c>
      <c r="L12" s="383">
        <f t="shared" si="1"/>
        <v>0.91</v>
      </c>
      <c r="M12" s="383">
        <f t="shared" si="2"/>
        <v>0.90200000000000002</v>
      </c>
      <c r="N12" s="384">
        <f t="shared" si="3"/>
        <v>0.86499999999999999</v>
      </c>
      <c r="O12" s="385">
        <f t="shared" si="4"/>
        <v>0.97457627118644086</v>
      </c>
      <c r="P12" s="385">
        <f t="shared" si="5"/>
        <v>0.74175824175824079</v>
      </c>
      <c r="Q12" s="385">
        <f t="shared" si="6"/>
        <v>0.81485587583148555</v>
      </c>
      <c r="R12" s="385">
        <f t="shared" si="7"/>
        <v>1.1705202312138736</v>
      </c>
      <c r="S12" s="416">
        <f t="shared" si="8"/>
        <v>0.74175824175824079</v>
      </c>
      <c r="T12" s="386">
        <v>-0.45079999999999998</v>
      </c>
      <c r="U12" s="386">
        <v>1.2399</v>
      </c>
      <c r="V12" s="386">
        <v>-0.43009999999999998</v>
      </c>
      <c r="W12" s="387">
        <v>0.64100000000000001</v>
      </c>
    </row>
    <row r="13" spans="2:29" ht="10.95">
      <c r="B13" s="267">
        <v>10</v>
      </c>
      <c r="C13" s="380">
        <v>0.90200000000000002</v>
      </c>
      <c r="D13" s="380">
        <v>0.91700000000000004</v>
      </c>
      <c r="E13" s="380">
        <v>0.91</v>
      </c>
      <c r="F13" s="381">
        <v>0.89500000000000002</v>
      </c>
      <c r="G13" s="382">
        <v>0.89500000000000002</v>
      </c>
      <c r="H13" s="382">
        <v>0.91700000000000004</v>
      </c>
      <c r="I13" s="382">
        <v>0.91700000000000004</v>
      </c>
      <c r="J13" s="68">
        <v>0.90200000000000002</v>
      </c>
      <c r="K13" s="383">
        <f t="shared" si="0"/>
        <v>0.89500000000000002</v>
      </c>
      <c r="L13" s="383">
        <f t="shared" si="1"/>
        <v>0.91700000000000004</v>
      </c>
      <c r="M13" s="383">
        <f t="shared" si="2"/>
        <v>0.91</v>
      </c>
      <c r="N13" s="384">
        <f t="shared" si="3"/>
        <v>0.89500000000000002</v>
      </c>
      <c r="O13" s="385">
        <f t="shared" si="4"/>
        <v>1.1731843575418988</v>
      </c>
      <c r="P13" s="385">
        <f t="shared" si="5"/>
        <v>0.90512540894220228</v>
      </c>
      <c r="Q13" s="385">
        <f t="shared" si="6"/>
        <v>0.98901098901098772</v>
      </c>
      <c r="R13" s="385">
        <f t="shared" si="7"/>
        <v>1.1731843575418988</v>
      </c>
      <c r="S13" s="416">
        <f t="shared" si="8"/>
        <v>0.90512540894220228</v>
      </c>
      <c r="T13" s="386">
        <v>-0.45079999999999998</v>
      </c>
      <c r="U13" s="386">
        <v>1.2399</v>
      </c>
      <c r="V13" s="386">
        <v>-0.43009999999999998</v>
      </c>
      <c r="W13" s="387">
        <v>0.64100000000000001</v>
      </c>
    </row>
    <row r="14" spans="2:29" ht="10.95">
      <c r="B14" s="267">
        <v>15</v>
      </c>
      <c r="C14" s="380">
        <v>0.91</v>
      </c>
      <c r="D14" s="380">
        <v>0.92400000000000004</v>
      </c>
      <c r="E14" s="380">
        <v>0.91700000000000004</v>
      </c>
      <c r="F14" s="381">
        <v>0.89500000000000002</v>
      </c>
      <c r="G14" s="382">
        <v>0.90200000000000002</v>
      </c>
      <c r="H14" s="382">
        <v>0.93</v>
      </c>
      <c r="I14" s="382">
        <v>0.91700000000000004</v>
      </c>
      <c r="J14" s="68">
        <v>0.90200000000000002</v>
      </c>
      <c r="K14" s="383">
        <f t="shared" si="0"/>
        <v>0.90200000000000002</v>
      </c>
      <c r="L14" s="383">
        <f t="shared" si="1"/>
        <v>0.92400000000000004</v>
      </c>
      <c r="M14" s="383">
        <f t="shared" si="2"/>
        <v>0.91700000000000004</v>
      </c>
      <c r="N14" s="384">
        <f t="shared" si="3"/>
        <v>0.89500000000000002</v>
      </c>
      <c r="O14" s="385">
        <f t="shared" si="4"/>
        <v>1.6297117516629711</v>
      </c>
      <c r="P14" s="385">
        <f t="shared" si="5"/>
        <v>1.2337662337662336</v>
      </c>
      <c r="Q14" s="385">
        <f t="shared" si="6"/>
        <v>1.3576881134133034</v>
      </c>
      <c r="R14" s="385">
        <f t="shared" si="7"/>
        <v>1.7597765363128481</v>
      </c>
      <c r="S14" s="416">
        <f t="shared" si="8"/>
        <v>1.2337662337662336</v>
      </c>
      <c r="T14" s="386">
        <v>-0.45079999999999998</v>
      </c>
      <c r="U14" s="386">
        <v>1.2399</v>
      </c>
      <c r="V14" s="386">
        <v>-0.43009999999999998</v>
      </c>
      <c r="W14" s="387">
        <v>0.64100000000000001</v>
      </c>
    </row>
    <row r="15" spans="2:29" ht="10.95">
      <c r="B15" s="267">
        <v>20</v>
      </c>
      <c r="C15" s="380">
        <v>0.91</v>
      </c>
      <c r="D15" s="380">
        <v>0.93</v>
      </c>
      <c r="E15" s="380">
        <v>0.91700000000000004</v>
      </c>
      <c r="F15" s="381">
        <v>0.90200000000000002</v>
      </c>
      <c r="G15" s="382">
        <v>0.91</v>
      </c>
      <c r="H15" s="382">
        <v>0.93</v>
      </c>
      <c r="I15" s="382">
        <v>0.92400000000000004</v>
      </c>
      <c r="J15" s="68">
        <v>0.91</v>
      </c>
      <c r="K15" s="383">
        <f t="shared" si="0"/>
        <v>0.91</v>
      </c>
      <c r="L15" s="383">
        <f t="shared" si="1"/>
        <v>0.93</v>
      </c>
      <c r="M15" s="383">
        <f t="shared" si="2"/>
        <v>0.91700000000000004</v>
      </c>
      <c r="N15" s="384">
        <f t="shared" si="3"/>
        <v>0.90200000000000002</v>
      </c>
      <c r="O15" s="385">
        <f t="shared" si="4"/>
        <v>1.9780219780219754</v>
      </c>
      <c r="P15" s="385">
        <f t="shared" si="5"/>
        <v>1.5053763440860202</v>
      </c>
      <c r="Q15" s="385">
        <f t="shared" si="6"/>
        <v>1.8102508178844046</v>
      </c>
      <c r="R15" s="385">
        <f t="shared" si="7"/>
        <v>2.1729490022172948</v>
      </c>
      <c r="S15" s="416">
        <f t="shared" si="8"/>
        <v>1.5053763440860202</v>
      </c>
      <c r="T15" s="386">
        <v>-0.45079999999999998</v>
      </c>
      <c r="U15" s="386">
        <v>1.2399</v>
      </c>
      <c r="V15" s="386">
        <v>-0.43009999999999998</v>
      </c>
      <c r="W15" s="387">
        <v>0.64100000000000001</v>
      </c>
    </row>
    <row r="16" spans="2:29" ht="10.95">
      <c r="B16" s="267">
        <v>25</v>
      </c>
      <c r="C16" s="380">
        <v>0.91700000000000004</v>
      </c>
      <c r="D16" s="380">
        <v>0.93599999999999994</v>
      </c>
      <c r="E16" s="380">
        <v>0.93</v>
      </c>
      <c r="F16" s="381">
        <v>0.90200000000000002</v>
      </c>
      <c r="G16" s="382">
        <v>0.91700000000000004</v>
      </c>
      <c r="H16" s="382">
        <v>0.93599999999999994</v>
      </c>
      <c r="I16" s="382">
        <v>0.93</v>
      </c>
      <c r="J16" s="68">
        <v>0.91</v>
      </c>
      <c r="K16" s="383">
        <f t="shared" si="0"/>
        <v>0.91700000000000004</v>
      </c>
      <c r="L16" s="383">
        <f t="shared" si="1"/>
        <v>0.93599999999999994</v>
      </c>
      <c r="M16" s="383">
        <f t="shared" si="2"/>
        <v>0.93</v>
      </c>
      <c r="N16" s="384">
        <f t="shared" si="3"/>
        <v>0.90200000000000002</v>
      </c>
      <c r="O16" s="385">
        <f t="shared" si="4"/>
        <v>2.2628135223555059</v>
      </c>
      <c r="P16" s="385">
        <f t="shared" si="5"/>
        <v>1.7094017094017089</v>
      </c>
      <c r="Q16" s="385">
        <f t="shared" si="6"/>
        <v>1.8817204301075252</v>
      </c>
      <c r="R16" s="385">
        <f t="shared" si="7"/>
        <v>2.7161862527716183</v>
      </c>
      <c r="S16" s="416">
        <f t="shared" si="8"/>
        <v>1.7094017094017089</v>
      </c>
      <c r="T16" s="386">
        <v>-0.45079999999999998</v>
      </c>
      <c r="U16" s="386">
        <v>1.2399</v>
      </c>
      <c r="V16" s="386">
        <v>-0.43009999999999998</v>
      </c>
      <c r="W16" s="387">
        <v>0.64100000000000001</v>
      </c>
    </row>
    <row r="17" spans="2:23" ht="10.95">
      <c r="B17" s="267">
        <v>30</v>
      </c>
      <c r="C17" s="380">
        <v>0.91700000000000004</v>
      </c>
      <c r="D17" s="380">
        <v>0.93599999999999994</v>
      </c>
      <c r="E17" s="380">
        <v>0.93</v>
      </c>
      <c r="F17" s="381">
        <v>0.91700000000000004</v>
      </c>
      <c r="G17" s="382">
        <v>0.91700000000000004</v>
      </c>
      <c r="H17" s="382">
        <v>0.94099999999999995</v>
      </c>
      <c r="I17" s="382">
        <v>0.93599999999999994</v>
      </c>
      <c r="J17" s="68">
        <v>0.91700000000000004</v>
      </c>
      <c r="K17" s="383">
        <f t="shared" si="0"/>
        <v>0.91700000000000004</v>
      </c>
      <c r="L17" s="383">
        <f t="shared" si="1"/>
        <v>0.93599999999999994</v>
      </c>
      <c r="M17" s="383">
        <f t="shared" si="2"/>
        <v>0.93</v>
      </c>
      <c r="N17" s="384">
        <f t="shared" si="3"/>
        <v>0.91700000000000004</v>
      </c>
      <c r="O17" s="385">
        <f t="shared" si="4"/>
        <v>2.7153762268266068</v>
      </c>
      <c r="P17" s="385">
        <f t="shared" si="5"/>
        <v>2.0512820512820507</v>
      </c>
      <c r="Q17" s="385">
        <f t="shared" si="6"/>
        <v>2.2580645161290303</v>
      </c>
      <c r="R17" s="385">
        <f t="shared" si="7"/>
        <v>2.7153762268266068</v>
      </c>
      <c r="S17" s="416">
        <f t="shared" si="8"/>
        <v>2.0512820512820507</v>
      </c>
      <c r="T17" s="386">
        <v>-0.45079999999999998</v>
      </c>
      <c r="U17" s="386">
        <v>1.2399</v>
      </c>
      <c r="V17" s="386">
        <v>-0.43009999999999998</v>
      </c>
      <c r="W17" s="387">
        <v>0.64100000000000001</v>
      </c>
    </row>
    <row r="18" spans="2:23" ht="10.95">
      <c r="B18" s="267">
        <v>40</v>
      </c>
      <c r="C18" s="380">
        <v>0.92400000000000004</v>
      </c>
      <c r="D18" s="380">
        <v>0.94099999999999995</v>
      </c>
      <c r="E18" s="380">
        <v>0.94099999999999995</v>
      </c>
      <c r="F18" s="381">
        <v>0.91700000000000004</v>
      </c>
      <c r="G18" s="382">
        <v>0.92400000000000004</v>
      </c>
      <c r="H18" s="382">
        <v>0.94099999999999995</v>
      </c>
      <c r="I18" s="382">
        <v>0.94099999999999995</v>
      </c>
      <c r="J18" s="68">
        <v>0.91700000000000004</v>
      </c>
      <c r="K18" s="383">
        <f t="shared" si="0"/>
        <v>0.92400000000000004</v>
      </c>
      <c r="L18" s="383">
        <f t="shared" si="1"/>
        <v>0.94099999999999995</v>
      </c>
      <c r="M18" s="383">
        <f t="shared" si="2"/>
        <v>0.94099999999999995</v>
      </c>
      <c r="N18" s="384">
        <f t="shared" si="3"/>
        <v>0.91700000000000004</v>
      </c>
      <c r="O18" s="385">
        <f t="shared" si="4"/>
        <v>3.2900432900432897</v>
      </c>
      <c r="P18" s="385">
        <f t="shared" si="5"/>
        <v>2.507970244420834</v>
      </c>
      <c r="Q18" s="385">
        <f t="shared" si="6"/>
        <v>2.507970244420834</v>
      </c>
      <c r="R18" s="385">
        <f t="shared" si="7"/>
        <v>3.6205016357688091</v>
      </c>
      <c r="S18" s="416">
        <f t="shared" si="8"/>
        <v>2.507970244420834</v>
      </c>
      <c r="T18" s="386">
        <v>-0.45079999999999998</v>
      </c>
      <c r="U18" s="386">
        <v>1.2399</v>
      </c>
      <c r="V18" s="386">
        <v>-0.43009999999999998</v>
      </c>
      <c r="W18" s="387">
        <v>0.64100000000000001</v>
      </c>
    </row>
    <row r="19" spans="2:23" ht="10.95">
      <c r="B19" s="267">
        <v>50</v>
      </c>
      <c r="C19" s="380">
        <v>0.93</v>
      </c>
      <c r="D19" s="380">
        <v>0.94499999999999995</v>
      </c>
      <c r="E19" s="380">
        <v>0.94099999999999995</v>
      </c>
      <c r="F19" s="381">
        <v>0.92400000000000004</v>
      </c>
      <c r="G19" s="382">
        <v>0.93</v>
      </c>
      <c r="H19" s="382">
        <v>0.94499999999999995</v>
      </c>
      <c r="I19" s="382">
        <v>0.94099999999999995</v>
      </c>
      <c r="J19" s="68">
        <v>0.92400000000000004</v>
      </c>
      <c r="K19" s="383">
        <f t="shared" si="0"/>
        <v>0.93</v>
      </c>
      <c r="L19" s="383">
        <f t="shared" si="1"/>
        <v>0.94499999999999995</v>
      </c>
      <c r="M19" s="383">
        <f t="shared" si="2"/>
        <v>0.94099999999999995</v>
      </c>
      <c r="N19" s="384">
        <f t="shared" si="3"/>
        <v>0.92400000000000004</v>
      </c>
      <c r="O19" s="385">
        <f t="shared" si="4"/>
        <v>3.7634408602150504</v>
      </c>
      <c r="P19" s="385">
        <f t="shared" si="5"/>
        <v>2.9100529100529182</v>
      </c>
      <c r="Q19" s="385">
        <f t="shared" si="6"/>
        <v>3.1349628055260426</v>
      </c>
      <c r="R19" s="385">
        <f t="shared" si="7"/>
        <v>4.1125541125541121</v>
      </c>
      <c r="S19" s="416">
        <f t="shared" si="8"/>
        <v>2.9100529100529182</v>
      </c>
      <c r="T19" s="386">
        <v>-0.45079999999999998</v>
      </c>
      <c r="U19" s="386">
        <v>1.2399</v>
      </c>
      <c r="V19" s="386">
        <v>-0.43009999999999998</v>
      </c>
      <c r="W19" s="387">
        <v>0.64100000000000001</v>
      </c>
    </row>
    <row r="20" spans="2:23" ht="10.95">
      <c r="B20" s="267">
        <v>60</v>
      </c>
      <c r="C20" s="380">
        <v>0.93599999999999994</v>
      </c>
      <c r="D20" s="380">
        <v>0.95</v>
      </c>
      <c r="E20" s="380">
        <v>0.94499999999999995</v>
      </c>
      <c r="F20" s="381">
        <v>0.92400000000000004</v>
      </c>
      <c r="G20" s="382">
        <v>0.93599999999999994</v>
      </c>
      <c r="H20" s="382">
        <v>0.95</v>
      </c>
      <c r="I20" s="382">
        <v>0.94499999999999995</v>
      </c>
      <c r="J20" s="68">
        <v>0.93</v>
      </c>
      <c r="K20" s="383">
        <f t="shared" si="0"/>
        <v>0.93599999999999994</v>
      </c>
      <c r="L20" s="383">
        <f t="shared" si="1"/>
        <v>0.95</v>
      </c>
      <c r="M20" s="383">
        <f t="shared" si="2"/>
        <v>0.94499999999999995</v>
      </c>
      <c r="N20" s="384">
        <f t="shared" si="3"/>
        <v>0.92400000000000004</v>
      </c>
      <c r="O20" s="385">
        <f t="shared" si="4"/>
        <v>4.1025641025641013</v>
      </c>
      <c r="P20" s="385">
        <f t="shared" si="5"/>
        <v>3.1578947368421018</v>
      </c>
      <c r="Q20" s="385">
        <f t="shared" si="6"/>
        <v>3.4920634920635019</v>
      </c>
      <c r="R20" s="385">
        <f t="shared" si="7"/>
        <v>4.9350649350649345</v>
      </c>
      <c r="S20" s="416">
        <f t="shared" si="8"/>
        <v>3.1578947368421018</v>
      </c>
      <c r="T20" s="386">
        <v>-0.45079999999999998</v>
      </c>
      <c r="U20" s="386">
        <v>1.2399</v>
      </c>
      <c r="V20" s="386">
        <v>-0.43009999999999998</v>
      </c>
      <c r="W20" s="387">
        <v>0.64100000000000001</v>
      </c>
    </row>
    <row r="21" spans="2:23" ht="10.95">
      <c r="B21" s="267">
        <v>75</v>
      </c>
      <c r="C21" s="380">
        <v>0.93599999999999994</v>
      </c>
      <c r="D21" s="380">
        <v>0.95400000000000007</v>
      </c>
      <c r="E21" s="380">
        <v>0.94499999999999995</v>
      </c>
      <c r="F21" s="381">
        <v>0.93599999999999994</v>
      </c>
      <c r="G21" s="382">
        <v>0.93599999999999994</v>
      </c>
      <c r="H21" s="382">
        <v>0.95</v>
      </c>
      <c r="I21" s="382">
        <v>0.94499999999999995</v>
      </c>
      <c r="J21" s="68">
        <v>0.94099999999999995</v>
      </c>
      <c r="K21" s="383">
        <f t="shared" si="0"/>
        <v>0.93599999999999994</v>
      </c>
      <c r="L21" s="383">
        <f t="shared" si="1"/>
        <v>0.95</v>
      </c>
      <c r="M21" s="383">
        <f t="shared" si="2"/>
        <v>0.94499999999999995</v>
      </c>
      <c r="N21" s="384">
        <f t="shared" si="3"/>
        <v>0.93599999999999994</v>
      </c>
      <c r="O21" s="385">
        <f t="shared" si="4"/>
        <v>5.1282051282051269</v>
      </c>
      <c r="P21" s="385">
        <f t="shared" si="5"/>
        <v>3.9473684210526274</v>
      </c>
      <c r="Q21" s="385">
        <f t="shared" si="6"/>
        <v>4.3650793650793771</v>
      </c>
      <c r="R21" s="385">
        <f t="shared" si="7"/>
        <v>5.1282051282051269</v>
      </c>
      <c r="S21" s="416">
        <f t="shared" si="8"/>
        <v>3.9473684210526274</v>
      </c>
      <c r="T21" s="386">
        <v>-0.45079999999999998</v>
      </c>
      <c r="U21" s="386">
        <v>1.2399</v>
      </c>
      <c r="V21" s="386">
        <v>-0.43009999999999998</v>
      </c>
      <c r="W21" s="387">
        <v>0.64100000000000001</v>
      </c>
    </row>
    <row r="22" spans="2:23" ht="10.95">
      <c r="B22" s="267">
        <v>100</v>
      </c>
      <c r="C22" s="380">
        <v>0.94099999999999995</v>
      </c>
      <c r="D22" s="380">
        <v>0.95400000000000007</v>
      </c>
      <c r="E22" s="380">
        <v>0.95</v>
      </c>
      <c r="F22" s="381">
        <v>0.93599999999999994</v>
      </c>
      <c r="G22" s="382">
        <v>0.93599999999999994</v>
      </c>
      <c r="H22" s="382">
        <v>0.95400000000000007</v>
      </c>
      <c r="I22" s="382">
        <v>0.95</v>
      </c>
      <c r="J22" s="68">
        <v>0.94099999999999995</v>
      </c>
      <c r="K22" s="383">
        <f t="shared" si="0"/>
        <v>0.93599999999999994</v>
      </c>
      <c r="L22" s="383">
        <f t="shared" si="1"/>
        <v>0.95400000000000007</v>
      </c>
      <c r="M22" s="383">
        <f t="shared" si="2"/>
        <v>0.95</v>
      </c>
      <c r="N22" s="384">
        <f t="shared" si="3"/>
        <v>0.93599999999999994</v>
      </c>
      <c r="O22" s="385">
        <f t="shared" si="4"/>
        <v>6.8376068376068355</v>
      </c>
      <c r="P22" s="385">
        <f t="shared" si="5"/>
        <v>4.8218029350104663</v>
      </c>
      <c r="Q22" s="385">
        <f t="shared" si="6"/>
        <v>5.2631578947368363</v>
      </c>
      <c r="R22" s="385">
        <f t="shared" si="7"/>
        <v>6.8376068376068355</v>
      </c>
      <c r="S22" s="416">
        <f t="shared" si="8"/>
        <v>4.8218029350104663</v>
      </c>
      <c r="T22" s="386">
        <v>-0.45079999999999998</v>
      </c>
      <c r="U22" s="386">
        <v>1.2399</v>
      </c>
      <c r="V22" s="386">
        <v>-0.43009999999999998</v>
      </c>
      <c r="W22" s="387">
        <v>0.64100000000000001</v>
      </c>
    </row>
    <row r="23" spans="2:23" ht="10.95">
      <c r="B23" s="267">
        <v>125</v>
      </c>
      <c r="C23" s="380">
        <v>0.95</v>
      </c>
      <c r="D23" s="380">
        <v>0.95400000000000007</v>
      </c>
      <c r="E23" s="380">
        <v>0.95</v>
      </c>
      <c r="F23" s="381">
        <v>0.94099999999999995</v>
      </c>
      <c r="G23" s="382">
        <v>0.94099999999999995</v>
      </c>
      <c r="H23" s="382">
        <v>0.95400000000000007</v>
      </c>
      <c r="I23" s="382">
        <v>0.95</v>
      </c>
      <c r="J23" s="68">
        <v>0.94099999999999995</v>
      </c>
      <c r="K23" s="383">
        <f t="shared" si="0"/>
        <v>0.94099999999999995</v>
      </c>
      <c r="L23" s="383">
        <f t="shared" si="1"/>
        <v>0.95400000000000007</v>
      </c>
      <c r="M23" s="383">
        <f t="shared" si="2"/>
        <v>0.95</v>
      </c>
      <c r="N23" s="384">
        <f t="shared" si="3"/>
        <v>0.94099999999999995</v>
      </c>
      <c r="O23" s="385">
        <f t="shared" si="4"/>
        <v>7.8374070138151062</v>
      </c>
      <c r="P23" s="385">
        <f t="shared" si="5"/>
        <v>6.0272536687630831</v>
      </c>
      <c r="Q23" s="385">
        <f t="shared" si="6"/>
        <v>6.5789473684210451</v>
      </c>
      <c r="R23" s="385">
        <f t="shared" si="7"/>
        <v>7.8374070138151062</v>
      </c>
      <c r="S23" s="416">
        <f t="shared" si="8"/>
        <v>6.0272536687630831</v>
      </c>
      <c r="T23" s="386">
        <v>-0.45079999999999998</v>
      </c>
      <c r="U23" s="386">
        <v>1.2399</v>
      </c>
      <c r="V23" s="386">
        <v>-0.43009999999999998</v>
      </c>
      <c r="W23" s="387">
        <v>0.64100000000000001</v>
      </c>
    </row>
    <row r="24" spans="2:23" ht="10.95">
      <c r="B24" s="267">
        <v>150</v>
      </c>
      <c r="C24" s="380">
        <v>0.95</v>
      </c>
      <c r="D24" s="380">
        <v>0.95799999999999996</v>
      </c>
      <c r="E24" s="380">
        <v>0.95799999999999996</v>
      </c>
      <c r="F24" s="381">
        <v>0.94099999999999995</v>
      </c>
      <c r="G24" s="382">
        <v>0.94099999999999995</v>
      </c>
      <c r="H24" s="382">
        <v>0.95799999999999996</v>
      </c>
      <c r="I24" s="382">
        <v>0.95400000000000007</v>
      </c>
      <c r="J24" s="68">
        <v>0.94099999999999995</v>
      </c>
      <c r="K24" s="383">
        <f t="shared" si="0"/>
        <v>0.94099999999999995</v>
      </c>
      <c r="L24" s="383">
        <f t="shared" si="1"/>
        <v>0.95799999999999996</v>
      </c>
      <c r="M24" s="383">
        <f t="shared" si="2"/>
        <v>0.95400000000000007</v>
      </c>
      <c r="N24" s="384">
        <f t="shared" si="3"/>
        <v>0.94099999999999995</v>
      </c>
      <c r="O24" s="385">
        <f t="shared" si="4"/>
        <v>9.4048884165781281</v>
      </c>
      <c r="P24" s="385">
        <f t="shared" si="5"/>
        <v>6.5762004175365485</v>
      </c>
      <c r="Q24" s="385">
        <f t="shared" si="6"/>
        <v>7.232704402515699</v>
      </c>
      <c r="R24" s="385">
        <f t="shared" si="7"/>
        <v>9.4048884165781281</v>
      </c>
      <c r="S24" s="416">
        <f t="shared" si="8"/>
        <v>6.5762004175365485</v>
      </c>
      <c r="T24" s="386">
        <v>-0.45079999999999998</v>
      </c>
      <c r="U24" s="386">
        <v>1.2399</v>
      </c>
      <c r="V24" s="386">
        <v>-0.43009999999999998</v>
      </c>
      <c r="W24" s="387">
        <v>0.64100000000000001</v>
      </c>
    </row>
    <row r="25" spans="2:23" ht="10.95">
      <c r="B25" s="267">
        <v>200</v>
      </c>
      <c r="C25" s="380">
        <v>0.95400000000000007</v>
      </c>
      <c r="D25" s="380">
        <v>0.96200000000000008</v>
      </c>
      <c r="E25" s="380">
        <v>0.95799999999999996</v>
      </c>
      <c r="F25" s="381">
        <v>0.94499999999999995</v>
      </c>
      <c r="G25" s="382">
        <v>0.95</v>
      </c>
      <c r="H25" s="382">
        <v>0.95799999999999996</v>
      </c>
      <c r="I25" s="382">
        <v>0.95400000000000007</v>
      </c>
      <c r="J25" s="68">
        <v>0.94099999999999995</v>
      </c>
      <c r="K25" s="383">
        <f t="shared" si="0"/>
        <v>0.95</v>
      </c>
      <c r="L25" s="383">
        <f t="shared" si="1"/>
        <v>0.95799999999999996</v>
      </c>
      <c r="M25" s="383">
        <f t="shared" si="2"/>
        <v>0.95400000000000007</v>
      </c>
      <c r="N25" s="384">
        <f t="shared" si="3"/>
        <v>0.94099999999999995</v>
      </c>
      <c r="O25" s="385">
        <f t="shared" si="4"/>
        <v>10.526315789473673</v>
      </c>
      <c r="P25" s="385">
        <f t="shared" si="5"/>
        <v>8.7682672233820647</v>
      </c>
      <c r="Q25" s="385">
        <f t="shared" si="6"/>
        <v>9.6436058700209326</v>
      </c>
      <c r="R25" s="385">
        <f t="shared" si="7"/>
        <v>12.53985122210417</v>
      </c>
      <c r="S25" s="416">
        <f t="shared" si="8"/>
        <v>8.7682672233820647</v>
      </c>
      <c r="T25" s="386">
        <v>-0.45079999999999998</v>
      </c>
      <c r="U25" s="386">
        <v>1.2399</v>
      </c>
      <c r="V25" s="386">
        <v>-0.43009999999999998</v>
      </c>
      <c r="W25" s="387">
        <v>0.64100000000000001</v>
      </c>
    </row>
    <row r="26" spans="2:23" ht="10.95">
      <c r="B26" s="268">
        <v>250</v>
      </c>
      <c r="C26" s="388">
        <v>0.95799999999999996</v>
      </c>
      <c r="D26" s="388">
        <v>0.96200000000000008</v>
      </c>
      <c r="E26" s="388">
        <v>0.95799999999999996</v>
      </c>
      <c r="F26" s="389">
        <v>0.95</v>
      </c>
      <c r="G26" s="388">
        <v>0.95</v>
      </c>
      <c r="H26" s="388">
        <v>0.95799999999999996</v>
      </c>
      <c r="I26" s="388">
        <v>0.95799999999999996</v>
      </c>
      <c r="J26" s="389">
        <v>0.95</v>
      </c>
      <c r="K26" s="390">
        <f t="shared" si="0"/>
        <v>0.95</v>
      </c>
      <c r="L26" s="390">
        <f t="shared" si="1"/>
        <v>0.95799999999999996</v>
      </c>
      <c r="M26" s="390">
        <f t="shared" si="2"/>
        <v>0.95799999999999996</v>
      </c>
      <c r="N26" s="391">
        <f t="shared" si="3"/>
        <v>0.95</v>
      </c>
      <c r="O26" s="392">
        <f t="shared" si="4"/>
        <v>13.15789473684209</v>
      </c>
      <c r="P26" s="392">
        <f t="shared" si="5"/>
        <v>10.960334029227582</v>
      </c>
      <c r="Q26" s="392">
        <f t="shared" si="6"/>
        <v>10.960334029227582</v>
      </c>
      <c r="R26" s="392">
        <f t="shared" si="7"/>
        <v>13.15789473684209</v>
      </c>
      <c r="S26" s="417">
        <f t="shared" si="8"/>
        <v>10.960334029227582</v>
      </c>
      <c r="T26" s="393">
        <v>-0.45079999999999998</v>
      </c>
      <c r="U26" s="393">
        <v>1.2399</v>
      </c>
      <c r="V26" s="393">
        <v>-0.43009999999999998</v>
      </c>
      <c r="W26" s="394">
        <v>0.64100000000000001</v>
      </c>
    </row>
    <row r="27" spans="2:23" ht="10.95">
      <c r="B27" s="358" t="s">
        <v>337</v>
      </c>
      <c r="O27" s="395"/>
      <c r="P27" s="395"/>
      <c r="Q27" s="395"/>
      <c r="R27" s="395"/>
      <c r="S27" s="395"/>
    </row>
    <row r="28" spans="2:23" ht="10.95">
      <c r="B28" s="761" t="s">
        <v>63</v>
      </c>
      <c r="C28" s="761"/>
      <c r="D28" s="761"/>
      <c r="E28" s="761"/>
      <c r="F28" s="761"/>
      <c r="G28" s="761"/>
      <c r="H28" s="761"/>
      <c r="I28" s="761"/>
      <c r="J28" s="761"/>
      <c r="K28" s="761"/>
      <c r="L28" s="761"/>
      <c r="M28" s="761"/>
      <c r="N28" s="761"/>
      <c r="O28" s="761"/>
      <c r="P28" s="761"/>
      <c r="Q28" s="761"/>
      <c r="R28" s="761"/>
      <c r="S28" s="761"/>
      <c r="T28" s="761"/>
      <c r="U28" s="761"/>
      <c r="V28" s="761"/>
      <c r="W28" s="761"/>
    </row>
    <row r="29" spans="2:23" ht="11.25" customHeight="1">
      <c r="B29" s="762" t="s">
        <v>616</v>
      </c>
      <c r="C29" s="762"/>
      <c r="D29" s="762"/>
      <c r="E29" s="762"/>
      <c r="F29" s="762"/>
      <c r="G29" s="762"/>
      <c r="H29" s="762"/>
      <c r="I29" s="762"/>
      <c r="J29" s="762"/>
      <c r="K29" s="762"/>
      <c r="L29" s="762"/>
      <c r="M29" s="762"/>
      <c r="N29" s="762"/>
      <c r="O29" s="762"/>
      <c r="P29" s="762"/>
      <c r="Q29" s="762"/>
      <c r="R29" s="762"/>
      <c r="S29" s="762"/>
      <c r="T29" s="762"/>
      <c r="U29" s="762"/>
      <c r="V29" s="762"/>
      <c r="W29" s="762"/>
    </row>
    <row r="30" spans="2:23">
      <c r="B30" s="762"/>
      <c r="C30" s="762"/>
      <c r="D30" s="762"/>
      <c r="E30" s="762"/>
      <c r="F30" s="762"/>
      <c r="G30" s="762"/>
      <c r="H30" s="762"/>
      <c r="I30" s="762"/>
      <c r="J30" s="762"/>
      <c r="K30" s="762"/>
      <c r="L30" s="762"/>
      <c r="M30" s="762"/>
      <c r="N30" s="762"/>
      <c r="O30" s="762"/>
      <c r="P30" s="762"/>
      <c r="Q30" s="762"/>
      <c r="R30" s="762"/>
      <c r="S30" s="762"/>
      <c r="T30" s="762"/>
      <c r="U30" s="762"/>
      <c r="V30" s="762"/>
      <c r="W30" s="762"/>
    </row>
    <row r="31" spans="2:23">
      <c r="B31" s="762"/>
      <c r="C31" s="762"/>
      <c r="D31" s="762"/>
      <c r="E31" s="762"/>
      <c r="F31" s="762"/>
      <c r="G31" s="762"/>
      <c r="H31" s="762"/>
      <c r="I31" s="762"/>
      <c r="J31" s="762"/>
      <c r="K31" s="762"/>
      <c r="L31" s="762"/>
      <c r="M31" s="762"/>
      <c r="N31" s="762"/>
      <c r="O31" s="762"/>
      <c r="P31" s="762"/>
      <c r="Q31" s="762"/>
      <c r="R31" s="762"/>
      <c r="S31" s="762"/>
      <c r="T31" s="762"/>
      <c r="U31" s="762"/>
      <c r="V31" s="762"/>
      <c r="W31" s="762"/>
    </row>
    <row r="32" spans="2:23" ht="11.25" customHeight="1">
      <c r="B32" s="762"/>
      <c r="C32" s="762"/>
      <c r="D32" s="762"/>
      <c r="E32" s="762"/>
      <c r="F32" s="762"/>
      <c r="G32" s="762"/>
      <c r="H32" s="762"/>
      <c r="I32" s="762"/>
      <c r="J32" s="762"/>
      <c r="K32" s="762"/>
      <c r="L32" s="762"/>
      <c r="M32" s="762"/>
      <c r="N32" s="762"/>
      <c r="O32" s="762"/>
      <c r="P32" s="762"/>
      <c r="Q32" s="762"/>
      <c r="R32" s="762"/>
      <c r="S32" s="762"/>
      <c r="T32" s="762"/>
      <c r="U32" s="762"/>
      <c r="V32" s="762"/>
      <c r="W32" s="762"/>
    </row>
    <row r="33" spans="2:23" ht="11.25" customHeight="1">
      <c r="B33" s="762"/>
      <c r="C33" s="762"/>
      <c r="D33" s="762"/>
      <c r="E33" s="762"/>
      <c r="F33" s="762"/>
      <c r="G33" s="762"/>
      <c r="H33" s="762"/>
      <c r="I33" s="762"/>
      <c r="J33" s="762"/>
      <c r="K33" s="762"/>
      <c r="L33" s="762"/>
      <c r="M33" s="762"/>
      <c r="N33" s="762"/>
      <c r="O33" s="762"/>
      <c r="P33" s="762"/>
      <c r="Q33" s="762"/>
      <c r="R33" s="762"/>
      <c r="S33" s="762"/>
      <c r="T33" s="762"/>
      <c r="U33" s="762"/>
      <c r="V33" s="762"/>
      <c r="W33" s="762"/>
    </row>
    <row r="34" spans="2:23">
      <c r="B34" s="762"/>
      <c r="C34" s="762"/>
      <c r="D34" s="762"/>
      <c r="E34" s="762"/>
      <c r="F34" s="762"/>
      <c r="G34" s="762"/>
      <c r="H34" s="762"/>
      <c r="I34" s="762"/>
      <c r="J34" s="762"/>
      <c r="K34" s="762"/>
      <c r="L34" s="762"/>
      <c r="M34" s="762"/>
      <c r="N34" s="762"/>
      <c r="O34" s="762"/>
      <c r="P34" s="762"/>
      <c r="Q34" s="762"/>
      <c r="R34" s="762"/>
      <c r="S34" s="762"/>
      <c r="T34" s="762"/>
      <c r="U34" s="762"/>
      <c r="V34" s="762"/>
      <c r="W34" s="762"/>
    </row>
    <row r="35" spans="2:23" ht="11.25" customHeight="1">
      <c r="B35" s="762"/>
      <c r="C35" s="762"/>
      <c r="D35" s="762"/>
      <c r="E35" s="762"/>
      <c r="F35" s="762"/>
      <c r="G35" s="762"/>
      <c r="H35" s="762"/>
      <c r="I35" s="762"/>
      <c r="J35" s="762"/>
      <c r="K35" s="762"/>
      <c r="L35" s="762"/>
      <c r="M35" s="762"/>
      <c r="N35" s="762"/>
      <c r="O35" s="762"/>
      <c r="P35" s="762"/>
      <c r="Q35" s="762"/>
      <c r="R35" s="762"/>
      <c r="S35" s="762"/>
      <c r="T35" s="762"/>
      <c r="U35" s="762"/>
      <c r="V35" s="762"/>
      <c r="W35" s="762"/>
    </row>
    <row r="36" spans="2:23" ht="11.25" customHeight="1">
      <c r="B36" s="762"/>
      <c r="C36" s="762"/>
      <c r="D36" s="762"/>
      <c r="E36" s="762"/>
      <c r="F36" s="762"/>
      <c r="G36" s="762"/>
      <c r="H36" s="762"/>
      <c r="I36" s="762"/>
      <c r="J36" s="762"/>
      <c r="K36" s="762"/>
      <c r="L36" s="762"/>
      <c r="M36" s="762"/>
      <c r="N36" s="762"/>
      <c r="O36" s="762"/>
      <c r="P36" s="762"/>
      <c r="Q36" s="762"/>
      <c r="R36" s="762"/>
      <c r="S36" s="762"/>
      <c r="T36" s="762"/>
      <c r="U36" s="762"/>
      <c r="V36" s="762"/>
      <c r="W36" s="762"/>
    </row>
    <row r="37" spans="2:23">
      <c r="B37" s="762"/>
      <c r="C37" s="762"/>
      <c r="D37" s="762"/>
      <c r="E37" s="762"/>
      <c r="F37" s="762"/>
      <c r="G37" s="762"/>
      <c r="H37" s="762"/>
      <c r="I37" s="762"/>
      <c r="J37" s="762"/>
      <c r="K37" s="762"/>
      <c r="L37" s="762"/>
      <c r="M37" s="762"/>
      <c r="N37" s="762"/>
      <c r="O37" s="762"/>
      <c r="P37" s="762"/>
      <c r="Q37" s="762"/>
      <c r="R37" s="762"/>
      <c r="S37" s="762"/>
      <c r="T37" s="762"/>
      <c r="U37" s="762"/>
      <c r="V37" s="762"/>
      <c r="W37" s="762"/>
    </row>
    <row r="38" spans="2:23">
      <c r="B38" s="762"/>
      <c r="C38" s="762"/>
      <c r="D38" s="762"/>
      <c r="E38" s="762"/>
      <c r="F38" s="762"/>
      <c r="G38" s="762"/>
      <c r="H38" s="762"/>
      <c r="I38" s="762"/>
      <c r="J38" s="762"/>
      <c r="K38" s="762"/>
      <c r="L38" s="762"/>
      <c r="M38" s="762"/>
      <c r="N38" s="762"/>
      <c r="O38" s="762"/>
      <c r="P38" s="762"/>
      <c r="Q38" s="762"/>
      <c r="R38" s="762"/>
      <c r="S38" s="762"/>
      <c r="T38" s="762"/>
      <c r="U38" s="762"/>
      <c r="V38" s="762"/>
      <c r="W38" s="762"/>
    </row>
    <row r="39" spans="2:23">
      <c r="B39" s="762"/>
      <c r="C39" s="762"/>
      <c r="D39" s="762"/>
      <c r="E39" s="762"/>
      <c r="F39" s="762"/>
      <c r="G39" s="762"/>
      <c r="H39" s="762"/>
      <c r="I39" s="762"/>
      <c r="J39" s="762"/>
      <c r="K39" s="762"/>
      <c r="L39" s="762"/>
      <c r="M39" s="762"/>
      <c r="N39" s="762"/>
      <c r="O39" s="762"/>
      <c r="P39" s="762"/>
      <c r="Q39" s="762"/>
      <c r="R39" s="762"/>
      <c r="S39" s="762"/>
      <c r="T39" s="762"/>
      <c r="U39" s="762"/>
      <c r="V39" s="762"/>
      <c r="W39" s="762"/>
    </row>
    <row r="40" spans="2:23">
      <c r="B40" s="762"/>
      <c r="C40" s="762"/>
      <c r="D40" s="762"/>
      <c r="E40" s="762"/>
      <c r="F40" s="762"/>
      <c r="G40" s="762"/>
      <c r="H40" s="762"/>
      <c r="I40" s="762"/>
      <c r="J40" s="762"/>
      <c r="K40" s="762"/>
      <c r="L40" s="762"/>
      <c r="M40" s="762"/>
      <c r="N40" s="762"/>
      <c r="O40" s="762"/>
      <c r="P40" s="762"/>
      <c r="Q40" s="762"/>
      <c r="R40" s="762"/>
      <c r="S40" s="762"/>
      <c r="T40" s="762"/>
      <c r="U40" s="762"/>
      <c r="V40" s="762"/>
      <c r="W40" s="762"/>
    </row>
    <row r="41" spans="2:23">
      <c r="B41" s="762"/>
      <c r="C41" s="762"/>
      <c r="D41" s="762"/>
      <c r="E41" s="762"/>
      <c r="F41" s="762"/>
      <c r="G41" s="762"/>
      <c r="H41" s="762"/>
      <c r="I41" s="762"/>
      <c r="J41" s="762"/>
      <c r="K41" s="762"/>
      <c r="L41" s="762"/>
      <c r="M41" s="762"/>
      <c r="N41" s="762"/>
      <c r="O41" s="762"/>
      <c r="P41" s="762"/>
      <c r="Q41" s="762"/>
      <c r="R41" s="762"/>
      <c r="S41" s="762"/>
      <c r="T41" s="762"/>
      <c r="U41" s="762"/>
      <c r="V41" s="762"/>
      <c r="W41" s="762"/>
    </row>
    <row r="42" spans="2:23">
      <c r="B42" s="762"/>
      <c r="C42" s="762"/>
      <c r="D42" s="762"/>
      <c r="E42" s="762"/>
      <c r="F42" s="762"/>
      <c r="G42" s="762"/>
      <c r="H42" s="762"/>
      <c r="I42" s="762"/>
      <c r="J42" s="762"/>
      <c r="K42" s="762"/>
      <c r="L42" s="762"/>
      <c r="M42" s="762"/>
      <c r="N42" s="762"/>
      <c r="O42" s="762"/>
      <c r="P42" s="762"/>
      <c r="Q42" s="762"/>
      <c r="R42" s="762"/>
      <c r="S42" s="762"/>
      <c r="T42" s="762"/>
      <c r="U42" s="762"/>
      <c r="V42" s="762"/>
      <c r="W42" s="762"/>
    </row>
    <row r="43" spans="2:23">
      <c r="B43" s="762"/>
      <c r="C43" s="762"/>
      <c r="D43" s="762"/>
      <c r="E43" s="762"/>
      <c r="F43" s="762"/>
      <c r="G43" s="762"/>
      <c r="H43" s="762"/>
      <c r="I43" s="762"/>
      <c r="J43" s="762"/>
      <c r="K43" s="762"/>
      <c r="L43" s="762"/>
      <c r="M43" s="762"/>
      <c r="N43" s="762"/>
      <c r="O43" s="762"/>
      <c r="P43" s="762"/>
      <c r="Q43" s="762"/>
      <c r="R43" s="762"/>
      <c r="S43" s="762"/>
      <c r="T43" s="762"/>
      <c r="U43" s="762"/>
      <c r="V43" s="762"/>
      <c r="W43" s="762"/>
    </row>
    <row r="44" spans="2:23" ht="11.25" customHeight="1">
      <c r="B44" s="762"/>
      <c r="C44" s="762"/>
      <c r="D44" s="762"/>
      <c r="E44" s="762"/>
      <c r="F44" s="762"/>
      <c r="G44" s="762"/>
      <c r="H44" s="762"/>
      <c r="I44" s="762"/>
      <c r="J44" s="762"/>
      <c r="K44" s="762"/>
      <c r="L44" s="762"/>
      <c r="M44" s="762"/>
      <c r="N44" s="762"/>
      <c r="O44" s="762"/>
      <c r="P44" s="762"/>
      <c r="Q44" s="762"/>
      <c r="R44" s="762"/>
      <c r="S44" s="762"/>
      <c r="T44" s="762"/>
      <c r="U44" s="762"/>
      <c r="V44" s="762"/>
      <c r="W44" s="762"/>
    </row>
    <row r="45" spans="2:23" ht="11.25" customHeight="1">
      <c r="B45" s="762"/>
      <c r="C45" s="762"/>
      <c r="D45" s="762"/>
      <c r="E45" s="762"/>
      <c r="F45" s="762"/>
      <c r="G45" s="762"/>
      <c r="H45" s="762"/>
      <c r="I45" s="762"/>
      <c r="J45" s="762"/>
      <c r="K45" s="762"/>
      <c r="L45" s="762"/>
      <c r="M45" s="762"/>
      <c r="N45" s="762"/>
      <c r="O45" s="762"/>
      <c r="P45" s="762"/>
      <c r="Q45" s="762"/>
      <c r="R45" s="762"/>
      <c r="S45" s="762"/>
      <c r="T45" s="762"/>
      <c r="U45" s="762"/>
      <c r="V45" s="762"/>
      <c r="W45" s="762"/>
    </row>
    <row r="46" spans="2:23">
      <c r="B46" s="762"/>
      <c r="C46" s="762"/>
      <c r="D46" s="762"/>
      <c r="E46" s="762"/>
      <c r="F46" s="762"/>
      <c r="G46" s="762"/>
      <c r="H46" s="762"/>
      <c r="I46" s="762"/>
      <c r="J46" s="762"/>
      <c r="K46" s="762"/>
      <c r="L46" s="762"/>
      <c r="M46" s="762"/>
      <c r="N46" s="762"/>
      <c r="O46" s="762"/>
      <c r="P46" s="762"/>
      <c r="Q46" s="762"/>
      <c r="R46" s="762"/>
      <c r="S46" s="762"/>
      <c r="T46" s="762"/>
      <c r="U46" s="762"/>
      <c r="V46" s="762"/>
      <c r="W46" s="762"/>
    </row>
    <row r="47" spans="2:23">
      <c r="B47" s="762"/>
      <c r="C47" s="762"/>
      <c r="D47" s="762"/>
      <c r="E47" s="762"/>
      <c r="F47" s="762"/>
      <c r="G47" s="762"/>
      <c r="H47" s="762"/>
      <c r="I47" s="762"/>
      <c r="J47" s="762"/>
      <c r="K47" s="762"/>
      <c r="L47" s="762"/>
      <c r="M47" s="762"/>
      <c r="N47" s="762"/>
      <c r="O47" s="762"/>
      <c r="P47" s="762"/>
      <c r="Q47" s="762"/>
      <c r="R47" s="762"/>
      <c r="S47" s="762"/>
      <c r="T47" s="762"/>
      <c r="U47" s="762"/>
      <c r="V47" s="762"/>
      <c r="W47" s="762"/>
    </row>
    <row r="48" spans="2:23">
      <c r="B48" s="762"/>
      <c r="C48" s="762"/>
      <c r="D48" s="762"/>
      <c r="E48" s="762"/>
      <c r="F48" s="762"/>
      <c r="G48" s="762"/>
      <c r="H48" s="762"/>
      <c r="I48" s="762"/>
      <c r="J48" s="762"/>
      <c r="K48" s="762"/>
      <c r="L48" s="762"/>
      <c r="M48" s="762"/>
      <c r="N48" s="762"/>
      <c r="O48" s="762"/>
      <c r="P48" s="762"/>
      <c r="Q48" s="762"/>
      <c r="R48" s="762"/>
      <c r="S48" s="762"/>
      <c r="T48" s="762"/>
      <c r="U48" s="762"/>
      <c r="V48" s="762"/>
      <c r="W48" s="762"/>
    </row>
    <row r="49" spans="2:23">
      <c r="B49" s="762"/>
      <c r="C49" s="762"/>
      <c r="D49" s="762"/>
      <c r="E49" s="762"/>
      <c r="F49" s="762"/>
      <c r="G49" s="762"/>
      <c r="H49" s="762"/>
      <c r="I49" s="762"/>
      <c r="J49" s="762"/>
      <c r="K49" s="762"/>
      <c r="L49" s="762"/>
      <c r="M49" s="762"/>
      <c r="N49" s="762"/>
      <c r="O49" s="762"/>
      <c r="P49" s="762"/>
      <c r="Q49" s="762"/>
      <c r="R49" s="762"/>
      <c r="S49" s="762"/>
      <c r="T49" s="762"/>
      <c r="U49" s="762"/>
      <c r="V49" s="762"/>
      <c r="W49" s="762"/>
    </row>
    <row r="50" spans="2:23">
      <c r="B50" s="762"/>
      <c r="C50" s="762"/>
      <c r="D50" s="762"/>
      <c r="E50" s="762"/>
      <c r="F50" s="762"/>
      <c r="G50" s="762"/>
      <c r="H50" s="762"/>
      <c r="I50" s="762"/>
      <c r="J50" s="762"/>
      <c r="K50" s="762"/>
      <c r="L50" s="762"/>
      <c r="M50" s="762"/>
      <c r="N50" s="762"/>
      <c r="O50" s="762"/>
      <c r="P50" s="762"/>
      <c r="Q50" s="762"/>
      <c r="R50" s="762"/>
      <c r="S50" s="762"/>
      <c r="T50" s="762"/>
      <c r="U50" s="762"/>
      <c r="V50" s="762"/>
      <c r="W50" s="762"/>
    </row>
  </sheetData>
  <mergeCells count="11">
    <mergeCell ref="B28:W28"/>
    <mergeCell ref="B29:W50"/>
    <mergeCell ref="B3:W3"/>
    <mergeCell ref="Y3:AC3"/>
    <mergeCell ref="B4:B5"/>
    <mergeCell ref="O4:R5"/>
    <mergeCell ref="G4:J5"/>
    <mergeCell ref="C4:F5"/>
    <mergeCell ref="S4:S5"/>
    <mergeCell ref="T4:W5"/>
    <mergeCell ref="K4:N5"/>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B1:R198"/>
  <sheetViews>
    <sheetView topLeftCell="D1" zoomScale="115" zoomScaleNormal="115" zoomScalePageLayoutView="115" workbookViewId="0">
      <pane ySplit="4" topLeftCell="A29" activePane="bottomLeft" state="frozen"/>
      <selection pane="bottomLeft" activeCell="I41" sqref="I41"/>
    </sheetView>
  </sheetViews>
  <sheetFormatPr defaultColWidth="8.77734375" defaultRowHeight="12" customHeight="1"/>
  <cols>
    <col min="1" max="1" width="3.44140625" style="32" customWidth="1"/>
    <col min="2" max="2" width="17.109375" style="32" customWidth="1"/>
    <col min="3" max="3" width="16.6640625" style="32" customWidth="1"/>
    <col min="4" max="4" width="2.44140625" style="32" customWidth="1"/>
    <col min="5" max="5" width="16.6640625" style="295" customWidth="1"/>
    <col min="6" max="7" width="13" style="32" customWidth="1"/>
    <col min="8" max="8" width="18" style="32" customWidth="1"/>
    <col min="9" max="9" width="12.109375" style="32" customWidth="1"/>
    <col min="10" max="10" width="15.33203125" style="32" customWidth="1"/>
    <col min="11" max="11" width="15.44140625" style="32" customWidth="1"/>
    <col min="12" max="12" width="2.44140625" style="32" customWidth="1"/>
    <col min="13" max="13" width="12.44140625" style="32" customWidth="1"/>
    <col min="14" max="14" width="20.44140625" style="32" customWidth="1"/>
    <col min="15" max="15" width="19.77734375" style="616" customWidth="1"/>
    <col min="16" max="16" width="8.77734375" style="32"/>
    <col min="17" max="17" width="15.77734375" style="32" customWidth="1"/>
    <col min="18" max="21" width="8.77734375" style="32"/>
    <col min="22" max="22" width="17.77734375" style="32" customWidth="1"/>
    <col min="23" max="23" width="14.6640625" style="32" customWidth="1"/>
    <col min="24" max="24" width="8.77734375" style="32"/>
    <col min="25" max="25" width="12.33203125" style="32" customWidth="1"/>
    <col min="26" max="26" width="8.77734375" style="32"/>
    <col min="27" max="27" width="12.109375" style="32" customWidth="1"/>
    <col min="28" max="16384" width="8.77734375" style="32"/>
  </cols>
  <sheetData>
    <row r="1" spans="2:18" s="34" customFormat="1" ht="12" customHeight="1">
      <c r="B1" s="33" t="s">
        <v>37</v>
      </c>
      <c r="E1" s="298"/>
      <c r="O1" s="615"/>
    </row>
    <row r="2" spans="2:18" ht="12" customHeight="1" thickBot="1">
      <c r="B2" s="548"/>
      <c r="C2" s="548"/>
      <c r="E2" s="299"/>
    </row>
    <row r="3" spans="2:18" ht="12" customHeight="1">
      <c r="B3" s="213" t="s">
        <v>498</v>
      </c>
      <c r="C3" s="549" t="s">
        <v>502</v>
      </c>
      <c r="D3" s="209" t="s">
        <v>241</v>
      </c>
      <c r="E3" s="554">
        <f>IF(AND(C3="All",C4="Reference"),0, IF(AND(C3="Standalone Fans",C4="Reference"),1,IF(AND(C3="Embedded Fans",C4="Reference"),2,IF(AND(C3="All",C4="Short"),3,IF(AND(C3="Standalone Fans",C4="Short"),4,5)))))</f>
        <v>2</v>
      </c>
    </row>
    <row r="4" spans="2:18" ht="12" customHeight="1" thickBot="1">
      <c r="B4" s="214" t="s">
        <v>508</v>
      </c>
      <c r="C4" s="550" t="s">
        <v>240</v>
      </c>
      <c r="D4" s="209" t="s">
        <v>241</v>
      </c>
      <c r="N4" s="629"/>
    </row>
    <row r="5" spans="2:18" ht="12" customHeight="1">
      <c r="B5" s="548"/>
      <c r="C5" s="548"/>
    </row>
    <row r="6" spans="2:18" ht="12" customHeight="1">
      <c r="E6" s="661" t="s">
        <v>52</v>
      </c>
      <c r="F6" s="661"/>
      <c r="G6" s="661"/>
      <c r="H6" s="661"/>
      <c r="I6" s="661"/>
      <c r="J6" s="661"/>
      <c r="K6" s="661"/>
      <c r="M6" s="662" t="s">
        <v>406</v>
      </c>
      <c r="N6" s="662"/>
      <c r="O6" s="662"/>
    </row>
    <row r="7" spans="2:18" ht="12" customHeight="1">
      <c r="E7" s="663" t="s">
        <v>478</v>
      </c>
      <c r="F7" s="663"/>
      <c r="G7" s="663"/>
      <c r="H7" s="663"/>
      <c r="I7" s="663"/>
      <c r="J7" s="663"/>
      <c r="K7" s="663"/>
      <c r="M7" s="664" t="s">
        <v>400</v>
      </c>
      <c r="N7" s="664"/>
      <c r="O7" s="664"/>
    </row>
    <row r="8" spans="2:18" ht="12" customHeight="1">
      <c r="E8" s="665" t="s">
        <v>53</v>
      </c>
      <c r="F8" s="666" t="s">
        <v>54</v>
      </c>
      <c r="G8" s="666"/>
      <c r="H8" s="666"/>
      <c r="I8" s="666"/>
      <c r="J8" s="667" t="s">
        <v>55</v>
      </c>
      <c r="K8" s="667"/>
      <c r="M8" s="668" t="s">
        <v>53</v>
      </c>
      <c r="N8" s="671" t="s">
        <v>56</v>
      </c>
      <c r="O8" s="672"/>
    </row>
    <row r="9" spans="2:18" ht="10.199999999999999">
      <c r="E9" s="665"/>
      <c r="F9" s="675" t="s">
        <v>57</v>
      </c>
      <c r="G9" s="676" t="s">
        <v>58</v>
      </c>
      <c r="H9" s="675" t="s">
        <v>59</v>
      </c>
      <c r="I9" s="675" t="s">
        <v>60</v>
      </c>
      <c r="J9" s="675" t="s">
        <v>61</v>
      </c>
      <c r="K9" s="675" t="s">
        <v>62</v>
      </c>
      <c r="M9" s="669"/>
      <c r="N9" s="673"/>
      <c r="O9" s="674"/>
    </row>
    <row r="10" spans="2:18" ht="20.399999999999999">
      <c r="E10" s="665"/>
      <c r="F10" s="675"/>
      <c r="G10" s="676"/>
      <c r="H10" s="675"/>
      <c r="I10" s="675"/>
      <c r="J10" s="675"/>
      <c r="K10" s="675"/>
      <c r="M10" s="670"/>
      <c r="N10" s="312" t="s">
        <v>630</v>
      </c>
      <c r="O10" s="613" t="s">
        <v>477</v>
      </c>
    </row>
    <row r="11" spans="2:18" ht="12" customHeight="1">
      <c r="E11" s="31" t="s">
        <v>407</v>
      </c>
      <c r="F11" s="28">
        <f ca="1">OFFSET('LCC results'!E$2,'LCC results'!$M2+7*'Summary by EC'!$E$3,0)</f>
        <v>7034.9048030000004</v>
      </c>
      <c r="G11" s="28">
        <f ca="1">OFFSET('LCC results'!F$2,'LCC results'!$M2+7*'Summary by EC'!$E$3,0)</f>
        <v>2964.985756</v>
      </c>
      <c r="H11" s="28">
        <f ca="1">OFFSET('LCC results'!G$2,'LCC results'!$M2+7*'Summary by EC'!$E$3,0)</f>
        <v>33054.690757000004</v>
      </c>
      <c r="I11" s="28">
        <f ca="1">OFFSET('LCC results'!H$2,'LCC results'!$M2+7*'Summary by EC'!$E$3,0)</f>
        <v>40089.595560000002</v>
      </c>
      <c r="J11" s="28" t="str">
        <f ca="1">OFFSET('LCC results'!I$2,'LCC results'!$M2+7*'Summary by EC'!$E$3,0)</f>
        <v>---</v>
      </c>
      <c r="K11" s="28">
        <f ca="1">OFFSET('LCC results'!J$2,'LCC results'!$M2+7*'Summary by EC'!$E$3,0)</f>
        <v>17.580708659999999</v>
      </c>
      <c r="M11" s="30">
        <v>1</v>
      </c>
      <c r="N11" s="29">
        <f ca="1">OFFSET('LCC results'!K$3,'LCC results'!$M2+7*'Summary by EC'!$E$3,0)</f>
        <v>1.37795275591</v>
      </c>
      <c r="O11" s="28">
        <f ca="1">OFFSET('LCC results'!L$3,'LCC results'!$M2+7*'Summary by EC'!$E$3,0)</f>
        <v>2204.9524454900002</v>
      </c>
      <c r="R11" s="502"/>
    </row>
    <row r="12" spans="2:18" ht="12" customHeight="1">
      <c r="E12" s="31">
        <v>1</v>
      </c>
      <c r="F12" s="28">
        <f ca="1">OFFSET('LCC results'!E$2,'LCC results'!$M3+7*'Summary by EC'!$E$3,0)</f>
        <v>7137.6619689999998</v>
      </c>
      <c r="G12" s="28">
        <f ca="1">OFFSET('LCC results'!F$2,'LCC results'!$M3+7*'Summary by EC'!$E$3,0)</f>
        <v>2950.653851</v>
      </c>
      <c r="H12" s="28">
        <f ca="1">OFFSET('LCC results'!G$2,'LCC results'!$M3+7*'Summary by EC'!$E$3,0)</f>
        <v>32882.486271000002</v>
      </c>
      <c r="I12" s="28">
        <f ca="1">OFFSET('LCC results'!H$2,'LCC results'!$M3+7*'Summary by EC'!$E$3,0)</f>
        <v>40020.148240000002</v>
      </c>
      <c r="J12" s="28">
        <f ca="1">OFFSET('LCC results'!I$2,'LCC results'!$M3+7*'Summary by EC'!$E$3,0)</f>
        <v>7.1698192890000003</v>
      </c>
      <c r="K12" s="28">
        <f ca="1">OFFSET('LCC results'!J$2,'LCC results'!$M3+7*'Summary by EC'!$E$3,0)</f>
        <v>17.580708659999999</v>
      </c>
      <c r="M12" s="30">
        <v>2</v>
      </c>
      <c r="N12" s="29">
        <f ca="1">OFFSET('LCC results'!K$3,'LCC results'!$M3+7*'Summary by EC'!$E$3,0)</f>
        <v>1.5748031496099999</v>
      </c>
      <c r="O12" s="28">
        <f ca="1">OFFSET('LCC results'!L$3,'LCC results'!$M3+7*'Summary by EC'!$E$3,0)</f>
        <v>2326.7487966200001</v>
      </c>
      <c r="R12" s="502"/>
    </row>
    <row r="13" spans="2:18" ht="12" customHeight="1">
      <c r="E13" s="31">
        <v>2</v>
      </c>
      <c r="F13" s="28">
        <f ca="1">OFFSET('LCC results'!E$2,'LCC results'!$M4+7*'Summary by EC'!$E$3,0)</f>
        <v>7175.2095870000003</v>
      </c>
      <c r="G13" s="28">
        <f ca="1">OFFSET('LCC results'!F$2,'LCC results'!$M4+7*'Summary by EC'!$E$3,0)</f>
        <v>2941.9293050000001</v>
      </c>
      <c r="H13" s="28">
        <f ca="1">OFFSET('LCC results'!G$2,'LCC results'!$M4+7*'Summary by EC'!$E$3,0)</f>
        <v>32809.041043000005</v>
      </c>
      <c r="I13" s="28">
        <f ca="1">OFFSET('LCC results'!H$2,'LCC results'!$M4+7*'Summary by EC'!$E$3,0)</f>
        <v>39984.250630000002</v>
      </c>
      <c r="J13" s="28">
        <f ca="1">OFFSET('LCC results'!I$2,'LCC results'!$M4+7*'Summary by EC'!$E$3,0)</f>
        <v>6.0852723209999997</v>
      </c>
      <c r="K13" s="28">
        <f ca="1">OFFSET('LCC results'!J$2,'LCC results'!$M4+7*'Summary by EC'!$E$3,0)</f>
        <v>17.580708659999999</v>
      </c>
      <c r="M13" s="30">
        <v>3</v>
      </c>
      <c r="N13" s="29">
        <f ca="1">OFFSET('LCC results'!K$3,'LCC results'!$M4+7*'Summary by EC'!$E$3,0)</f>
        <v>1.9685039370099999</v>
      </c>
      <c r="O13" s="28">
        <f ca="1">OFFSET('LCC results'!L$3,'LCC results'!$M4+7*'Summary by EC'!$E$3,0)</f>
        <v>3249.4846845799998</v>
      </c>
      <c r="R13" s="502"/>
    </row>
    <row r="14" spans="2:18" ht="12" customHeight="1">
      <c r="E14" s="31">
        <v>3</v>
      </c>
      <c r="F14" s="28">
        <f ca="1">OFFSET('LCC results'!E$2,'LCC results'!$M5+7*'Summary by EC'!$E$3,0)</f>
        <v>7221.6614760000002</v>
      </c>
      <c r="G14" s="28">
        <f ca="1">OFFSET('LCC results'!F$2,'LCC results'!$M5+7*'Summary by EC'!$E$3,0)</f>
        <v>2925.5500670000001</v>
      </c>
      <c r="H14" s="28">
        <f ca="1">OFFSET('LCC results'!G$2,'LCC results'!$M5+7*'Summary by EC'!$E$3,0)</f>
        <v>32631.259013999996</v>
      </c>
      <c r="I14" s="28">
        <f ca="1">OFFSET('LCC results'!H$2,'LCC results'!$M5+7*'Summary by EC'!$E$3,0)</f>
        <v>39852.920489999997</v>
      </c>
      <c r="J14" s="28">
        <f ca="1">OFFSET('LCC results'!I$2,'LCC results'!$M5+7*'Summary by EC'!$E$3,0)</f>
        <v>4.7357274540000001</v>
      </c>
      <c r="K14" s="28">
        <f ca="1">OFFSET('LCC results'!J$2,'LCC results'!$M5+7*'Summary by EC'!$E$3,0)</f>
        <v>17.580708659999999</v>
      </c>
      <c r="M14" s="30">
        <v>4</v>
      </c>
      <c r="N14" s="29">
        <f ca="1">OFFSET('LCC results'!K$3,'LCC results'!$M5+7*'Summary by EC'!$E$3,0)</f>
        <v>5.3149606299199998</v>
      </c>
      <c r="O14" s="28">
        <f ca="1">OFFSET('LCC results'!L$3,'LCC results'!$M5+7*'Summary by EC'!$E$3,0)</f>
        <v>1216.1723191000001</v>
      </c>
      <c r="R14" s="502"/>
    </row>
    <row r="15" spans="2:18" ht="12" customHeight="1">
      <c r="E15" s="31">
        <v>4</v>
      </c>
      <c r="F15" s="28">
        <f ca="1">OFFSET('LCC results'!E$2,'LCC results'!$M6+7*'Summary by EC'!$E$3,0)</f>
        <v>7297.125059</v>
      </c>
      <c r="G15" s="28">
        <f ca="1">OFFSET('LCC results'!F$2,'LCC results'!$M6+7*'Summary by EC'!$E$3,0)</f>
        <v>2925.2587440000002</v>
      </c>
      <c r="H15" s="28">
        <f ca="1">OFFSET('LCC results'!G$2,'LCC results'!$M6+7*'Summary by EC'!$E$3,0)</f>
        <v>32648.828100999999</v>
      </c>
      <c r="I15" s="28">
        <f ca="1">OFFSET('LCC results'!H$2,'LCC results'!$M6+7*'Summary by EC'!$E$3,0)</f>
        <v>39945.953159999997</v>
      </c>
      <c r="J15" s="28">
        <f ca="1">OFFSET('LCC results'!I$2,'LCC results'!$M6+7*'Summary by EC'!$E$3,0)</f>
        <v>6.600553326</v>
      </c>
      <c r="K15" s="28">
        <f ca="1">OFFSET('LCC results'!J$2,'LCC results'!$M6+7*'Summary by EC'!$E$3,0)</f>
        <v>17.580708659999999</v>
      </c>
      <c r="M15" s="30">
        <v>5</v>
      </c>
      <c r="N15" s="29">
        <f ca="1">OFFSET('LCC results'!K$3,'LCC results'!$M6+7*'Summary by EC'!$E$3,0)</f>
        <v>6.88976377953</v>
      </c>
      <c r="O15" s="28">
        <f ca="1">OFFSET('LCC results'!L$3,'LCC results'!$M6+7*'Summary by EC'!$E$3,0)</f>
        <v>2184.4822808399999</v>
      </c>
      <c r="R15" s="502"/>
    </row>
    <row r="16" spans="2:18" ht="12" customHeight="1">
      <c r="E16" s="31">
        <v>5</v>
      </c>
      <c r="F16" s="28">
        <f ca="1">OFFSET('LCC results'!E$2,'LCC results'!$M7+7*'Summary by EC'!$E$3,0)</f>
        <v>7484.0393309999999</v>
      </c>
      <c r="G16" s="28">
        <f ca="1">OFFSET('LCC results'!F$2,'LCC results'!$M7+7*'Summary by EC'!$E$3,0)</f>
        <v>2890.4775030000001</v>
      </c>
      <c r="H16" s="28">
        <f ca="1">OFFSET('LCC results'!G$2,'LCC results'!$M7+7*'Summary by EC'!$E$3,0)</f>
        <v>32240.042458999997</v>
      </c>
      <c r="I16" s="28">
        <f ca="1">OFFSET('LCC results'!H$2,'LCC results'!$M7+7*'Summary by EC'!$E$3,0)</f>
        <v>39724.081789999997</v>
      </c>
      <c r="J16" s="28">
        <f ca="1">OFFSET('LCC results'!I$2,'LCC results'!$M7+7*'Summary by EC'!$E$3,0)</f>
        <v>6.0279836519999996</v>
      </c>
      <c r="K16" s="28">
        <f ca="1">OFFSET('LCC results'!J$2,'LCC results'!$M7+7*'Summary by EC'!$E$3,0)</f>
        <v>17.580708659999999</v>
      </c>
      <c r="M16" s="30">
        <v>6</v>
      </c>
      <c r="N16" s="29">
        <f ca="1">OFFSET('LCC results'!K$3,'LCC results'!$M7+7*'Summary by EC'!$E$3,0)</f>
        <v>19.8818897638</v>
      </c>
      <c r="O16" s="28">
        <f ca="1">OFFSET('LCC results'!L$3,'LCC results'!$M7+7*'Summary by EC'!$E$3,0)</f>
        <v>2903.6233643999999</v>
      </c>
      <c r="R16" s="502"/>
    </row>
    <row r="17" spans="5:18" ht="12" customHeight="1">
      <c r="E17" s="31">
        <v>6</v>
      </c>
      <c r="F17" s="28">
        <f ca="1">OFFSET('LCC results'!E$2,'LCC results'!$M8+7*'Summary by EC'!$E$3,0)</f>
        <v>8294.6390159999992</v>
      </c>
      <c r="G17" s="28">
        <f ca="1">OFFSET('LCC results'!F$2,'LCC results'!$M8+7*'Summary by EC'!$E$3,0)</f>
        <v>2688.9074089999999</v>
      </c>
      <c r="H17" s="28">
        <f ca="1">OFFSET('LCC results'!G$2,'LCC results'!$M8+7*'Summary by EC'!$E$3,0)</f>
        <v>29948.755074000001</v>
      </c>
      <c r="I17" s="28">
        <f ca="1">OFFSET('LCC results'!H$2,'LCC results'!$M8+7*'Summary by EC'!$E$3,0)</f>
        <v>38243.394090000002</v>
      </c>
      <c r="J17" s="28">
        <f ca="1">OFFSET('LCC results'!I$2,'LCC results'!$M8+7*'Summary by EC'!$E$3,0)</f>
        <v>4.5629591270000001</v>
      </c>
      <c r="K17" s="28">
        <f ca="1">OFFSET('LCC results'!J$2,'LCC results'!$M8+7*'Summary by EC'!$E$3,0)</f>
        <v>17.580708659999999</v>
      </c>
      <c r="M17" s="547" t="s">
        <v>486</v>
      </c>
      <c r="N17" s="547"/>
      <c r="R17" s="502"/>
    </row>
    <row r="18" spans="5:18" ht="12" customHeight="1">
      <c r="E18" s="296" t="s">
        <v>487</v>
      </c>
      <c r="M18" s="677"/>
      <c r="N18" s="677"/>
      <c r="O18" s="677"/>
      <c r="P18" s="677"/>
      <c r="Q18" s="502"/>
      <c r="R18" s="502"/>
    </row>
    <row r="19" spans="5:18" ht="12" customHeight="1">
      <c r="M19" s="677"/>
      <c r="N19" s="677"/>
      <c r="O19" s="677"/>
      <c r="P19" s="677"/>
      <c r="Q19" s="502"/>
      <c r="R19" s="502"/>
    </row>
    <row r="20" spans="5:18" ht="12" customHeight="1">
      <c r="E20" s="663" t="s">
        <v>479</v>
      </c>
      <c r="F20" s="663"/>
      <c r="G20" s="663"/>
      <c r="H20" s="663"/>
      <c r="I20" s="663"/>
      <c r="J20" s="663"/>
      <c r="K20" s="663"/>
      <c r="M20" s="663" t="s">
        <v>384</v>
      </c>
      <c r="N20" s="663"/>
      <c r="O20" s="663"/>
      <c r="Q20" s="502"/>
      <c r="R20" s="502"/>
    </row>
    <row r="21" spans="5:18" ht="12" customHeight="1">
      <c r="E21" s="665" t="s">
        <v>53</v>
      </c>
      <c r="F21" s="666" t="s">
        <v>54</v>
      </c>
      <c r="G21" s="666"/>
      <c r="H21" s="666"/>
      <c r="I21" s="666"/>
      <c r="J21" s="667" t="s">
        <v>55</v>
      </c>
      <c r="K21" s="667"/>
      <c r="M21" s="675" t="s">
        <v>53</v>
      </c>
      <c r="N21" s="675" t="s">
        <v>56</v>
      </c>
      <c r="O21" s="675"/>
      <c r="Q21" s="502"/>
      <c r="R21" s="502"/>
    </row>
    <row r="22" spans="5:18" ht="12" customHeight="1">
      <c r="E22" s="665"/>
      <c r="F22" s="675" t="s">
        <v>57</v>
      </c>
      <c r="G22" s="676" t="s">
        <v>58</v>
      </c>
      <c r="H22" s="675" t="s">
        <v>59</v>
      </c>
      <c r="I22" s="675" t="s">
        <v>60</v>
      </c>
      <c r="J22" s="675" t="s">
        <v>61</v>
      </c>
      <c r="K22" s="675" t="s">
        <v>62</v>
      </c>
      <c r="M22" s="675"/>
      <c r="N22" s="675"/>
      <c r="O22" s="675"/>
      <c r="Q22" s="502"/>
      <c r="R22" s="502"/>
    </row>
    <row r="23" spans="5:18" ht="20.399999999999999">
      <c r="E23" s="665"/>
      <c r="F23" s="675"/>
      <c r="G23" s="676"/>
      <c r="H23" s="675"/>
      <c r="I23" s="675"/>
      <c r="J23" s="675"/>
      <c r="K23" s="675"/>
      <c r="M23" s="675"/>
      <c r="N23" s="630" t="s">
        <v>630</v>
      </c>
      <c r="O23" s="613" t="s">
        <v>477</v>
      </c>
      <c r="Q23" s="502"/>
      <c r="R23" s="502"/>
    </row>
    <row r="24" spans="5:18" ht="12" customHeight="1">
      <c r="E24" s="31" t="s">
        <v>407</v>
      </c>
      <c r="F24" s="28">
        <f ca="1">OFFSET('LCC results'!E$170,'LCC results'!$M2+7*'Summary by EC'!$E$3,0)</f>
        <v>1673.5319219999999</v>
      </c>
      <c r="G24" s="28">
        <f ca="1">OFFSET('LCC results'!F$170,'LCC results'!$M2+7*'Summary by EC'!$E$3,0)</f>
        <v>334.86691250000001</v>
      </c>
      <c r="H24" s="28">
        <f ca="1">OFFSET('LCC results'!G$170,'LCC results'!$M2+7*'Summary by EC'!$E$3,0)</f>
        <v>4173.3170469999995</v>
      </c>
      <c r="I24" s="28">
        <f ca="1">OFFSET('LCC results'!H$170,'LCC results'!$M2+7*'Summary by EC'!$E$3,0)</f>
        <v>5846.8489689999997</v>
      </c>
      <c r="J24" s="28" t="str">
        <f ca="1">OFFSET('LCC results'!I$170,'LCC results'!$M2+7*'Summary by EC'!$E$3,0)</f>
        <v>---</v>
      </c>
      <c r="K24" s="28">
        <f ca="1">OFFSET('LCC results'!J$170,'LCC results'!$M2+7*'Summary by EC'!$E$3,0)</f>
        <v>20.582435790000002</v>
      </c>
      <c r="M24" s="30">
        <v>1</v>
      </c>
      <c r="N24" s="29">
        <f ca="1">OFFSET('LCC results'!K$171,'LCC results'!$M2+7*'Summary by EC'!$E$3,0)</f>
        <v>1.13228389948</v>
      </c>
      <c r="O24" s="28">
        <f ca="1">OFFSET('LCC results'!L$171,'LCC results'!$M2+7*'Summary by EC'!$E$3,0)</f>
        <v>778.12995920200001</v>
      </c>
      <c r="Q24" s="502"/>
      <c r="R24" s="502"/>
    </row>
    <row r="25" spans="5:18" ht="12" customHeight="1">
      <c r="E25" s="31">
        <v>1</v>
      </c>
      <c r="F25" s="28">
        <f ca="1">OFFSET('LCC results'!E$170,'LCC results'!$M3+7*'Summary by EC'!$E$3,0)</f>
        <v>1696.3370890000001</v>
      </c>
      <c r="G25" s="28">
        <f ca="1">OFFSET('LCC results'!F$170,'LCC results'!$M3+7*'Summary by EC'!$E$3,0)</f>
        <v>329.24444749999998</v>
      </c>
      <c r="H25" s="28">
        <f ca="1">OFFSET('LCC results'!G$170,'LCC results'!$M3+7*'Summary by EC'!$E$3,0)</f>
        <v>4103.6650609999997</v>
      </c>
      <c r="I25" s="28">
        <f ca="1">OFFSET('LCC results'!H$170,'LCC results'!$M3+7*'Summary by EC'!$E$3,0)</f>
        <v>5800.0021500000003</v>
      </c>
      <c r="J25" s="28">
        <f ca="1">OFFSET('LCC results'!I$170,'LCC results'!$M3+7*'Summary by EC'!$E$3,0)</f>
        <v>4.0560798350000002</v>
      </c>
      <c r="K25" s="28">
        <f ca="1">OFFSET('LCC results'!J$170,'LCC results'!$M3+7*'Summary by EC'!$E$3,0)</f>
        <v>20.582435790000002</v>
      </c>
      <c r="M25" s="30">
        <v>2</v>
      </c>
      <c r="N25" s="29">
        <f ca="1">OFFSET('LCC results'!K$171,'LCC results'!$M3+7*'Summary by EC'!$E$3,0)</f>
        <v>2.5407346036999998</v>
      </c>
      <c r="O25" s="28">
        <f ca="1">OFFSET('LCC results'!L$171,'LCC results'!$M3+7*'Summary by EC'!$E$3,0)</f>
        <v>594.11183114200003</v>
      </c>
      <c r="Q25" s="502"/>
      <c r="R25" s="502"/>
    </row>
    <row r="26" spans="5:18" ht="12" customHeight="1">
      <c r="E26" s="31">
        <v>2</v>
      </c>
      <c r="F26" s="28">
        <f ca="1">OFFSET('LCC results'!E$170,'LCC results'!$M4+7*'Summary by EC'!$E$3,0)</f>
        <v>1710.433331</v>
      </c>
      <c r="G26" s="28">
        <f ca="1">OFFSET('LCC results'!F$170,'LCC results'!$M4+7*'Summary by EC'!$E$3,0)</f>
        <v>327.26530179999997</v>
      </c>
      <c r="H26" s="28">
        <f ca="1">OFFSET('LCC results'!G$170,'LCC results'!$M4+7*'Summary by EC'!$E$3,0)</f>
        <v>4078.1693800000003</v>
      </c>
      <c r="I26" s="28">
        <f ca="1">OFFSET('LCC results'!H$170,'LCC results'!$M4+7*'Summary by EC'!$E$3,0)</f>
        <v>5788.6027110000005</v>
      </c>
      <c r="J26" s="28">
        <f ca="1">OFFSET('LCC results'!I$170,'LCC results'!$M4+7*'Summary by EC'!$E$3,0)</f>
        <v>4.8544196680000002</v>
      </c>
      <c r="K26" s="28">
        <f ca="1">OFFSET('LCC results'!J$170,'LCC results'!$M4+7*'Summary by EC'!$E$3,0)</f>
        <v>20.582435790000002</v>
      </c>
      <c r="M26" s="30">
        <v>3</v>
      </c>
      <c r="N26" s="29">
        <f ca="1">OFFSET('LCC results'!K$171,'LCC results'!$M4+7*'Summary by EC'!$E$3,0)</f>
        <v>4.25296879315</v>
      </c>
      <c r="O26" s="28">
        <f ca="1">OFFSET('LCC results'!L$171,'LCC results'!$M4+7*'Summary by EC'!$E$3,0)</f>
        <v>503.66626272600001</v>
      </c>
      <c r="Q26" s="502"/>
      <c r="R26" s="502"/>
    </row>
    <row r="27" spans="5:18" ht="12" customHeight="1">
      <c r="E27" s="31">
        <v>3</v>
      </c>
      <c r="F27" s="28">
        <f ca="1">OFFSET('LCC results'!E$170,'LCC results'!$M5+7*'Summary by EC'!$E$3,0)</f>
        <v>1729.822977</v>
      </c>
      <c r="G27" s="28">
        <f ca="1">OFFSET('LCC results'!F$170,'LCC results'!$M5+7*'Summary by EC'!$E$3,0)</f>
        <v>324.34804070000001</v>
      </c>
      <c r="H27" s="28">
        <f ca="1">OFFSET('LCC results'!G$170,'LCC results'!$M5+7*'Summary by EC'!$E$3,0)</f>
        <v>4041.2187250000006</v>
      </c>
      <c r="I27" s="28">
        <f ca="1">OFFSET('LCC results'!H$170,'LCC results'!$M5+7*'Summary by EC'!$E$3,0)</f>
        <v>5771.0417020000004</v>
      </c>
      <c r="J27" s="28">
        <f ca="1">OFFSET('LCC results'!I$170,'LCC results'!$M5+7*'Summary by EC'!$E$3,0)</f>
        <v>5.3514346369999997</v>
      </c>
      <c r="K27" s="28">
        <f ca="1">OFFSET('LCC results'!J$170,'LCC results'!$M5+7*'Summary by EC'!$E$3,0)</f>
        <v>20.582435790000002</v>
      </c>
      <c r="M27" s="30">
        <v>4</v>
      </c>
      <c r="N27" s="29">
        <f ca="1">OFFSET('LCC results'!K$171,'LCC results'!$M5+7*'Summary by EC'!$E$3,0)</f>
        <v>7.5669704501500004</v>
      </c>
      <c r="O27" s="28">
        <f ca="1">OFFSET('LCC results'!L$171,'LCC results'!$M5+7*'Summary by EC'!$E$3,0)</f>
        <v>383.978122692</v>
      </c>
      <c r="Q27" s="502"/>
      <c r="R27" s="502"/>
    </row>
    <row r="28" spans="5:18" ht="12" customHeight="1">
      <c r="E28" s="31">
        <v>4</v>
      </c>
      <c r="F28" s="28">
        <f ca="1">OFFSET('LCC results'!E$170,'LCC results'!$M6+7*'Summary by EC'!$E$3,0)</f>
        <v>1753.7208619999999</v>
      </c>
      <c r="G28" s="28">
        <f ca="1">OFFSET('LCC results'!F$170,'LCC results'!$M6+7*'Summary by EC'!$E$3,0)</f>
        <v>321.62715989999998</v>
      </c>
      <c r="H28" s="28">
        <f ca="1">OFFSET('LCC results'!G$170,'LCC results'!$M6+7*'Summary by EC'!$E$3,0)</f>
        <v>4007.0219939999997</v>
      </c>
      <c r="I28" s="28">
        <f ca="1">OFFSET('LCC results'!H$170,'LCC results'!$M6+7*'Summary by EC'!$E$3,0)</f>
        <v>5760.7428559999998</v>
      </c>
      <c r="J28" s="28">
        <f ca="1">OFFSET('LCC results'!I$170,'LCC results'!$M6+7*'Summary by EC'!$E$3,0)</f>
        <v>6.0566795869999996</v>
      </c>
      <c r="K28" s="28">
        <f ca="1">OFFSET('LCC results'!J$170,'LCC results'!$M6+7*'Summary by EC'!$E$3,0)</f>
        <v>20.582435790000002</v>
      </c>
      <c r="M28" s="30">
        <v>5</v>
      </c>
      <c r="N28" s="29">
        <f ca="1">OFFSET('LCC results'!K$171,'LCC results'!$M6+7*'Summary by EC'!$E$3,0)</f>
        <v>9.6382214857800008</v>
      </c>
      <c r="O28" s="28">
        <f ca="1">OFFSET('LCC results'!L$171,'LCC results'!$M6+7*'Summary by EC'!$E$3,0)</f>
        <v>422.79964166799999</v>
      </c>
      <c r="Q28" s="502"/>
      <c r="R28" s="502"/>
    </row>
    <row r="29" spans="5:18" ht="12" customHeight="1">
      <c r="E29" s="31">
        <v>5</v>
      </c>
      <c r="F29" s="28">
        <f ca="1">OFFSET('LCC results'!E$170,'LCC results'!$M7+7*'Summary by EC'!$E$3,0)</f>
        <v>1779.9263209999999</v>
      </c>
      <c r="G29" s="28">
        <f ca="1">OFFSET('LCC results'!F$170,'LCC results'!$M7+7*'Summary by EC'!$E$3,0)</f>
        <v>316.68960900000002</v>
      </c>
      <c r="H29" s="28">
        <f ca="1">OFFSET('LCC results'!G$170,'LCC results'!$M7+7*'Summary by EC'!$E$3,0)</f>
        <v>3945.1386030000003</v>
      </c>
      <c r="I29" s="28">
        <f ca="1">OFFSET('LCC results'!H$170,'LCC results'!$M7+7*'Summary by EC'!$E$3,0)</f>
        <v>5725.0649240000002</v>
      </c>
      <c r="J29" s="28">
        <f ca="1">OFFSET('LCC results'!I$170,'LCC results'!$M7+7*'Summary by EC'!$E$3,0)</f>
        <v>5.8531453249999998</v>
      </c>
      <c r="K29" s="28">
        <f ca="1">OFFSET('LCC results'!J$170,'LCC results'!$M7+7*'Summary by EC'!$E$3,0)</f>
        <v>20.582435790000002</v>
      </c>
      <c r="M29" s="30">
        <v>6</v>
      </c>
      <c r="N29" s="29">
        <f ca="1">OFFSET('LCC results'!K$171,'LCC results'!$M7+7*'Summary by EC'!$E$3,0)</f>
        <v>18.806959403499999</v>
      </c>
      <c r="O29" s="28">
        <f ca="1">OFFSET('LCC results'!L$171,'LCC results'!$M7+7*'Summary by EC'!$E$3,0)</f>
        <v>435.71597570400002</v>
      </c>
      <c r="Q29" s="502"/>
      <c r="R29" s="502"/>
    </row>
    <row r="30" spans="5:18" ht="12" customHeight="1">
      <c r="E30" s="31">
        <v>6</v>
      </c>
      <c r="F30" s="28">
        <f ca="1">OFFSET('LCC results'!E$170,'LCC results'!$M8+7*'Summary by EC'!$E$3,0)</f>
        <v>1854.510309</v>
      </c>
      <c r="G30" s="28">
        <f ca="1">OFFSET('LCC results'!F$170,'LCC results'!$M8+7*'Summary by EC'!$E$3,0)</f>
        <v>302.2034228</v>
      </c>
      <c r="H30" s="28">
        <f ca="1">OFFSET('LCC results'!G$170,'LCC results'!$M8+7*'Summary by EC'!$E$3,0)</f>
        <v>3764.3127619999996</v>
      </c>
      <c r="I30" s="28">
        <f ca="1">OFFSET('LCC results'!H$170,'LCC results'!$M8+7*'Summary by EC'!$E$3,0)</f>
        <v>5618.8230709999998</v>
      </c>
      <c r="J30" s="28">
        <f ca="1">OFFSET('LCC results'!I$170,'LCC results'!$M8+7*'Summary by EC'!$E$3,0)</f>
        <v>5.5406935700000002</v>
      </c>
      <c r="K30" s="28">
        <f ca="1">OFFSET('LCC results'!J$170,'LCC results'!$M8+7*'Summary by EC'!$E$3,0)</f>
        <v>20.582435790000002</v>
      </c>
      <c r="M30" s="32" t="s">
        <v>488</v>
      </c>
      <c r="Q30" s="502"/>
      <c r="R30" s="502"/>
    </row>
    <row r="31" spans="5:18" ht="12" customHeight="1">
      <c r="E31" s="296" t="s">
        <v>487</v>
      </c>
      <c r="Q31" s="502"/>
      <c r="R31" s="502"/>
    </row>
    <row r="32" spans="5:18" ht="12" customHeight="1">
      <c r="Q32" s="502"/>
      <c r="R32" s="502"/>
    </row>
    <row r="33" spans="5:18" ht="12" customHeight="1">
      <c r="E33" s="663" t="s">
        <v>480</v>
      </c>
      <c r="F33" s="663"/>
      <c r="G33" s="663"/>
      <c r="H33" s="663"/>
      <c r="I33" s="663"/>
      <c r="J33" s="663"/>
      <c r="K33" s="663"/>
      <c r="M33" s="663" t="s">
        <v>401</v>
      </c>
      <c r="N33" s="663"/>
      <c r="O33" s="663"/>
      <c r="Q33" s="502"/>
      <c r="R33" s="502"/>
    </row>
    <row r="34" spans="5:18" ht="12" customHeight="1">
      <c r="E34" s="665" t="s">
        <v>53</v>
      </c>
      <c r="F34" s="666" t="s">
        <v>54</v>
      </c>
      <c r="G34" s="666"/>
      <c r="H34" s="666"/>
      <c r="I34" s="666"/>
      <c r="J34" s="667" t="s">
        <v>55</v>
      </c>
      <c r="K34" s="667"/>
      <c r="M34" s="675" t="s">
        <v>53</v>
      </c>
      <c r="N34" s="675" t="s">
        <v>56</v>
      </c>
      <c r="O34" s="675"/>
      <c r="Q34" s="502"/>
      <c r="R34" s="502"/>
    </row>
    <row r="35" spans="5:18" ht="12" customHeight="1">
      <c r="E35" s="665"/>
      <c r="F35" s="675" t="s">
        <v>57</v>
      </c>
      <c r="G35" s="676" t="s">
        <v>58</v>
      </c>
      <c r="H35" s="675" t="s">
        <v>59</v>
      </c>
      <c r="I35" s="675" t="s">
        <v>60</v>
      </c>
      <c r="J35" s="675" t="s">
        <v>61</v>
      </c>
      <c r="K35" s="675" t="s">
        <v>62</v>
      </c>
      <c r="M35" s="675"/>
      <c r="N35" s="675"/>
      <c r="O35" s="675"/>
      <c r="Q35" s="502"/>
      <c r="R35" s="502"/>
    </row>
    <row r="36" spans="5:18" ht="20.399999999999999">
      <c r="E36" s="665"/>
      <c r="F36" s="675"/>
      <c r="G36" s="676"/>
      <c r="H36" s="675"/>
      <c r="I36" s="675"/>
      <c r="J36" s="675"/>
      <c r="K36" s="675"/>
      <c r="M36" s="675"/>
      <c r="N36" s="630" t="s">
        <v>630</v>
      </c>
      <c r="O36" s="613" t="s">
        <v>477</v>
      </c>
      <c r="Q36" s="502"/>
      <c r="R36" s="502"/>
    </row>
    <row r="37" spans="5:18" ht="12" customHeight="1">
      <c r="E37" s="31" t="s">
        <v>407</v>
      </c>
      <c r="F37" s="28">
        <f ca="1">OFFSET('LCC results'!E$44,'LCC results'!$M2+7*'Summary by EC'!$E$3,0)</f>
        <v>1858.3779099999999</v>
      </c>
      <c r="G37" s="28">
        <f ca="1">OFFSET('LCC results'!F$44,'LCC results'!$M2+7*'Summary by EC'!$E$3,0)</f>
        <v>1048.2093170000001</v>
      </c>
      <c r="H37" s="28">
        <f ca="1">OFFSET('LCC results'!G$44,'LCC results'!$M2+7*'Summary by EC'!$E$3,0)</f>
        <v>11676.861280000001</v>
      </c>
      <c r="I37" s="28">
        <f ca="1">OFFSET('LCC results'!H$44,'LCC results'!$M2+7*'Summary by EC'!$E$3,0)</f>
        <v>13535.23919</v>
      </c>
      <c r="J37" s="28" t="str">
        <f ca="1">OFFSET('LCC results'!I$44,'LCC results'!$M2+7*'Summary by EC'!$E$3,0)</f>
        <v>---</v>
      </c>
      <c r="K37" s="28">
        <f ca="1">OFFSET('LCC results'!J$44,'LCC results'!$M2+7*'Summary by EC'!$E$3,0)</f>
        <v>17.69532182</v>
      </c>
      <c r="M37" s="30">
        <v>1</v>
      </c>
      <c r="N37" s="29">
        <f ca="1">OFFSET('LCC results'!K$45,'LCC results'!$M2+7*'Summary by EC'!$E$3,0)</f>
        <v>9.9013445779300007</v>
      </c>
      <c r="O37" s="28">
        <f ca="1">OFFSET('LCC results'!L$45,'LCC results'!$M2+7*'Summary by EC'!$E$3,0)</f>
        <v>783.16259303499999</v>
      </c>
      <c r="Q37" s="502"/>
      <c r="R37" s="502"/>
    </row>
    <row r="38" spans="5:18" ht="12" customHeight="1">
      <c r="E38" s="31">
        <v>1</v>
      </c>
      <c r="F38" s="28">
        <f ca="1">OFFSET('LCC results'!E$44,'LCC results'!$M3+7*'Summary by EC'!$E$3,0)</f>
        <v>1982.0438340000001</v>
      </c>
      <c r="G38" s="28">
        <f ca="1">OFFSET('LCC results'!F$44,'LCC results'!$M3+7*'Summary by EC'!$E$3,0)</f>
        <v>1024.250164</v>
      </c>
      <c r="H38" s="28">
        <f ca="1">OFFSET('LCC results'!G$44,'LCC results'!$M3+7*'Summary by EC'!$E$3,0)</f>
        <v>11405.304796</v>
      </c>
      <c r="I38" s="28">
        <f ca="1">OFFSET('LCC results'!H$44,'LCC results'!$M3+7*'Summary by EC'!$E$3,0)</f>
        <v>13387.34863</v>
      </c>
      <c r="J38" s="28">
        <f ca="1">OFFSET('LCC results'!I$44,'LCC results'!$M3+7*'Summary by EC'!$E$3,0)</f>
        <v>5.1615314469999998</v>
      </c>
      <c r="K38" s="28">
        <f ca="1">OFFSET('LCC results'!J$44,'LCC results'!$M3+7*'Summary by EC'!$E$3,0)</f>
        <v>17.69532182</v>
      </c>
      <c r="M38" s="30">
        <v>2</v>
      </c>
      <c r="N38" s="29">
        <f ca="1">OFFSET('LCC results'!K$45,'LCC results'!$M3+7*'Summary by EC'!$E$3,0)</f>
        <v>11.3732198266</v>
      </c>
      <c r="O38" s="28">
        <f ca="1">OFFSET('LCC results'!L$45,'LCC results'!$M3+7*'Summary by EC'!$E$3,0)</f>
        <v>637.13482530600004</v>
      </c>
      <c r="Q38" s="502"/>
      <c r="R38" s="502"/>
    </row>
    <row r="39" spans="5:18" ht="12" customHeight="1">
      <c r="E39" s="31">
        <v>2</v>
      </c>
      <c r="F39" s="28">
        <f ca="1">OFFSET('LCC results'!E$44,'LCC results'!$M4+7*'Summary by EC'!$E$3,0)</f>
        <v>2008.573856</v>
      </c>
      <c r="G39" s="28">
        <f ca="1">OFFSET('LCC results'!F$44,'LCC results'!$M4+7*'Summary by EC'!$E$3,0)</f>
        <v>1021.683419</v>
      </c>
      <c r="H39" s="28">
        <f ca="1">OFFSET('LCC results'!G$44,'LCC results'!$M4+7*'Summary by EC'!$E$3,0)</f>
        <v>11377.329733999999</v>
      </c>
      <c r="I39" s="28">
        <f ca="1">OFFSET('LCC results'!H$44,'LCC results'!$M4+7*'Summary by EC'!$E$3,0)</f>
        <v>13385.90359</v>
      </c>
      <c r="J39" s="28">
        <f ca="1">OFFSET('LCC results'!I$44,'LCC results'!$M4+7*'Summary by EC'!$E$3,0)</f>
        <v>5.6622378769999999</v>
      </c>
      <c r="K39" s="28">
        <f ca="1">OFFSET('LCC results'!J$44,'LCC results'!$M4+7*'Summary by EC'!$E$3,0)</f>
        <v>17.69532182</v>
      </c>
      <c r="M39" s="30">
        <v>3</v>
      </c>
      <c r="N39" s="29">
        <f ca="1">OFFSET('LCC results'!K$45,'LCC results'!$M4+7*'Summary by EC'!$E$3,0)</f>
        <v>13.7520884716</v>
      </c>
      <c r="O39" s="28">
        <f ca="1">OFFSET('LCC results'!L$45,'LCC results'!$M4+7*'Summary by EC'!$E$3,0)</f>
        <v>965.63403719400003</v>
      </c>
      <c r="Q39" s="502"/>
      <c r="R39" s="502"/>
    </row>
    <row r="40" spans="5:18" ht="12" customHeight="1">
      <c r="E40" s="31">
        <v>3</v>
      </c>
      <c r="F40" s="28">
        <f ca="1">OFFSET('LCC results'!E$44,'LCC results'!$M5+7*'Summary by EC'!$E$3,0)</f>
        <v>2036.0769769999999</v>
      </c>
      <c r="G40" s="28">
        <f ca="1">OFFSET('LCC results'!F$44,'LCC results'!$M5+7*'Summary by EC'!$E$3,0)</f>
        <v>1007.1927920000001</v>
      </c>
      <c r="H40" s="28">
        <f ca="1">OFFSET('LCC results'!G$44,'LCC results'!$M5+7*'Summary by EC'!$E$3,0)</f>
        <v>11216.324943</v>
      </c>
      <c r="I40" s="28">
        <f ca="1">OFFSET('LCC results'!H$44,'LCC results'!$M5+7*'Summary by EC'!$E$3,0)</f>
        <v>13252.40192</v>
      </c>
      <c r="J40" s="28">
        <f ca="1">OFFSET('LCC results'!I$44,'LCC results'!$M5+7*'Summary by EC'!$E$3,0)</f>
        <v>4.3323774789999998</v>
      </c>
      <c r="K40" s="28">
        <f ca="1">OFFSET('LCC results'!J$44,'LCC results'!$M5+7*'Summary by EC'!$E$3,0)</f>
        <v>17.69532182</v>
      </c>
      <c r="M40" s="30">
        <v>4</v>
      </c>
      <c r="N40" s="29">
        <f ca="1">OFFSET('LCC results'!K$45,'LCC results'!$M5+7*'Summary by EC'!$E$3,0)</f>
        <v>15.8326040258</v>
      </c>
      <c r="O40" s="28">
        <f ca="1">OFFSET('LCC results'!L$45,'LCC results'!$M5+7*'Summary by EC'!$E$3,0)</f>
        <v>975.22591011500003</v>
      </c>
      <c r="Q40" s="502"/>
      <c r="R40" s="502"/>
    </row>
    <row r="41" spans="5:18" ht="12" customHeight="1">
      <c r="E41" s="31">
        <v>4</v>
      </c>
      <c r="F41" s="28">
        <f ca="1">OFFSET('LCC results'!E$44,'LCC results'!$M6+7*'Summary by EC'!$E$3,0)</f>
        <v>2072.1049619999999</v>
      </c>
      <c r="G41" s="28">
        <f ca="1">OFFSET('LCC results'!F$44,'LCC results'!$M6+7*'Summary by EC'!$E$3,0)</f>
        <v>996.9050201</v>
      </c>
      <c r="H41" s="28">
        <f ca="1">OFFSET('LCC results'!G$44,'LCC results'!$M6+7*'Summary by EC'!$E$3,0)</f>
        <v>11102.884898</v>
      </c>
      <c r="I41" s="28">
        <f ca="1">OFFSET('LCC results'!H$44,'LCC results'!$M6+7*'Summary by EC'!$E$3,0)</f>
        <v>13174.98986</v>
      </c>
      <c r="J41" s="28">
        <f ca="1">OFFSET('LCC results'!I$44,'LCC results'!$M6+7*'Summary by EC'!$E$3,0)</f>
        <v>4.1658704130000004</v>
      </c>
      <c r="K41" s="28">
        <f ca="1">OFFSET('LCC results'!J$44,'LCC results'!$M6+7*'Summary by EC'!$E$3,0)</f>
        <v>17.69532182</v>
      </c>
      <c r="M41" s="30">
        <v>5</v>
      </c>
      <c r="N41" s="29">
        <f ca="1">OFFSET('LCC results'!K$45,'LCC results'!$M6+7*'Summary by EC'!$E$3,0)</f>
        <v>22.277030790000001</v>
      </c>
      <c r="O41" s="28">
        <f ca="1">OFFSET('LCC results'!L$45,'LCC results'!$M6+7*'Summary by EC'!$E$3,0)</f>
        <v>667.54232677100003</v>
      </c>
      <c r="Q41" s="502"/>
      <c r="R41" s="502"/>
    </row>
    <row r="42" spans="5:18" ht="12" customHeight="1">
      <c r="E42" s="31">
        <v>5</v>
      </c>
      <c r="F42" s="28">
        <f ca="1">OFFSET('LCC results'!E$44,'LCC results'!$M7+7*'Summary by EC'!$E$3,0)</f>
        <v>2148.7399369999998</v>
      </c>
      <c r="G42" s="28">
        <f ca="1">OFFSET('LCC results'!F$44,'LCC results'!$M7+7*'Summary by EC'!$E$3,0)</f>
        <v>993.9853445</v>
      </c>
      <c r="H42" s="28">
        <f ca="1">OFFSET('LCC results'!G$44,'LCC results'!$M7+7*'Summary by EC'!$E$3,0)</f>
        <v>11071.263552999999</v>
      </c>
      <c r="I42" s="28">
        <f ca="1">OFFSET('LCC results'!H$44,'LCC results'!$M7+7*'Summary by EC'!$E$3,0)</f>
        <v>13220.003489999999</v>
      </c>
      <c r="J42" s="28">
        <f ca="1">OFFSET('LCC results'!I$44,'LCC results'!$M7+7*'Summary by EC'!$E$3,0)</f>
        <v>5.354864536</v>
      </c>
      <c r="K42" s="28">
        <f ca="1">OFFSET('LCC results'!J$44,'LCC results'!$M7+7*'Summary by EC'!$E$3,0)</f>
        <v>17.69532182</v>
      </c>
      <c r="M42" s="30">
        <v>6</v>
      </c>
      <c r="N42" s="29">
        <f ca="1">OFFSET('LCC results'!K$45,'LCC results'!$M7+7*'Summary by EC'!$E$3,0)</f>
        <v>29.700055692599999</v>
      </c>
      <c r="O42" s="28">
        <f ca="1">OFFSET('LCC results'!L$45,'LCC results'!$M7+7*'Summary by EC'!$E$3,0)</f>
        <v>947.21075467699995</v>
      </c>
      <c r="Q42" s="502"/>
      <c r="R42" s="502"/>
    </row>
    <row r="43" spans="5:18" ht="12" customHeight="1">
      <c r="E43" s="31">
        <v>6</v>
      </c>
      <c r="F43" s="28">
        <f ca="1">OFFSET('LCC results'!E$44,'LCC results'!$M8+7*'Summary by EC'!$E$3,0)</f>
        <v>2342.2041170000002</v>
      </c>
      <c r="G43" s="28">
        <f ca="1">OFFSET('LCC results'!F$44,'LCC results'!$M8+7*'Summary by EC'!$E$3,0)</f>
        <v>941.98910650000005</v>
      </c>
      <c r="H43" s="28">
        <f ca="1">OFFSET('LCC results'!G$44,'LCC results'!$M8+7*'Summary by EC'!$E$3,0)</f>
        <v>10492.141323</v>
      </c>
      <c r="I43" s="28">
        <f ca="1">OFFSET('LCC results'!H$44,'LCC results'!$M8+7*'Summary by EC'!$E$3,0)</f>
        <v>12834.345439999999</v>
      </c>
      <c r="J43" s="28">
        <f ca="1">OFFSET('LCC results'!I$44,'LCC results'!$M8+7*'Summary by EC'!$E$3,0)</f>
        <v>4.5549355020000002</v>
      </c>
      <c r="K43" s="28">
        <f ca="1">OFFSET('LCC results'!J$44,'LCC results'!$M8+7*'Summary by EC'!$E$3,0)</f>
        <v>17.69532182</v>
      </c>
      <c r="M43" s="32" t="s">
        <v>488</v>
      </c>
      <c r="Q43" s="502"/>
      <c r="R43" s="502"/>
    </row>
    <row r="44" spans="5:18" ht="12" customHeight="1">
      <c r="E44" s="296" t="s">
        <v>487</v>
      </c>
      <c r="Q44" s="502"/>
      <c r="R44" s="502"/>
    </row>
    <row r="45" spans="5:18" ht="12" customHeight="1">
      <c r="Q45" s="502"/>
      <c r="R45" s="502"/>
    </row>
    <row r="46" spans="5:18" ht="12" customHeight="1">
      <c r="E46" s="663" t="s">
        <v>481</v>
      </c>
      <c r="F46" s="663"/>
      <c r="G46" s="663"/>
      <c r="H46" s="663"/>
      <c r="I46" s="663"/>
      <c r="J46" s="663"/>
      <c r="K46" s="663"/>
      <c r="M46" s="663" t="s">
        <v>30</v>
      </c>
      <c r="N46" s="663"/>
      <c r="O46" s="663"/>
      <c r="Q46" s="502"/>
      <c r="R46" s="502"/>
    </row>
    <row r="47" spans="5:18" ht="12" customHeight="1">
      <c r="E47" s="665" t="s">
        <v>53</v>
      </c>
      <c r="F47" s="666" t="s">
        <v>54</v>
      </c>
      <c r="G47" s="666"/>
      <c r="H47" s="666"/>
      <c r="I47" s="666"/>
      <c r="J47" s="667" t="s">
        <v>55</v>
      </c>
      <c r="K47" s="667"/>
      <c r="M47" s="675" t="s">
        <v>53</v>
      </c>
      <c r="N47" s="675" t="s">
        <v>56</v>
      </c>
      <c r="O47" s="675"/>
      <c r="Q47" s="502"/>
      <c r="R47" s="502"/>
    </row>
    <row r="48" spans="5:18" ht="12" customHeight="1">
      <c r="E48" s="665"/>
      <c r="F48" s="675" t="s">
        <v>57</v>
      </c>
      <c r="G48" s="676" t="s">
        <v>58</v>
      </c>
      <c r="H48" s="675" t="s">
        <v>59</v>
      </c>
      <c r="I48" s="675" t="s">
        <v>60</v>
      </c>
      <c r="J48" s="675" t="s">
        <v>61</v>
      </c>
      <c r="K48" s="675" t="s">
        <v>62</v>
      </c>
      <c r="M48" s="675"/>
      <c r="N48" s="675"/>
      <c r="O48" s="675"/>
      <c r="Q48" s="502"/>
      <c r="R48" s="502"/>
    </row>
    <row r="49" spans="5:18" ht="20.399999999999999">
      <c r="E49" s="665"/>
      <c r="F49" s="675"/>
      <c r="G49" s="676"/>
      <c r="H49" s="675"/>
      <c r="I49" s="675"/>
      <c r="J49" s="675"/>
      <c r="K49" s="675"/>
      <c r="M49" s="675"/>
      <c r="N49" s="630" t="s">
        <v>630</v>
      </c>
      <c r="O49" s="613" t="s">
        <v>477</v>
      </c>
      <c r="Q49" s="502"/>
      <c r="R49" s="502"/>
    </row>
    <row r="50" spans="5:18" ht="12" customHeight="1">
      <c r="E50" s="31" t="s">
        <v>407</v>
      </c>
      <c r="F50" s="28">
        <f ca="1">OFFSET('LCC results'!E$86,'LCC results'!$M2+7*'Summary by EC'!$E$3,0)</f>
        <v>4393.9019399999997</v>
      </c>
      <c r="G50" s="28">
        <f ca="1">OFFSET('LCC results'!F$86,'LCC results'!$M2+7*'Summary by EC'!$E$3,0)</f>
        <v>2618.2840299999998</v>
      </c>
      <c r="H50" s="28">
        <f ca="1">OFFSET('LCC results'!G$86,'LCC results'!$M2+7*'Summary by EC'!$E$3,0)</f>
        <v>28780.48374</v>
      </c>
      <c r="I50" s="28">
        <f ca="1">OFFSET('LCC results'!H$86,'LCC results'!$M2+7*'Summary by EC'!$E$3,0)</f>
        <v>33174.385679999999</v>
      </c>
      <c r="J50" s="28" t="str">
        <f ca="1">OFFSET('LCC results'!I$86,'LCC results'!$M2+7*'Summary by EC'!$E$3,0)</f>
        <v>---</v>
      </c>
      <c r="K50" s="28">
        <f ca="1">OFFSET('LCC results'!J$86,'LCC results'!$M2+7*'Summary by EC'!$E$3,0)</f>
        <v>17.11293178</v>
      </c>
      <c r="M50" s="30">
        <v>1</v>
      </c>
      <c r="N50" s="29">
        <f ca="1">OFFSET('LCC results'!K$87,'LCC results'!$M2+7*'Summary by EC'!$E$3,0)</f>
        <v>0.60823385229899996</v>
      </c>
      <c r="O50" s="28">
        <f ca="1">OFFSET('LCC results'!L$87,'LCC results'!$M2+7*'Summary by EC'!$E$3,0)</f>
        <v>2762.4932734700001</v>
      </c>
      <c r="Q50" s="502"/>
      <c r="R50" s="502"/>
    </row>
    <row r="51" spans="5:18" ht="12" customHeight="1">
      <c r="E51" s="31">
        <v>1</v>
      </c>
      <c r="F51" s="28">
        <f ca="1">OFFSET('LCC results'!E$86,'LCC results'!$M3+7*'Summary by EC'!$E$3,0)</f>
        <v>4420.8342789999997</v>
      </c>
      <c r="G51" s="28">
        <f ca="1">OFFSET('LCC results'!F$86,'LCC results'!$M3+7*'Summary by EC'!$E$3,0)</f>
        <v>2611.1970999999999</v>
      </c>
      <c r="H51" s="28">
        <f ca="1">OFFSET('LCC results'!G$86,'LCC results'!$M3+7*'Summary by EC'!$E$3,0)</f>
        <v>28706.278921000001</v>
      </c>
      <c r="I51" s="28">
        <f ca="1">OFFSET('LCC results'!H$86,'LCC results'!$M3+7*'Summary by EC'!$E$3,0)</f>
        <v>33127.1132</v>
      </c>
      <c r="J51" s="28">
        <f ca="1">OFFSET('LCC results'!I$86,'LCC results'!$M3+7*'Summary by EC'!$E$3,0)</f>
        <v>3.8002831459999999</v>
      </c>
      <c r="K51" s="28">
        <f ca="1">OFFSET('LCC results'!J$86,'LCC results'!$M3+7*'Summary by EC'!$E$3,0)</f>
        <v>17.11293178</v>
      </c>
      <c r="M51" s="30">
        <v>2</v>
      </c>
      <c r="N51" s="29">
        <f ca="1">OFFSET('LCC results'!K$87,'LCC results'!$M3+7*'Summary by EC'!$E$3,0)</f>
        <v>0.97589759883799998</v>
      </c>
      <c r="O51" s="28">
        <f ca="1">OFFSET('LCC results'!L$87,'LCC results'!$M3+7*'Summary by EC'!$E$3,0)</f>
        <v>2420.0181744800002</v>
      </c>
      <c r="Q51" s="502"/>
      <c r="R51" s="502"/>
    </row>
    <row r="52" spans="5:18" ht="12" customHeight="1">
      <c r="E52" s="31">
        <v>2</v>
      </c>
      <c r="F52" s="28">
        <f ca="1">OFFSET('LCC results'!E$86,'LCC results'!$M4+7*'Summary by EC'!$E$3,0)</f>
        <v>4429.4924339999998</v>
      </c>
      <c r="G52" s="28">
        <f ca="1">OFFSET('LCC results'!F$86,'LCC results'!$M4+7*'Summary by EC'!$E$3,0)</f>
        <v>2608.383194</v>
      </c>
      <c r="H52" s="28">
        <f ca="1">OFFSET('LCC results'!G$86,'LCC results'!$M4+7*'Summary by EC'!$E$3,0)</f>
        <v>28675.031166000001</v>
      </c>
      <c r="I52" s="28">
        <f ca="1">OFFSET('LCC results'!H$86,'LCC results'!$M4+7*'Summary by EC'!$E$3,0)</f>
        <v>33104.5236</v>
      </c>
      <c r="J52" s="28">
        <f ca="1">OFFSET('LCC results'!I$86,'LCC results'!$M4+7*'Summary by EC'!$E$3,0)</f>
        <v>3.5946959359999999</v>
      </c>
      <c r="K52" s="28">
        <f ca="1">OFFSET('LCC results'!J$86,'LCC results'!$M4+7*'Summary by EC'!$E$3,0)</f>
        <v>17.11293178</v>
      </c>
      <c r="M52" s="30">
        <v>3</v>
      </c>
      <c r="N52" s="29">
        <f ca="1">OFFSET('LCC results'!K$87,'LCC results'!$M4+7*'Summary by EC'!$E$3,0)</f>
        <v>1.6976079161199999</v>
      </c>
      <c r="O52" s="28">
        <f ca="1">OFFSET('LCC results'!L$87,'LCC results'!$M4+7*'Summary by EC'!$E$3,0)</f>
        <v>2086.82728709</v>
      </c>
      <c r="Q52" s="502"/>
      <c r="R52" s="502"/>
    </row>
    <row r="53" spans="5:18" ht="12" customHeight="1">
      <c r="E53" s="31">
        <v>3</v>
      </c>
      <c r="F53" s="28">
        <f ca="1">OFFSET('LCC results'!E$86,'LCC results'!$M5+7*'Summary by EC'!$E$3,0)</f>
        <v>4440.973234</v>
      </c>
      <c r="G53" s="28">
        <f ca="1">OFFSET('LCC results'!F$86,'LCC results'!$M5+7*'Summary by EC'!$E$3,0)</f>
        <v>2603.5771800000002</v>
      </c>
      <c r="H53" s="28">
        <f ca="1">OFFSET('LCC results'!G$86,'LCC results'!$M5+7*'Summary by EC'!$E$3,0)</f>
        <v>28623.250395999999</v>
      </c>
      <c r="I53" s="28">
        <f ca="1">OFFSET('LCC results'!H$86,'LCC results'!$M5+7*'Summary by EC'!$E$3,0)</f>
        <v>33064.22363</v>
      </c>
      <c r="J53" s="28">
        <f ca="1">OFFSET('LCC results'!I$86,'LCC results'!$M5+7*'Summary by EC'!$E$3,0)</f>
        <v>3.2006374609999999</v>
      </c>
      <c r="K53" s="28">
        <f ca="1">OFFSET('LCC results'!J$86,'LCC results'!$M5+7*'Summary by EC'!$E$3,0)</f>
        <v>17.11293178</v>
      </c>
      <c r="M53" s="30">
        <v>4</v>
      </c>
      <c r="N53" s="29">
        <f ca="1">OFFSET('LCC results'!K$87,'LCC results'!$M5+7*'Summary by EC'!$E$3,0)</f>
        <v>2.7733648041399999</v>
      </c>
      <c r="O53" s="28">
        <f ca="1">OFFSET('LCC results'!L$87,'LCC results'!$M5+7*'Summary by EC'!$E$3,0)</f>
        <v>2116.6297195400002</v>
      </c>
      <c r="Q53" s="502"/>
      <c r="R53" s="502"/>
    </row>
    <row r="54" spans="5:18" ht="12" customHeight="1">
      <c r="E54" s="31">
        <v>4</v>
      </c>
      <c r="F54" s="28">
        <f ca="1">OFFSET('LCC results'!E$86,'LCC results'!$M6+7*'Summary by EC'!$E$3,0)</f>
        <v>4459.6158660000001</v>
      </c>
      <c r="G54" s="28">
        <f ca="1">OFFSET('LCC results'!F$86,'LCC results'!$M6+7*'Summary by EC'!$E$3,0)</f>
        <v>2593.6726979999999</v>
      </c>
      <c r="H54" s="28">
        <f ca="1">OFFSET('LCC results'!G$86,'LCC results'!$M6+7*'Summary by EC'!$E$3,0)</f>
        <v>28512.435733999999</v>
      </c>
      <c r="I54" s="28">
        <f ca="1">OFFSET('LCC results'!H$86,'LCC results'!$M6+7*'Summary by EC'!$E$3,0)</f>
        <v>32972.051599999999</v>
      </c>
      <c r="J54" s="28">
        <f ca="1">OFFSET('LCC results'!I$86,'LCC results'!$M6+7*'Summary by EC'!$E$3,0)</f>
        <v>2.6700678550000001</v>
      </c>
      <c r="K54" s="28">
        <f ca="1">OFFSET('LCC results'!J$86,'LCC results'!$M6+7*'Summary by EC'!$E$3,0)</f>
        <v>17.11293178</v>
      </c>
      <c r="M54" s="30">
        <v>5</v>
      </c>
      <c r="N54" s="29">
        <f ca="1">OFFSET('LCC results'!K$87,'LCC results'!$M6+7*'Summary by EC'!$E$3,0)</f>
        <v>5.0383550451600003</v>
      </c>
      <c r="O54" s="28">
        <f ca="1">OFFSET('LCC results'!L$87,'LCC results'!$M6+7*'Summary by EC'!$E$3,0)</f>
        <v>1667.19367491</v>
      </c>
      <c r="Q54" s="502"/>
      <c r="R54" s="502"/>
    </row>
    <row r="55" spans="5:18" ht="12" customHeight="1">
      <c r="E55" s="31">
        <v>5</v>
      </c>
      <c r="F55" s="28">
        <f ca="1">OFFSET('LCC results'!E$86,'LCC results'!$M7+7*'Summary by EC'!$E$3,0)</f>
        <v>4481.7481889999999</v>
      </c>
      <c r="G55" s="28">
        <f ca="1">OFFSET('LCC results'!F$86,'LCC results'!$M7+7*'Summary by EC'!$E$3,0)</f>
        <v>2584.7568080000001</v>
      </c>
      <c r="H55" s="28">
        <f ca="1">OFFSET('LCC results'!G$86,'LCC results'!$M7+7*'Summary by EC'!$E$3,0)</f>
        <v>28412.489021000001</v>
      </c>
      <c r="I55" s="28">
        <f ca="1">OFFSET('LCC results'!H$86,'LCC results'!$M7+7*'Summary by EC'!$E$3,0)</f>
        <v>32894.237209999999</v>
      </c>
      <c r="J55" s="28">
        <f ca="1">OFFSET('LCC results'!I$86,'LCC results'!$M7+7*'Summary by EC'!$E$3,0)</f>
        <v>2.6201469689999999</v>
      </c>
      <c r="K55" s="28">
        <f ca="1">OFFSET('LCC results'!J$86,'LCC results'!$M7+7*'Summary by EC'!$E$3,0)</f>
        <v>17.11293178</v>
      </c>
      <c r="M55" s="30">
        <v>6</v>
      </c>
      <c r="N55" s="29">
        <f ca="1">OFFSET('LCC results'!K$87,'LCC results'!$M7+7*'Summary by EC'!$E$3,0)</f>
        <v>18.169851572799999</v>
      </c>
      <c r="O55" s="28">
        <f ca="1">OFFSET('LCC results'!L$87,'LCC results'!$M7+7*'Summary by EC'!$E$3,0)</f>
        <v>2515.4272736799999</v>
      </c>
      <c r="Q55" s="502"/>
      <c r="R55" s="502"/>
    </row>
    <row r="56" spans="5:18" ht="12" customHeight="1">
      <c r="E56" s="31">
        <v>6</v>
      </c>
      <c r="F56" s="28">
        <f ca="1">OFFSET('LCC results'!E$86,'LCC results'!$M8+7*'Summary by EC'!$E$3,0)</f>
        <v>4646.9298859999999</v>
      </c>
      <c r="G56" s="28">
        <f ca="1">OFFSET('LCC results'!F$86,'LCC results'!$M8+7*'Summary by EC'!$E$3,0)</f>
        <v>2422.7750209999999</v>
      </c>
      <c r="H56" s="28">
        <f ca="1">OFFSET('LCC results'!G$86,'LCC results'!$M8+7*'Summary by EC'!$E$3,0)</f>
        <v>26634.634164000003</v>
      </c>
      <c r="I56" s="28">
        <f ca="1">OFFSET('LCC results'!H$86,'LCC results'!$M8+7*'Summary by EC'!$E$3,0)</f>
        <v>31281.564050000001</v>
      </c>
      <c r="J56" s="28">
        <f ca="1">OFFSET('LCC results'!I$86,'LCC results'!$M8+7*'Summary by EC'!$E$3,0)</f>
        <v>1.29420095</v>
      </c>
      <c r="K56" s="28">
        <f ca="1">OFFSET('LCC results'!J$86,'LCC results'!$M8+7*'Summary by EC'!$E$3,0)</f>
        <v>17.11293178</v>
      </c>
      <c r="M56" s="32" t="s">
        <v>488</v>
      </c>
      <c r="Q56" s="502"/>
      <c r="R56" s="502"/>
    </row>
    <row r="57" spans="5:18" ht="12" customHeight="1">
      <c r="E57" s="296" t="s">
        <v>487</v>
      </c>
      <c r="Q57" s="502"/>
      <c r="R57" s="502"/>
    </row>
    <row r="58" spans="5:18" ht="12" customHeight="1">
      <c r="Q58" s="502"/>
      <c r="R58" s="502"/>
    </row>
    <row r="59" spans="5:18" ht="12" customHeight="1">
      <c r="E59" s="663" t="s">
        <v>482</v>
      </c>
      <c r="F59" s="663"/>
      <c r="G59" s="663"/>
      <c r="H59" s="663"/>
      <c r="I59" s="663"/>
      <c r="J59" s="663"/>
      <c r="K59" s="663"/>
      <c r="M59" s="663" t="s">
        <v>31</v>
      </c>
      <c r="N59" s="663"/>
      <c r="O59" s="663"/>
      <c r="Q59" s="502"/>
      <c r="R59" s="502"/>
    </row>
    <row r="60" spans="5:18" ht="12" customHeight="1">
      <c r="E60" s="665" t="s">
        <v>53</v>
      </c>
      <c r="F60" s="666" t="s">
        <v>54</v>
      </c>
      <c r="G60" s="666"/>
      <c r="H60" s="666"/>
      <c r="I60" s="666"/>
      <c r="J60" s="667" t="s">
        <v>55</v>
      </c>
      <c r="K60" s="667"/>
      <c r="M60" s="675" t="s">
        <v>53</v>
      </c>
      <c r="N60" s="675" t="s">
        <v>56</v>
      </c>
      <c r="O60" s="675"/>
      <c r="Q60" s="502"/>
      <c r="R60" s="502"/>
    </row>
    <row r="61" spans="5:18" ht="12" customHeight="1">
      <c r="E61" s="665"/>
      <c r="F61" s="675" t="s">
        <v>57</v>
      </c>
      <c r="G61" s="676" t="s">
        <v>58</v>
      </c>
      <c r="H61" s="675" t="s">
        <v>59</v>
      </c>
      <c r="I61" s="675" t="s">
        <v>60</v>
      </c>
      <c r="J61" s="675" t="s">
        <v>61</v>
      </c>
      <c r="K61" s="675" t="s">
        <v>62</v>
      </c>
      <c r="M61" s="675"/>
      <c r="N61" s="675"/>
      <c r="O61" s="675"/>
      <c r="Q61" s="502"/>
      <c r="R61" s="502"/>
    </row>
    <row r="62" spans="5:18" ht="20.399999999999999">
      <c r="E62" s="665"/>
      <c r="F62" s="675"/>
      <c r="G62" s="676"/>
      <c r="H62" s="675"/>
      <c r="I62" s="675"/>
      <c r="J62" s="675"/>
      <c r="K62" s="675"/>
      <c r="M62" s="675"/>
      <c r="N62" s="630" t="s">
        <v>630</v>
      </c>
      <c r="O62" s="613" t="s">
        <v>477</v>
      </c>
      <c r="Q62" s="502"/>
      <c r="R62" s="502"/>
    </row>
    <row r="63" spans="5:18" ht="12" customHeight="1">
      <c r="E63" s="31" t="s">
        <v>407</v>
      </c>
      <c r="F63" s="28" t="str">
        <f ca="1">OFFSET('LCC results'!E$128,'LCC results'!$M2+7*'Summary by EC'!$E$3,0)</f>
        <v>n/a</v>
      </c>
      <c r="G63" s="28" t="str">
        <f ca="1">OFFSET('LCC results'!F$128,'LCC results'!$M2+7*'Summary by EC'!$E$3,0)</f>
        <v>n/a</v>
      </c>
      <c r="H63" s="28" t="str">
        <f ca="1">OFFSET('LCC results'!G$128,'LCC results'!$M2+7*'Summary by EC'!$E$3,0)</f>
        <v>n/a</v>
      </c>
      <c r="I63" s="28" t="str">
        <f ca="1">OFFSET('LCC results'!H$128,'LCC results'!$M2+7*'Summary by EC'!$E$3,0)</f>
        <v>n/a</v>
      </c>
      <c r="J63" s="28" t="str">
        <f ca="1">OFFSET('LCC results'!I$128,'LCC results'!$M2+7*'Summary by EC'!$E$3,0)</f>
        <v>n/a</v>
      </c>
      <c r="K63" s="28" t="str">
        <f ca="1">OFFSET('LCC results'!J$128,'LCC results'!$M2+7*'Summary by EC'!$E$3,0)</f>
        <v>n/a</v>
      </c>
      <c r="M63" s="30">
        <v>1</v>
      </c>
      <c r="N63" s="29" t="str">
        <f ca="1">OFFSET('LCC results'!K$129,'LCC results'!$M2+7*'Summary by EC'!$E$3,0)</f>
        <v>n/a</v>
      </c>
      <c r="O63" s="28" t="str">
        <f ca="1">OFFSET('LCC results'!L$129,'LCC results'!$M2+7*'Summary by EC'!$E$3,0)</f>
        <v>n/a</v>
      </c>
      <c r="Q63" s="502"/>
      <c r="R63" s="502"/>
    </row>
    <row r="64" spans="5:18" ht="12" customHeight="1">
      <c r="E64" s="31">
        <v>1</v>
      </c>
      <c r="F64" s="28" t="str">
        <f ca="1">OFFSET('LCC results'!E$128,'LCC results'!$M3+7*'Summary by EC'!$E$3,0)</f>
        <v>n/a</v>
      </c>
      <c r="G64" s="28" t="str">
        <f ca="1">OFFSET('LCC results'!F$128,'LCC results'!$M3+7*'Summary by EC'!$E$3,0)</f>
        <v>n/a</v>
      </c>
      <c r="H64" s="28" t="str">
        <f ca="1">OFFSET('LCC results'!G$128,'LCC results'!$M3+7*'Summary by EC'!$E$3,0)</f>
        <v>n/a</v>
      </c>
      <c r="I64" s="28" t="str">
        <f ca="1">OFFSET('LCC results'!H$128,'LCC results'!$M3+7*'Summary by EC'!$E$3,0)</f>
        <v>n/a</v>
      </c>
      <c r="J64" s="28" t="str">
        <f ca="1">OFFSET('LCC results'!I$128,'LCC results'!$M3+7*'Summary by EC'!$E$3,0)</f>
        <v>n/a</v>
      </c>
      <c r="K64" s="28" t="str">
        <f ca="1">OFFSET('LCC results'!J$128,'LCC results'!$M3+7*'Summary by EC'!$E$3,0)</f>
        <v>n/a</v>
      </c>
      <c r="M64" s="30">
        <v>2</v>
      </c>
      <c r="N64" s="29" t="str">
        <f ca="1">OFFSET('LCC results'!K$129,'LCC results'!$M3+7*'Summary by EC'!$E$3,0)</f>
        <v>n/a</v>
      </c>
      <c r="O64" s="28" t="str">
        <f ca="1">OFFSET('LCC results'!L$129,'LCC results'!$M3+7*'Summary by EC'!$E$3,0)</f>
        <v>n/a</v>
      </c>
      <c r="Q64" s="502"/>
      <c r="R64" s="502"/>
    </row>
    <row r="65" spans="5:18" ht="12" customHeight="1">
      <c r="E65" s="31">
        <v>2</v>
      </c>
      <c r="F65" s="28" t="str">
        <f ca="1">OFFSET('LCC results'!E$128,'LCC results'!$M4+7*'Summary by EC'!$E$3,0)</f>
        <v>n/a</v>
      </c>
      <c r="G65" s="28" t="str">
        <f ca="1">OFFSET('LCC results'!F$128,'LCC results'!$M4+7*'Summary by EC'!$E$3,0)</f>
        <v>n/a</v>
      </c>
      <c r="H65" s="28" t="str">
        <f ca="1">OFFSET('LCC results'!G$128,'LCC results'!$M4+7*'Summary by EC'!$E$3,0)</f>
        <v>n/a</v>
      </c>
      <c r="I65" s="28" t="str">
        <f ca="1">OFFSET('LCC results'!H$128,'LCC results'!$M4+7*'Summary by EC'!$E$3,0)</f>
        <v>n/a</v>
      </c>
      <c r="J65" s="28" t="str">
        <f ca="1">OFFSET('LCC results'!I$128,'LCC results'!$M4+7*'Summary by EC'!$E$3,0)</f>
        <v>n/a</v>
      </c>
      <c r="K65" s="28" t="str">
        <f ca="1">OFFSET('LCC results'!J$128,'LCC results'!$M4+7*'Summary by EC'!$E$3,0)</f>
        <v>n/a</v>
      </c>
      <c r="M65" s="30">
        <v>3</v>
      </c>
      <c r="N65" s="29" t="str">
        <f ca="1">OFFSET('LCC results'!K$129,'LCC results'!$M4+7*'Summary by EC'!$E$3,0)</f>
        <v>n/a</v>
      </c>
      <c r="O65" s="28" t="str">
        <f ca="1">OFFSET('LCC results'!L$129,'LCC results'!$M4+7*'Summary by EC'!$E$3,0)</f>
        <v>n/a</v>
      </c>
      <c r="Q65" s="502"/>
      <c r="R65" s="502"/>
    </row>
    <row r="66" spans="5:18" ht="12" customHeight="1">
      <c r="E66" s="31">
        <v>3</v>
      </c>
      <c r="F66" s="28" t="str">
        <f ca="1">OFFSET('LCC results'!E$128,'LCC results'!$M5+7*'Summary by EC'!$E$3,0)</f>
        <v>n/a</v>
      </c>
      <c r="G66" s="28" t="str">
        <f ca="1">OFFSET('LCC results'!F$128,'LCC results'!$M5+7*'Summary by EC'!$E$3,0)</f>
        <v>n/a</v>
      </c>
      <c r="H66" s="28" t="str">
        <f ca="1">OFFSET('LCC results'!G$128,'LCC results'!$M5+7*'Summary by EC'!$E$3,0)</f>
        <v>n/a</v>
      </c>
      <c r="I66" s="28" t="str">
        <f ca="1">OFFSET('LCC results'!H$128,'LCC results'!$M5+7*'Summary by EC'!$E$3,0)</f>
        <v>n/a</v>
      </c>
      <c r="J66" s="28" t="str">
        <f ca="1">OFFSET('LCC results'!I$128,'LCC results'!$M5+7*'Summary by EC'!$E$3,0)</f>
        <v>n/a</v>
      </c>
      <c r="K66" s="28" t="str">
        <f ca="1">OFFSET('LCC results'!J$128,'LCC results'!$M5+7*'Summary by EC'!$E$3,0)</f>
        <v>n/a</v>
      </c>
      <c r="M66" s="30">
        <v>4</v>
      </c>
      <c r="N66" s="29" t="str">
        <f ca="1">OFFSET('LCC results'!K$129,'LCC results'!$M5+7*'Summary by EC'!$E$3,0)</f>
        <v>n/a</v>
      </c>
      <c r="O66" s="28" t="str">
        <f ca="1">OFFSET('LCC results'!L$129,'LCC results'!$M5+7*'Summary by EC'!$E$3,0)</f>
        <v>n/a</v>
      </c>
      <c r="Q66" s="502"/>
      <c r="R66" s="502"/>
    </row>
    <row r="67" spans="5:18" ht="12" customHeight="1">
      <c r="E67" s="31">
        <v>4</v>
      </c>
      <c r="F67" s="28" t="str">
        <f ca="1">OFFSET('LCC results'!E$128,'LCC results'!$M6+7*'Summary by EC'!$E$3,0)</f>
        <v>n/a</v>
      </c>
      <c r="G67" s="28" t="str">
        <f ca="1">OFFSET('LCC results'!F$128,'LCC results'!$M6+7*'Summary by EC'!$E$3,0)</f>
        <v>n/a</v>
      </c>
      <c r="H67" s="28" t="str">
        <f ca="1">OFFSET('LCC results'!G$128,'LCC results'!$M6+7*'Summary by EC'!$E$3,0)</f>
        <v>n/a</v>
      </c>
      <c r="I67" s="28" t="str">
        <f ca="1">OFFSET('LCC results'!H$128,'LCC results'!$M6+7*'Summary by EC'!$E$3,0)</f>
        <v>n/a</v>
      </c>
      <c r="J67" s="28" t="str">
        <f ca="1">OFFSET('LCC results'!I$128,'LCC results'!$M6+7*'Summary by EC'!$E$3,0)</f>
        <v>n/a</v>
      </c>
      <c r="K67" s="28" t="str">
        <f ca="1">OFFSET('LCC results'!J$128,'LCC results'!$M6+7*'Summary by EC'!$E$3,0)</f>
        <v>n/a</v>
      </c>
      <c r="M67" s="30">
        <v>5</v>
      </c>
      <c r="N67" s="29" t="str">
        <f ca="1">OFFSET('LCC results'!K$129,'LCC results'!$M6+7*'Summary by EC'!$E$3,0)</f>
        <v>n/a</v>
      </c>
      <c r="O67" s="28" t="str">
        <f ca="1">OFFSET('LCC results'!L$129,'LCC results'!$M6+7*'Summary by EC'!$E$3,0)</f>
        <v>n/a</v>
      </c>
      <c r="Q67" s="502"/>
      <c r="R67" s="502"/>
    </row>
    <row r="68" spans="5:18" ht="12" customHeight="1">
      <c r="E68" s="31">
        <v>5</v>
      </c>
      <c r="F68" s="28" t="str">
        <f ca="1">OFFSET('LCC results'!E$128,'LCC results'!$M7+7*'Summary by EC'!$E$3,0)</f>
        <v>n/a</v>
      </c>
      <c r="G68" s="28" t="str">
        <f ca="1">OFFSET('LCC results'!F$128,'LCC results'!$M7+7*'Summary by EC'!$E$3,0)</f>
        <v>n/a</v>
      </c>
      <c r="H68" s="28" t="str">
        <f ca="1">OFFSET('LCC results'!G$128,'LCC results'!$M7+7*'Summary by EC'!$E$3,0)</f>
        <v>n/a</v>
      </c>
      <c r="I68" s="28" t="str">
        <f ca="1">OFFSET('LCC results'!H$128,'LCC results'!$M7+7*'Summary by EC'!$E$3,0)</f>
        <v>n/a</v>
      </c>
      <c r="J68" s="28" t="str">
        <f ca="1">OFFSET('LCC results'!I$128,'LCC results'!$M7+7*'Summary by EC'!$E$3,0)</f>
        <v>n/a</v>
      </c>
      <c r="K68" s="28" t="str">
        <f ca="1">OFFSET('LCC results'!J$128,'LCC results'!$M7+7*'Summary by EC'!$E$3,0)</f>
        <v>n/a</v>
      </c>
      <c r="M68" s="30">
        <v>6</v>
      </c>
      <c r="N68" s="29" t="str">
        <f ca="1">OFFSET('LCC results'!K$129,'LCC results'!$M7+7*'Summary by EC'!$E$3,0)</f>
        <v>n/a</v>
      </c>
      <c r="O68" s="28" t="str">
        <f ca="1">OFFSET('LCC results'!L$129,'LCC results'!$M7+7*'Summary by EC'!$E$3,0)</f>
        <v>n/a</v>
      </c>
      <c r="Q68" s="502"/>
      <c r="R68" s="502"/>
    </row>
    <row r="69" spans="5:18" ht="12" customHeight="1">
      <c r="E69" s="31">
        <v>6</v>
      </c>
      <c r="F69" s="28" t="str">
        <f ca="1">OFFSET('LCC results'!E$128,'LCC results'!$M8+7*'Summary by EC'!$E$3,0)</f>
        <v>n/a</v>
      </c>
      <c r="G69" s="28" t="str">
        <f ca="1">OFFSET('LCC results'!F$128,'LCC results'!$M8+7*'Summary by EC'!$E$3,0)</f>
        <v>n/a</v>
      </c>
      <c r="H69" s="28" t="str">
        <f ca="1">OFFSET('LCC results'!G$128,'LCC results'!$M8+7*'Summary by EC'!$E$3,0)</f>
        <v>n/a</v>
      </c>
      <c r="I69" s="28" t="str">
        <f ca="1">OFFSET('LCC results'!H$128,'LCC results'!$M8+7*'Summary by EC'!$E$3,0)</f>
        <v>n/a</v>
      </c>
      <c r="J69" s="28" t="str">
        <f ca="1">OFFSET('LCC results'!I$128,'LCC results'!$M8+7*'Summary by EC'!$E$3,0)</f>
        <v>n/a</v>
      </c>
      <c r="K69" s="28" t="str">
        <f ca="1">OFFSET('LCC results'!J$128,'LCC results'!$M8+7*'Summary by EC'!$E$3,0)</f>
        <v>n/a</v>
      </c>
      <c r="M69" s="32" t="s">
        <v>488</v>
      </c>
      <c r="Q69" s="502"/>
      <c r="R69" s="502"/>
    </row>
    <row r="70" spans="5:18" ht="12" customHeight="1">
      <c r="E70" s="296" t="s">
        <v>487</v>
      </c>
      <c r="Q70" s="502"/>
      <c r="R70" s="502"/>
    </row>
    <row r="71" spans="5:18" ht="12" customHeight="1">
      <c r="Q71" s="502"/>
      <c r="R71" s="502"/>
    </row>
    <row r="72" spans="5:18" ht="12" customHeight="1">
      <c r="E72" s="663" t="s">
        <v>483</v>
      </c>
      <c r="F72" s="663"/>
      <c r="G72" s="663"/>
      <c r="H72" s="663"/>
      <c r="I72" s="663"/>
      <c r="J72" s="663"/>
      <c r="K72" s="663"/>
      <c r="M72" s="663" t="s">
        <v>32</v>
      </c>
      <c r="N72" s="663"/>
      <c r="O72" s="663"/>
      <c r="Q72" s="502"/>
      <c r="R72" s="502"/>
    </row>
    <row r="73" spans="5:18" ht="12" customHeight="1">
      <c r="E73" s="665" t="s">
        <v>53</v>
      </c>
      <c r="F73" s="666" t="s">
        <v>54</v>
      </c>
      <c r="G73" s="666"/>
      <c r="H73" s="666"/>
      <c r="I73" s="666"/>
      <c r="J73" s="667" t="s">
        <v>55</v>
      </c>
      <c r="K73" s="667"/>
      <c r="M73" s="675" t="s">
        <v>53</v>
      </c>
      <c r="N73" s="675" t="s">
        <v>56</v>
      </c>
      <c r="O73" s="675"/>
      <c r="Q73" s="502"/>
      <c r="R73" s="502"/>
    </row>
    <row r="74" spans="5:18" ht="12" customHeight="1">
      <c r="E74" s="665"/>
      <c r="F74" s="675" t="s">
        <v>57</v>
      </c>
      <c r="G74" s="676" t="s">
        <v>58</v>
      </c>
      <c r="H74" s="675" t="s">
        <v>59</v>
      </c>
      <c r="I74" s="675" t="s">
        <v>60</v>
      </c>
      <c r="J74" s="675" t="s">
        <v>61</v>
      </c>
      <c r="K74" s="675" t="s">
        <v>62</v>
      </c>
      <c r="M74" s="675"/>
      <c r="N74" s="675"/>
      <c r="O74" s="675"/>
      <c r="Q74" s="502"/>
      <c r="R74" s="502"/>
    </row>
    <row r="75" spans="5:18" ht="20.399999999999999">
      <c r="E75" s="665"/>
      <c r="F75" s="675"/>
      <c r="G75" s="676"/>
      <c r="H75" s="675"/>
      <c r="I75" s="675"/>
      <c r="J75" s="675"/>
      <c r="K75" s="675"/>
      <c r="M75" s="675"/>
      <c r="N75" s="630" t="s">
        <v>630</v>
      </c>
      <c r="O75" s="613" t="s">
        <v>477</v>
      </c>
      <c r="Q75" s="502"/>
      <c r="R75" s="502"/>
    </row>
    <row r="76" spans="5:18" ht="12" customHeight="1">
      <c r="E76" s="31" t="s">
        <v>407</v>
      </c>
      <c r="F76" s="28" t="str">
        <f ca="1">OFFSET('LCC results'!E$254,'LCC results'!$M2+7*'Summary by EC'!$E$3,0)</f>
        <v>n/a</v>
      </c>
      <c r="G76" s="28" t="str">
        <f ca="1">OFFSET('LCC results'!F$254,'LCC results'!$M2+7*'Summary by EC'!$E$3,0)</f>
        <v>n/a</v>
      </c>
      <c r="H76" s="28" t="str">
        <f ca="1">OFFSET('LCC results'!G$254,'LCC results'!$M2+7*'Summary by EC'!$E$3,0)</f>
        <v>n/a</v>
      </c>
      <c r="I76" s="28" t="str">
        <f ca="1">OFFSET('LCC results'!H$254,'LCC results'!$M2+7*'Summary by EC'!$E$3,0)</f>
        <v>n/a</v>
      </c>
      <c r="J76" s="28" t="str">
        <f ca="1">OFFSET('LCC results'!I$254,'LCC results'!$M2+7*'Summary by EC'!$E$3,0)</f>
        <v>n/a</v>
      </c>
      <c r="K76" s="28" t="str">
        <f ca="1">OFFSET('LCC results'!J$254,'LCC results'!$M2+7*'Summary by EC'!$E$3,0)</f>
        <v>n/a</v>
      </c>
      <c r="M76" s="30">
        <v>1</v>
      </c>
      <c r="N76" s="29" t="str">
        <f ca="1">OFFSET('LCC results'!K$255,'LCC results'!$M2+7*'Summary by EC'!$E$3,0)</f>
        <v>n/a</v>
      </c>
      <c r="O76" s="28" t="str">
        <f ca="1">OFFSET('LCC results'!L$255,'LCC results'!$M2+7*'Summary by EC'!$E$3,0)</f>
        <v>n/a</v>
      </c>
      <c r="Q76" s="502"/>
      <c r="R76" s="502"/>
    </row>
    <row r="77" spans="5:18" ht="12" customHeight="1">
      <c r="E77" s="31">
        <v>1</v>
      </c>
      <c r="F77" s="28" t="str">
        <f ca="1">OFFSET('LCC results'!E$254,'LCC results'!$M3+7*'Summary by EC'!$E$3,0)</f>
        <v>n/a</v>
      </c>
      <c r="G77" s="28" t="str">
        <f ca="1">OFFSET('LCC results'!F$254,'LCC results'!$M3+7*'Summary by EC'!$E$3,0)</f>
        <v>n/a</v>
      </c>
      <c r="H77" s="28" t="str">
        <f ca="1">OFFSET('LCC results'!G$254,'LCC results'!$M3+7*'Summary by EC'!$E$3,0)</f>
        <v>n/a</v>
      </c>
      <c r="I77" s="28" t="str">
        <f ca="1">OFFSET('LCC results'!H$254,'LCC results'!$M3+7*'Summary by EC'!$E$3,0)</f>
        <v>n/a</v>
      </c>
      <c r="J77" s="28" t="str">
        <f ca="1">OFFSET('LCC results'!I$254,'LCC results'!$M3+7*'Summary by EC'!$E$3,0)</f>
        <v>n/a</v>
      </c>
      <c r="K77" s="28" t="str">
        <f ca="1">OFFSET('LCC results'!J$254,'LCC results'!$M3+7*'Summary by EC'!$E$3,0)</f>
        <v>n/a</v>
      </c>
      <c r="M77" s="30">
        <v>2</v>
      </c>
      <c r="N77" s="29" t="str">
        <f ca="1">OFFSET('LCC results'!K$255,'LCC results'!$M3+7*'Summary by EC'!$E$3,0)</f>
        <v>n/a</v>
      </c>
      <c r="O77" s="28" t="str">
        <f ca="1">OFFSET('LCC results'!L$255,'LCC results'!$M3+7*'Summary by EC'!$E$3,0)</f>
        <v>n/a</v>
      </c>
      <c r="Q77" s="502"/>
      <c r="R77" s="502"/>
    </row>
    <row r="78" spans="5:18" ht="12" customHeight="1">
      <c r="E78" s="31">
        <v>2</v>
      </c>
      <c r="F78" s="28" t="str">
        <f ca="1">OFFSET('LCC results'!E$254,'LCC results'!$M4+7*'Summary by EC'!$E$3,0)</f>
        <v>n/a</v>
      </c>
      <c r="G78" s="28" t="str">
        <f ca="1">OFFSET('LCC results'!F$254,'LCC results'!$M4+7*'Summary by EC'!$E$3,0)</f>
        <v>n/a</v>
      </c>
      <c r="H78" s="28" t="str">
        <f ca="1">OFFSET('LCC results'!G$254,'LCC results'!$M4+7*'Summary by EC'!$E$3,0)</f>
        <v>n/a</v>
      </c>
      <c r="I78" s="28" t="str">
        <f ca="1">OFFSET('LCC results'!H$254,'LCC results'!$M4+7*'Summary by EC'!$E$3,0)</f>
        <v>n/a</v>
      </c>
      <c r="J78" s="28" t="str">
        <f ca="1">OFFSET('LCC results'!I$254,'LCC results'!$M4+7*'Summary by EC'!$E$3,0)</f>
        <v>n/a</v>
      </c>
      <c r="K78" s="28" t="str">
        <f ca="1">OFFSET('LCC results'!J$254,'LCC results'!$M4+7*'Summary by EC'!$E$3,0)</f>
        <v>n/a</v>
      </c>
      <c r="M78" s="30">
        <v>3</v>
      </c>
      <c r="N78" s="29" t="str">
        <f ca="1">OFFSET('LCC results'!K$255,'LCC results'!$M4+7*'Summary by EC'!$E$3,0)</f>
        <v>n/a</v>
      </c>
      <c r="O78" s="28" t="str">
        <f ca="1">OFFSET('LCC results'!L$255,'LCC results'!$M4+7*'Summary by EC'!$E$3,0)</f>
        <v>n/a</v>
      </c>
      <c r="Q78" s="502"/>
      <c r="R78" s="502"/>
    </row>
    <row r="79" spans="5:18" ht="12" customHeight="1">
      <c r="E79" s="31">
        <v>3</v>
      </c>
      <c r="F79" s="28" t="str">
        <f ca="1">OFFSET('LCC results'!E$254,'LCC results'!$M5+7*'Summary by EC'!$E$3,0)</f>
        <v>n/a</v>
      </c>
      <c r="G79" s="28" t="str">
        <f ca="1">OFFSET('LCC results'!F$254,'LCC results'!$M5+7*'Summary by EC'!$E$3,0)</f>
        <v>n/a</v>
      </c>
      <c r="H79" s="28" t="str">
        <f ca="1">OFFSET('LCC results'!G$254,'LCC results'!$M5+7*'Summary by EC'!$E$3,0)</f>
        <v>n/a</v>
      </c>
      <c r="I79" s="28" t="str">
        <f ca="1">OFFSET('LCC results'!H$254,'LCC results'!$M5+7*'Summary by EC'!$E$3,0)</f>
        <v>n/a</v>
      </c>
      <c r="J79" s="28" t="str">
        <f ca="1">OFFSET('LCC results'!I$254,'LCC results'!$M5+7*'Summary by EC'!$E$3,0)</f>
        <v>n/a</v>
      </c>
      <c r="K79" s="28" t="str">
        <f ca="1">OFFSET('LCC results'!J$254,'LCC results'!$M5+7*'Summary by EC'!$E$3,0)</f>
        <v>n/a</v>
      </c>
      <c r="M79" s="30">
        <v>4</v>
      </c>
      <c r="N79" s="29" t="str">
        <f ca="1">OFFSET('LCC results'!K$255,'LCC results'!$M5+7*'Summary by EC'!$E$3,0)</f>
        <v>n/a</v>
      </c>
      <c r="O79" s="28" t="str">
        <f ca="1">OFFSET('LCC results'!L$255,'LCC results'!$M5+7*'Summary by EC'!$E$3,0)</f>
        <v>n/a</v>
      </c>
      <c r="Q79" s="502"/>
      <c r="R79" s="502"/>
    </row>
    <row r="80" spans="5:18" ht="12" customHeight="1">
      <c r="E80" s="31">
        <v>4</v>
      </c>
      <c r="F80" s="28" t="str">
        <f ca="1">OFFSET('LCC results'!E$254,'LCC results'!$M6+7*'Summary by EC'!$E$3,0)</f>
        <v>n/a</v>
      </c>
      <c r="G80" s="28" t="str">
        <f ca="1">OFFSET('LCC results'!F$254,'LCC results'!$M6+7*'Summary by EC'!$E$3,0)</f>
        <v>n/a</v>
      </c>
      <c r="H80" s="28" t="str">
        <f ca="1">OFFSET('LCC results'!G$254,'LCC results'!$M6+7*'Summary by EC'!$E$3,0)</f>
        <v>n/a</v>
      </c>
      <c r="I80" s="28" t="str">
        <f ca="1">OFFSET('LCC results'!H$254,'LCC results'!$M6+7*'Summary by EC'!$E$3,0)</f>
        <v>n/a</v>
      </c>
      <c r="J80" s="28" t="str">
        <f ca="1">OFFSET('LCC results'!I$254,'LCC results'!$M6+7*'Summary by EC'!$E$3,0)</f>
        <v>n/a</v>
      </c>
      <c r="K80" s="28" t="str">
        <f ca="1">OFFSET('LCC results'!J$254,'LCC results'!$M6+7*'Summary by EC'!$E$3,0)</f>
        <v>n/a</v>
      </c>
      <c r="M80" s="30">
        <v>5</v>
      </c>
      <c r="N80" s="29" t="str">
        <f ca="1">OFFSET('LCC results'!K$255,'LCC results'!$M6+7*'Summary by EC'!$E$3,0)</f>
        <v>n/a</v>
      </c>
      <c r="O80" s="28" t="str">
        <f ca="1">OFFSET('LCC results'!L$255,'LCC results'!$M6+7*'Summary by EC'!$E$3,0)</f>
        <v>n/a</v>
      </c>
      <c r="Q80" s="502"/>
      <c r="R80" s="502"/>
    </row>
    <row r="81" spans="5:18" ht="12" customHeight="1">
      <c r="E81" s="31">
        <v>5</v>
      </c>
      <c r="F81" s="28" t="str">
        <f ca="1">OFFSET('LCC results'!E$254,'LCC results'!$M7+7*'Summary by EC'!$E$3,0)</f>
        <v>n/a</v>
      </c>
      <c r="G81" s="28" t="str">
        <f ca="1">OFFSET('LCC results'!F$254,'LCC results'!$M7+7*'Summary by EC'!$E$3,0)</f>
        <v>n/a</v>
      </c>
      <c r="H81" s="28" t="str">
        <f ca="1">OFFSET('LCC results'!G$254,'LCC results'!$M7+7*'Summary by EC'!$E$3,0)</f>
        <v>n/a</v>
      </c>
      <c r="I81" s="28" t="str">
        <f ca="1">OFFSET('LCC results'!H$254,'LCC results'!$M7+7*'Summary by EC'!$E$3,0)</f>
        <v>n/a</v>
      </c>
      <c r="J81" s="28" t="str">
        <f ca="1">OFFSET('LCC results'!I$254,'LCC results'!$M7+7*'Summary by EC'!$E$3,0)</f>
        <v>n/a</v>
      </c>
      <c r="K81" s="28" t="str">
        <f ca="1">OFFSET('LCC results'!J$254,'LCC results'!$M7+7*'Summary by EC'!$E$3,0)</f>
        <v>n/a</v>
      </c>
      <c r="M81" s="30">
        <v>6</v>
      </c>
      <c r="N81" s="29" t="str">
        <f ca="1">OFFSET('LCC results'!K$255,'LCC results'!$M7+7*'Summary by EC'!$E$3,0)</f>
        <v>n/a</v>
      </c>
      <c r="O81" s="28" t="str">
        <f ca="1">OFFSET('LCC results'!L$255,'LCC results'!$M7+7*'Summary by EC'!$E$3,0)</f>
        <v>n/a</v>
      </c>
      <c r="Q81" s="502"/>
      <c r="R81" s="502"/>
    </row>
    <row r="82" spans="5:18" ht="12" customHeight="1">
      <c r="E82" s="31">
        <v>6</v>
      </c>
      <c r="F82" s="28" t="str">
        <f ca="1">OFFSET('LCC results'!E$254,'LCC results'!$M8+7*'Summary by EC'!$E$3,0)</f>
        <v>n/a</v>
      </c>
      <c r="G82" s="28" t="str">
        <f ca="1">OFFSET('LCC results'!F$254,'LCC results'!$M8+7*'Summary by EC'!$E$3,0)</f>
        <v>n/a</v>
      </c>
      <c r="H82" s="28" t="str">
        <f ca="1">OFFSET('LCC results'!G$254,'LCC results'!$M8+7*'Summary by EC'!$E$3,0)</f>
        <v>n/a</v>
      </c>
      <c r="I82" s="28" t="str">
        <f ca="1">OFFSET('LCC results'!H$254,'LCC results'!$M8+7*'Summary by EC'!$E$3,0)</f>
        <v>n/a</v>
      </c>
      <c r="J82" s="28" t="str">
        <f ca="1">OFFSET('LCC results'!I$254,'LCC results'!$M8+7*'Summary by EC'!$E$3,0)</f>
        <v>n/a</v>
      </c>
      <c r="K82" s="28" t="str">
        <f ca="1">OFFSET('LCC results'!J$254,'LCC results'!$M8+7*'Summary by EC'!$E$3,0)</f>
        <v>n/a</v>
      </c>
      <c r="M82" s="32" t="s">
        <v>488</v>
      </c>
      <c r="Q82" s="502"/>
      <c r="R82" s="502"/>
    </row>
    <row r="83" spans="5:18" ht="12" customHeight="1">
      <c r="E83" s="296" t="s">
        <v>487</v>
      </c>
      <c r="Q83" s="502"/>
      <c r="R83" s="502"/>
    </row>
    <row r="84" spans="5:18" ht="12" customHeight="1">
      <c r="Q84" s="502"/>
      <c r="R84" s="502"/>
    </row>
    <row r="85" spans="5:18" ht="12" customHeight="1">
      <c r="E85" s="663" t="s">
        <v>484</v>
      </c>
      <c r="F85" s="663"/>
      <c r="G85" s="663"/>
      <c r="H85" s="663"/>
      <c r="I85" s="663"/>
      <c r="J85" s="663"/>
      <c r="K85" s="663"/>
      <c r="M85" s="663" t="s">
        <v>399</v>
      </c>
      <c r="N85" s="663"/>
      <c r="O85" s="663"/>
      <c r="Q85" s="502"/>
      <c r="R85" s="502"/>
    </row>
    <row r="86" spans="5:18" ht="12" customHeight="1">
      <c r="E86" s="665" t="s">
        <v>53</v>
      </c>
      <c r="F86" s="666" t="s">
        <v>54</v>
      </c>
      <c r="G86" s="666"/>
      <c r="H86" s="666"/>
      <c r="I86" s="666"/>
      <c r="J86" s="667" t="s">
        <v>55</v>
      </c>
      <c r="K86" s="667"/>
      <c r="M86" s="675" t="s">
        <v>53</v>
      </c>
      <c r="N86" s="675" t="s">
        <v>56</v>
      </c>
      <c r="O86" s="675"/>
      <c r="Q86" s="502"/>
      <c r="R86" s="502"/>
    </row>
    <row r="87" spans="5:18" ht="12" customHeight="1">
      <c r="E87" s="665"/>
      <c r="F87" s="675" t="s">
        <v>57</v>
      </c>
      <c r="G87" s="676" t="s">
        <v>58</v>
      </c>
      <c r="H87" s="675" t="s">
        <v>59</v>
      </c>
      <c r="I87" s="675" t="s">
        <v>60</v>
      </c>
      <c r="J87" s="675" t="s">
        <v>61</v>
      </c>
      <c r="K87" s="675" t="s">
        <v>62</v>
      </c>
      <c r="M87" s="675"/>
      <c r="N87" s="675"/>
      <c r="O87" s="675"/>
      <c r="Q87" s="502"/>
      <c r="R87" s="502"/>
    </row>
    <row r="88" spans="5:18" ht="20.399999999999999">
      <c r="E88" s="665"/>
      <c r="F88" s="675"/>
      <c r="G88" s="676"/>
      <c r="H88" s="675"/>
      <c r="I88" s="675"/>
      <c r="J88" s="675"/>
      <c r="K88" s="675"/>
      <c r="M88" s="675"/>
      <c r="N88" s="630" t="s">
        <v>630</v>
      </c>
      <c r="O88" s="613" t="s">
        <v>477</v>
      </c>
      <c r="Q88" s="502"/>
      <c r="R88" s="502"/>
    </row>
    <row r="89" spans="5:18" ht="12" customHeight="1">
      <c r="E89" s="31" t="s">
        <v>407</v>
      </c>
      <c r="F89" s="28" t="str">
        <f ca="1">OFFSET('LCC results'!E$212,'LCC results'!$M2+7*'Summary by EC'!$E$3,0)</f>
        <v>n/a</v>
      </c>
      <c r="G89" s="28" t="str">
        <f ca="1">OFFSET('LCC results'!F$212,'LCC results'!$M2+7*'Summary by EC'!$E$3,0)</f>
        <v>n/a</v>
      </c>
      <c r="H89" s="28" t="str">
        <f ca="1">OFFSET('LCC results'!G$212,'LCC results'!$M2+7*'Summary by EC'!$E$3,0)</f>
        <v>n/a</v>
      </c>
      <c r="I89" s="28" t="str">
        <f ca="1">OFFSET('LCC results'!H$212,'LCC results'!$M2+7*'Summary by EC'!$E$3,0)</f>
        <v>n/a</v>
      </c>
      <c r="J89" s="28" t="str">
        <f ca="1">OFFSET('LCC results'!I$212,'LCC results'!$M2+7*'Summary by EC'!$E$3,0)</f>
        <v>n/a</v>
      </c>
      <c r="K89" s="28" t="str">
        <f ca="1">OFFSET('LCC results'!J$212,'LCC results'!$M2+7*'Summary by EC'!$E$3,0)</f>
        <v>n/a</v>
      </c>
      <c r="M89" s="30">
        <v>1</v>
      </c>
      <c r="N89" s="29" t="str">
        <f ca="1">OFFSET('LCC results'!K$213,'LCC results'!$M2+7*'Summary by EC'!$E$3,0)</f>
        <v>n/a</v>
      </c>
      <c r="O89" s="28" t="str">
        <f ca="1">OFFSET('LCC results'!L$213,'LCC results'!$M2+7*'Summary by EC'!$E$3,0)</f>
        <v>n/a</v>
      </c>
      <c r="Q89" s="502"/>
      <c r="R89" s="502"/>
    </row>
    <row r="90" spans="5:18" ht="12" customHeight="1">
      <c r="E90" s="31">
        <v>1</v>
      </c>
      <c r="F90" s="28" t="str">
        <f ca="1">OFFSET('LCC results'!E$212,'LCC results'!$M3+7*'Summary by EC'!$E$3,0)</f>
        <v>n/a</v>
      </c>
      <c r="G90" s="28" t="str">
        <f ca="1">OFFSET('LCC results'!F$212,'LCC results'!$M3+7*'Summary by EC'!$E$3,0)</f>
        <v>n/a</v>
      </c>
      <c r="H90" s="28" t="str">
        <f ca="1">OFFSET('LCC results'!G$212,'LCC results'!$M3+7*'Summary by EC'!$E$3,0)</f>
        <v>n/a</v>
      </c>
      <c r="I90" s="28" t="str">
        <f ca="1">OFFSET('LCC results'!H$212,'LCC results'!$M3+7*'Summary by EC'!$E$3,0)</f>
        <v>n/a</v>
      </c>
      <c r="J90" s="28" t="str">
        <f ca="1">OFFSET('LCC results'!I$212,'LCC results'!$M3+7*'Summary by EC'!$E$3,0)</f>
        <v>n/a</v>
      </c>
      <c r="K90" s="28" t="str">
        <f ca="1">OFFSET('LCC results'!J$212,'LCC results'!$M3+7*'Summary by EC'!$E$3,0)</f>
        <v>n/a</v>
      </c>
      <c r="M90" s="30">
        <v>2</v>
      </c>
      <c r="N90" s="29" t="str">
        <f ca="1">OFFSET('LCC results'!K$213,'LCC results'!$M3+7*'Summary by EC'!$E$3,0)</f>
        <v>n/a</v>
      </c>
      <c r="O90" s="28" t="str">
        <f ca="1">OFFSET('LCC results'!L$213,'LCC results'!$M3+7*'Summary by EC'!$E$3,0)</f>
        <v>n/a</v>
      </c>
      <c r="Q90" s="502"/>
      <c r="R90" s="502"/>
    </row>
    <row r="91" spans="5:18" ht="12" customHeight="1">
      <c r="E91" s="31">
        <v>2</v>
      </c>
      <c r="F91" s="28" t="str">
        <f ca="1">OFFSET('LCC results'!E$212,'LCC results'!$M4+7*'Summary by EC'!$E$3,0)</f>
        <v>n/a</v>
      </c>
      <c r="G91" s="28" t="str">
        <f ca="1">OFFSET('LCC results'!F$212,'LCC results'!$M4+7*'Summary by EC'!$E$3,0)</f>
        <v>n/a</v>
      </c>
      <c r="H91" s="28" t="str">
        <f ca="1">OFFSET('LCC results'!G$212,'LCC results'!$M4+7*'Summary by EC'!$E$3,0)</f>
        <v>n/a</v>
      </c>
      <c r="I91" s="28" t="str">
        <f ca="1">OFFSET('LCC results'!H$212,'LCC results'!$M4+7*'Summary by EC'!$E$3,0)</f>
        <v>n/a</v>
      </c>
      <c r="J91" s="28" t="str">
        <f ca="1">OFFSET('LCC results'!I$212,'LCC results'!$M4+7*'Summary by EC'!$E$3,0)</f>
        <v>n/a</v>
      </c>
      <c r="K91" s="28" t="str">
        <f ca="1">OFFSET('LCC results'!J$212,'LCC results'!$M4+7*'Summary by EC'!$E$3,0)</f>
        <v>n/a</v>
      </c>
      <c r="M91" s="30">
        <v>3</v>
      </c>
      <c r="N91" s="29" t="str">
        <f ca="1">OFFSET('LCC results'!K$213,'LCC results'!$M4+7*'Summary by EC'!$E$3,0)</f>
        <v>n/a</v>
      </c>
      <c r="O91" s="28" t="str">
        <f ca="1">OFFSET('LCC results'!L$213,'LCC results'!$M4+7*'Summary by EC'!$E$3,0)</f>
        <v>n/a</v>
      </c>
      <c r="Q91" s="502"/>
      <c r="R91" s="502"/>
    </row>
    <row r="92" spans="5:18" ht="12" customHeight="1">
      <c r="E92" s="31">
        <v>3</v>
      </c>
      <c r="F92" s="28" t="str">
        <f ca="1">OFFSET('LCC results'!E$212,'LCC results'!$M5+7*'Summary by EC'!$E$3,0)</f>
        <v>n/a</v>
      </c>
      <c r="G92" s="28" t="str">
        <f ca="1">OFFSET('LCC results'!F$212,'LCC results'!$M5+7*'Summary by EC'!$E$3,0)</f>
        <v>n/a</v>
      </c>
      <c r="H92" s="28" t="str">
        <f ca="1">OFFSET('LCC results'!G$212,'LCC results'!$M5+7*'Summary by EC'!$E$3,0)</f>
        <v>n/a</v>
      </c>
      <c r="I92" s="28" t="str">
        <f ca="1">OFFSET('LCC results'!H$212,'LCC results'!$M5+7*'Summary by EC'!$E$3,0)</f>
        <v>n/a</v>
      </c>
      <c r="J92" s="28" t="str">
        <f ca="1">OFFSET('LCC results'!I$212,'LCC results'!$M5+7*'Summary by EC'!$E$3,0)</f>
        <v>n/a</v>
      </c>
      <c r="K92" s="28" t="str">
        <f ca="1">OFFSET('LCC results'!J$212,'LCC results'!$M5+7*'Summary by EC'!$E$3,0)</f>
        <v>n/a</v>
      </c>
      <c r="M92" s="30">
        <v>4</v>
      </c>
      <c r="N92" s="29" t="str">
        <f ca="1">OFFSET('LCC results'!K$213,'LCC results'!$M5+7*'Summary by EC'!$E$3,0)</f>
        <v>n/a</v>
      </c>
      <c r="O92" s="28" t="str">
        <f ca="1">OFFSET('LCC results'!L$213,'LCC results'!$M5+7*'Summary by EC'!$E$3,0)</f>
        <v>n/a</v>
      </c>
      <c r="Q92" s="502"/>
      <c r="R92" s="502"/>
    </row>
    <row r="93" spans="5:18" ht="12" customHeight="1">
      <c r="E93" s="31">
        <v>4</v>
      </c>
      <c r="F93" s="28" t="str">
        <f ca="1">OFFSET('LCC results'!E$212,'LCC results'!$M6+7*'Summary by EC'!$E$3,0)</f>
        <v>n/a</v>
      </c>
      <c r="G93" s="28" t="str">
        <f ca="1">OFFSET('LCC results'!F$212,'LCC results'!$M6+7*'Summary by EC'!$E$3,0)</f>
        <v>n/a</v>
      </c>
      <c r="H93" s="28" t="str">
        <f ca="1">OFFSET('LCC results'!G$212,'LCC results'!$M6+7*'Summary by EC'!$E$3,0)</f>
        <v>n/a</v>
      </c>
      <c r="I93" s="28" t="str">
        <f ca="1">OFFSET('LCC results'!H$212,'LCC results'!$M6+7*'Summary by EC'!$E$3,0)</f>
        <v>n/a</v>
      </c>
      <c r="J93" s="28" t="str">
        <f ca="1">OFFSET('LCC results'!I$212,'LCC results'!$M6+7*'Summary by EC'!$E$3,0)</f>
        <v>n/a</v>
      </c>
      <c r="K93" s="28" t="str">
        <f ca="1">OFFSET('LCC results'!J$212,'LCC results'!$M6+7*'Summary by EC'!$E$3,0)</f>
        <v>n/a</v>
      </c>
      <c r="M93" s="30">
        <v>5</v>
      </c>
      <c r="N93" s="29" t="str">
        <f ca="1">OFFSET('LCC results'!K$213,'LCC results'!$M6+7*'Summary by EC'!$E$3,0)</f>
        <v>n/a</v>
      </c>
      <c r="O93" s="28" t="str">
        <f ca="1">OFFSET('LCC results'!L$213,'LCC results'!$M6+7*'Summary by EC'!$E$3,0)</f>
        <v>n/a</v>
      </c>
      <c r="Q93" s="502"/>
      <c r="R93" s="502"/>
    </row>
    <row r="94" spans="5:18" ht="12" customHeight="1">
      <c r="E94" s="31">
        <v>5</v>
      </c>
      <c r="F94" s="28" t="str">
        <f ca="1">OFFSET('LCC results'!E$212,'LCC results'!$M7+7*'Summary by EC'!$E$3,0)</f>
        <v>n/a</v>
      </c>
      <c r="G94" s="28" t="str">
        <f ca="1">OFFSET('LCC results'!F$212,'LCC results'!$M7+7*'Summary by EC'!$E$3,0)</f>
        <v>n/a</v>
      </c>
      <c r="H94" s="28" t="str">
        <f ca="1">OFFSET('LCC results'!G$212,'LCC results'!$M7+7*'Summary by EC'!$E$3,0)</f>
        <v>n/a</v>
      </c>
      <c r="I94" s="28" t="str">
        <f ca="1">OFFSET('LCC results'!H$212,'LCC results'!$M7+7*'Summary by EC'!$E$3,0)</f>
        <v>n/a</v>
      </c>
      <c r="J94" s="28" t="str">
        <f ca="1">OFFSET('LCC results'!I$212,'LCC results'!$M7+7*'Summary by EC'!$E$3,0)</f>
        <v>n/a</v>
      </c>
      <c r="K94" s="28" t="str">
        <f ca="1">OFFSET('LCC results'!J$212,'LCC results'!$M7+7*'Summary by EC'!$E$3,0)</f>
        <v>n/a</v>
      </c>
      <c r="M94" s="30">
        <v>6</v>
      </c>
      <c r="N94" s="29" t="str">
        <f ca="1">OFFSET('LCC results'!K$213,'LCC results'!$M7+7*'Summary by EC'!$E$3,0)</f>
        <v>n/a</v>
      </c>
      <c r="O94" s="28" t="str">
        <f ca="1">OFFSET('LCC results'!L$213,'LCC results'!$M7+7*'Summary by EC'!$E$3,0)</f>
        <v>n/a</v>
      </c>
      <c r="Q94" s="502"/>
      <c r="R94" s="502"/>
    </row>
    <row r="95" spans="5:18" ht="12" customHeight="1">
      <c r="E95" s="31">
        <v>6</v>
      </c>
      <c r="F95" s="28" t="str">
        <f ca="1">OFFSET('LCC results'!E$212,'LCC results'!$M8+7*'Summary by EC'!$E$3,0)</f>
        <v>n/a</v>
      </c>
      <c r="G95" s="28" t="str">
        <f ca="1">OFFSET('LCC results'!F$212,'LCC results'!$M8+7*'Summary by EC'!$E$3,0)</f>
        <v>n/a</v>
      </c>
      <c r="H95" s="28" t="str">
        <f ca="1">OFFSET('LCC results'!G$212,'LCC results'!$M8+7*'Summary by EC'!$E$3,0)</f>
        <v>n/a</v>
      </c>
      <c r="I95" s="28" t="str">
        <f ca="1">OFFSET('LCC results'!H$212,'LCC results'!$M8+7*'Summary by EC'!$E$3,0)</f>
        <v>n/a</v>
      </c>
      <c r="J95" s="28" t="str">
        <f ca="1">OFFSET('LCC results'!I$212,'LCC results'!$M8+7*'Summary by EC'!$E$3,0)</f>
        <v>n/a</v>
      </c>
      <c r="K95" s="28" t="str">
        <f ca="1">OFFSET('LCC results'!J$212,'LCC results'!$M8+7*'Summary by EC'!$E$3,0)</f>
        <v>n/a</v>
      </c>
      <c r="M95" s="32" t="s">
        <v>488</v>
      </c>
    </row>
    <row r="96" spans="5:18" ht="12" customHeight="1">
      <c r="E96" s="296" t="s">
        <v>487</v>
      </c>
    </row>
    <row r="102" spans="5:6" ht="12" customHeight="1">
      <c r="E102" s="552" t="s">
        <v>506</v>
      </c>
      <c r="F102" s="553"/>
    </row>
    <row r="103" spans="5:6" ht="12" customHeight="1">
      <c r="E103" s="553" t="s">
        <v>500</v>
      </c>
      <c r="F103" s="553" t="s">
        <v>4</v>
      </c>
    </row>
    <row r="104" spans="5:6" ht="12" customHeight="1">
      <c r="E104" s="553" t="s">
        <v>497</v>
      </c>
      <c r="F104" s="553" t="s">
        <v>240</v>
      </c>
    </row>
    <row r="105" spans="5:6" ht="12" customHeight="1">
      <c r="E105" s="553" t="s">
        <v>501</v>
      </c>
      <c r="F105" s="553" t="s">
        <v>503</v>
      </c>
    </row>
    <row r="106" spans="5:6" ht="12" customHeight="1">
      <c r="E106" s="553" t="s">
        <v>502</v>
      </c>
      <c r="F106" s="553"/>
    </row>
    <row r="107" spans="5:6" ht="12" customHeight="1">
      <c r="E107" s="547"/>
      <c r="F107" s="547"/>
    </row>
    <row r="113" spans="5:16" ht="12" customHeight="1">
      <c r="E113" s="300"/>
      <c r="F113" s="297"/>
      <c r="G113" s="297"/>
      <c r="H113" s="297"/>
      <c r="I113" s="297"/>
      <c r="J113" s="297"/>
      <c r="K113" s="297"/>
      <c r="L113" s="297"/>
      <c r="M113" s="297"/>
      <c r="N113" s="297"/>
      <c r="O113" s="617"/>
      <c r="P113" s="297"/>
    </row>
    <row r="114" spans="5:16" ht="12" customHeight="1">
      <c r="E114" s="32"/>
    </row>
    <row r="115" spans="5:16" ht="12" customHeight="1">
      <c r="E115" s="32"/>
    </row>
    <row r="116" spans="5:16" ht="12" customHeight="1">
      <c r="E116" s="32"/>
    </row>
    <row r="117" spans="5:16" ht="12" customHeight="1">
      <c r="E117" s="32"/>
    </row>
    <row r="118" spans="5:16" ht="12" customHeight="1">
      <c r="E118" s="32"/>
    </row>
    <row r="119" spans="5:16" ht="12" customHeight="1">
      <c r="E119" s="32"/>
    </row>
    <row r="120" spans="5:16" ht="12" customHeight="1">
      <c r="E120" s="32"/>
    </row>
    <row r="121" spans="5:16" ht="12" customHeight="1">
      <c r="E121" s="32"/>
    </row>
    <row r="122" spans="5:16" ht="12" customHeight="1">
      <c r="E122" s="32"/>
    </row>
    <row r="123" spans="5:16" ht="12" customHeight="1">
      <c r="E123" s="32"/>
    </row>
    <row r="124" spans="5:16" ht="12" customHeight="1">
      <c r="E124" s="32"/>
    </row>
    <row r="125" spans="5:16" ht="12" customHeight="1">
      <c r="E125" s="32"/>
    </row>
    <row r="126" spans="5:16" ht="12" customHeight="1">
      <c r="E126" s="32"/>
    </row>
    <row r="127" spans="5:16" ht="12" customHeight="1">
      <c r="E127" s="32"/>
    </row>
    <row r="128" spans="5:16" ht="12" customHeight="1">
      <c r="E128" s="32"/>
    </row>
    <row r="129" spans="5:5" ht="12" customHeight="1">
      <c r="E129" s="32"/>
    </row>
    <row r="130" spans="5:5" ht="12" customHeight="1">
      <c r="E130" s="32"/>
    </row>
    <row r="131" spans="5:5" ht="12" customHeight="1">
      <c r="E131" s="32"/>
    </row>
    <row r="132" spans="5:5" ht="12" customHeight="1">
      <c r="E132" s="32"/>
    </row>
    <row r="133" spans="5:5" ht="12" customHeight="1">
      <c r="E133" s="32"/>
    </row>
    <row r="134" spans="5:5" ht="12" customHeight="1">
      <c r="E134" s="32"/>
    </row>
    <row r="135" spans="5:5" ht="12" customHeight="1">
      <c r="E135" s="32"/>
    </row>
    <row r="136" spans="5:5" ht="12" customHeight="1">
      <c r="E136" s="32"/>
    </row>
    <row r="137" spans="5:5" ht="12" customHeight="1">
      <c r="E137" s="32"/>
    </row>
    <row r="138" spans="5:5" ht="12" customHeight="1">
      <c r="E138" s="32"/>
    </row>
    <row r="139" spans="5:5" ht="12" customHeight="1">
      <c r="E139" s="32"/>
    </row>
    <row r="140" spans="5:5" ht="12" customHeight="1">
      <c r="E140" s="32"/>
    </row>
    <row r="141" spans="5:5" ht="12" customHeight="1">
      <c r="E141" s="32"/>
    </row>
    <row r="142" spans="5:5" ht="12" customHeight="1">
      <c r="E142" s="32"/>
    </row>
    <row r="143" spans="5:5" ht="12" customHeight="1">
      <c r="E143" s="32"/>
    </row>
    <row r="144" spans="5:5" ht="12" customHeight="1">
      <c r="E144" s="32"/>
    </row>
    <row r="145" spans="5:5" ht="12" customHeight="1">
      <c r="E145" s="32"/>
    </row>
    <row r="146" spans="5:5" ht="12" customHeight="1">
      <c r="E146" s="32"/>
    </row>
    <row r="147" spans="5:5" ht="12" customHeight="1">
      <c r="E147" s="32"/>
    </row>
    <row r="148" spans="5:5" ht="12" customHeight="1">
      <c r="E148" s="32"/>
    </row>
    <row r="149" spans="5:5" ht="12" customHeight="1">
      <c r="E149" s="32"/>
    </row>
    <row r="150" spans="5:5" ht="12" customHeight="1">
      <c r="E150" s="32"/>
    </row>
    <row r="151" spans="5:5" ht="12" customHeight="1">
      <c r="E151" s="32"/>
    </row>
    <row r="152" spans="5:5" ht="12" customHeight="1">
      <c r="E152" s="32"/>
    </row>
    <row r="153" spans="5:5" ht="12" customHeight="1">
      <c r="E153" s="32"/>
    </row>
    <row r="154" spans="5:5" ht="12" customHeight="1">
      <c r="E154" s="32"/>
    </row>
    <row r="155" spans="5:5" ht="12" customHeight="1">
      <c r="E155" s="32"/>
    </row>
    <row r="156" spans="5:5" ht="12" customHeight="1">
      <c r="E156" s="32"/>
    </row>
    <row r="157" spans="5:5" ht="12" customHeight="1">
      <c r="E157" s="32"/>
    </row>
    <row r="158" spans="5:5" ht="12" customHeight="1">
      <c r="E158" s="32"/>
    </row>
    <row r="159" spans="5:5" ht="12" customHeight="1">
      <c r="E159" s="32"/>
    </row>
    <row r="160" spans="5:5" ht="12" customHeight="1">
      <c r="E160" s="32"/>
    </row>
    <row r="161" spans="5:5" ht="12" customHeight="1">
      <c r="E161" s="32"/>
    </row>
    <row r="162" spans="5:5" ht="12" customHeight="1">
      <c r="E162" s="32"/>
    </row>
    <row r="163" spans="5:5" ht="12" customHeight="1">
      <c r="E163" s="32"/>
    </row>
    <row r="164" spans="5:5" ht="12" customHeight="1">
      <c r="E164" s="32"/>
    </row>
    <row r="165" spans="5:5" ht="12" customHeight="1">
      <c r="E165" s="32"/>
    </row>
    <row r="166" spans="5:5" ht="12" customHeight="1">
      <c r="E166" s="32"/>
    </row>
    <row r="167" spans="5:5" ht="12" customHeight="1">
      <c r="E167" s="32"/>
    </row>
    <row r="168" spans="5:5" ht="12" customHeight="1">
      <c r="E168" s="32"/>
    </row>
    <row r="169" spans="5:5" ht="12" customHeight="1">
      <c r="E169" s="32"/>
    </row>
    <row r="170" spans="5:5" ht="12" customHeight="1">
      <c r="E170" s="32"/>
    </row>
    <row r="171" spans="5:5" ht="12" customHeight="1">
      <c r="E171" s="32"/>
    </row>
    <row r="172" spans="5:5" ht="12" customHeight="1">
      <c r="E172" s="32"/>
    </row>
    <row r="173" spans="5:5" ht="12" customHeight="1">
      <c r="E173" s="32"/>
    </row>
    <row r="174" spans="5:5" ht="12" customHeight="1">
      <c r="E174" s="32"/>
    </row>
    <row r="175" spans="5:5" ht="12" customHeight="1">
      <c r="E175" s="32"/>
    </row>
    <row r="176" spans="5:5" ht="12" customHeight="1">
      <c r="E176" s="32"/>
    </row>
    <row r="177" spans="5:5" ht="12" customHeight="1">
      <c r="E177" s="32"/>
    </row>
    <row r="178" spans="5:5" ht="12" customHeight="1">
      <c r="E178" s="32"/>
    </row>
    <row r="179" spans="5:5" ht="12" customHeight="1">
      <c r="E179" s="32"/>
    </row>
    <row r="180" spans="5:5" ht="12" customHeight="1">
      <c r="E180" s="32"/>
    </row>
    <row r="181" spans="5:5" ht="12" customHeight="1">
      <c r="E181" s="32"/>
    </row>
    <row r="182" spans="5:5" ht="12" customHeight="1">
      <c r="E182" s="32"/>
    </row>
    <row r="183" spans="5:5" ht="12" customHeight="1">
      <c r="E183" s="32"/>
    </row>
    <row r="184" spans="5:5" ht="12" customHeight="1">
      <c r="E184" s="32"/>
    </row>
    <row r="185" spans="5:5" ht="12" customHeight="1">
      <c r="E185" s="32"/>
    </row>
    <row r="186" spans="5:5" ht="12" customHeight="1">
      <c r="E186" s="32"/>
    </row>
    <row r="187" spans="5:5" ht="12" customHeight="1">
      <c r="E187" s="32"/>
    </row>
    <row r="188" spans="5:5" ht="12" customHeight="1">
      <c r="E188" s="32"/>
    </row>
    <row r="189" spans="5:5" ht="12" customHeight="1">
      <c r="E189" s="32"/>
    </row>
    <row r="190" spans="5:5" ht="12" customHeight="1">
      <c r="E190" s="32"/>
    </row>
    <row r="191" spans="5:5" ht="12" customHeight="1">
      <c r="E191" s="32"/>
    </row>
    <row r="192" spans="5:5" ht="12" customHeight="1">
      <c r="E192" s="32"/>
    </row>
    <row r="193" spans="5:5" ht="12" customHeight="1">
      <c r="E193" s="32"/>
    </row>
    <row r="194" spans="5:5" ht="12" customHeight="1">
      <c r="E194" s="32"/>
    </row>
    <row r="195" spans="5:5" ht="12" customHeight="1">
      <c r="E195" s="32"/>
    </row>
    <row r="196" spans="5:5" ht="12" customHeight="1">
      <c r="E196" s="32"/>
    </row>
    <row r="197" spans="5:5" ht="12" customHeight="1">
      <c r="E197" s="32"/>
    </row>
    <row r="198" spans="5:5" ht="12" customHeight="1">
      <c r="E198" s="32"/>
    </row>
  </sheetData>
  <mergeCells count="94">
    <mergeCell ref="M18:P19"/>
    <mergeCell ref="E85:K85"/>
    <mergeCell ref="M85:O85"/>
    <mergeCell ref="E86:E88"/>
    <mergeCell ref="F86:I86"/>
    <mergeCell ref="J86:K86"/>
    <mergeCell ref="M86:M88"/>
    <mergeCell ref="N86:O87"/>
    <mergeCell ref="F87:F88"/>
    <mergeCell ref="G87:G88"/>
    <mergeCell ref="H87:H88"/>
    <mergeCell ref="I87:I88"/>
    <mergeCell ref="J87:J88"/>
    <mergeCell ref="K87:K88"/>
    <mergeCell ref="M72:O72"/>
    <mergeCell ref="E73:E75"/>
    <mergeCell ref="F73:I73"/>
    <mergeCell ref="J73:K73"/>
    <mergeCell ref="M73:M75"/>
    <mergeCell ref="N73:O74"/>
    <mergeCell ref="F74:F75"/>
    <mergeCell ref="G74:G75"/>
    <mergeCell ref="H74:H75"/>
    <mergeCell ref="I74:I75"/>
    <mergeCell ref="E72:K72"/>
    <mergeCell ref="J74:J75"/>
    <mergeCell ref="K74:K75"/>
    <mergeCell ref="E59:K59"/>
    <mergeCell ref="M59:O59"/>
    <mergeCell ref="E60:E62"/>
    <mergeCell ref="F60:I60"/>
    <mergeCell ref="J60:K60"/>
    <mergeCell ref="M60:M62"/>
    <mergeCell ref="N60:O61"/>
    <mergeCell ref="F61:F62"/>
    <mergeCell ref="G61:G62"/>
    <mergeCell ref="H61:H62"/>
    <mergeCell ref="I61:I62"/>
    <mergeCell ref="J61:J62"/>
    <mergeCell ref="K61:K62"/>
    <mergeCell ref="M46:O46"/>
    <mergeCell ref="E47:E49"/>
    <mergeCell ref="F47:I47"/>
    <mergeCell ref="J47:K47"/>
    <mergeCell ref="M47:M49"/>
    <mergeCell ref="N47:O48"/>
    <mergeCell ref="F48:F49"/>
    <mergeCell ref="G48:G49"/>
    <mergeCell ref="H48:H49"/>
    <mergeCell ref="I48:I49"/>
    <mergeCell ref="E46:K46"/>
    <mergeCell ref="J48:J49"/>
    <mergeCell ref="K48:K49"/>
    <mergeCell ref="E33:K33"/>
    <mergeCell ref="M33:O33"/>
    <mergeCell ref="E34:E36"/>
    <mergeCell ref="F34:I34"/>
    <mergeCell ref="J34:K34"/>
    <mergeCell ref="M34:M36"/>
    <mergeCell ref="N34:O35"/>
    <mergeCell ref="F35:F36"/>
    <mergeCell ref="G35:G36"/>
    <mergeCell ref="H35:H36"/>
    <mergeCell ref="I35:I36"/>
    <mergeCell ref="J35:J36"/>
    <mergeCell ref="K35:K36"/>
    <mergeCell ref="M20:O20"/>
    <mergeCell ref="E21:E23"/>
    <mergeCell ref="F21:I21"/>
    <mergeCell ref="J21:K21"/>
    <mergeCell ref="M21:M23"/>
    <mergeCell ref="N21:O22"/>
    <mergeCell ref="F22:F23"/>
    <mergeCell ref="G22:G23"/>
    <mergeCell ref="H22:H23"/>
    <mergeCell ref="I22:I23"/>
    <mergeCell ref="E20:K20"/>
    <mergeCell ref="J22:J23"/>
    <mergeCell ref="K22:K23"/>
    <mergeCell ref="E6:K6"/>
    <mergeCell ref="M6:O6"/>
    <mergeCell ref="E7:K7"/>
    <mergeCell ref="M7:O7"/>
    <mergeCell ref="E8:E10"/>
    <mergeCell ref="F8:I8"/>
    <mergeCell ref="J8:K8"/>
    <mergeCell ref="M8:M10"/>
    <mergeCell ref="N8:O9"/>
    <mergeCell ref="F9:F10"/>
    <mergeCell ref="G9:G10"/>
    <mergeCell ref="H9:H10"/>
    <mergeCell ref="I9:I10"/>
    <mergeCell ref="J9:J10"/>
    <mergeCell ref="K9:K10"/>
  </mergeCells>
  <dataValidations count="3">
    <dataValidation allowBlank="1" showInputMessage="1" showErrorMessage="1" prompt="Select the cell to the left to active the drop-down menu." sqref="D3:D4"/>
    <dataValidation type="list" allowBlank="1" showInputMessage="1" showErrorMessage="1" sqref="C4">
      <formula1>$F$104:$F$105</formula1>
    </dataValidation>
    <dataValidation type="list" allowBlank="1" showInputMessage="1" showErrorMessage="1" sqref="C3">
      <formula1>$E$104:$E$106</formula1>
    </dataValidation>
  </dataValidations>
  <pageMargins left="0.7" right="0.7" top="0.75" bottom="0.75" header="0.3" footer="0.3"/>
  <pageSetup scale="2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B1:L33"/>
  <sheetViews>
    <sheetView topLeftCell="A11" zoomScale="115" zoomScaleNormal="115" zoomScalePageLayoutView="115" workbookViewId="0">
      <selection activeCell="B1" sqref="B1"/>
    </sheetView>
  </sheetViews>
  <sheetFormatPr defaultColWidth="8.77734375" defaultRowHeight="12" customHeight="1"/>
  <cols>
    <col min="1" max="1" width="4.44140625" style="32" customWidth="1"/>
    <col min="2" max="2" width="16.33203125" style="32" customWidth="1"/>
    <col min="3" max="3" width="13.77734375" style="32" customWidth="1"/>
    <col min="4" max="4" width="13" style="32" customWidth="1"/>
    <col min="5" max="5" width="18" style="32" customWidth="1"/>
    <col min="6" max="6" width="12.109375" style="32" customWidth="1"/>
    <col min="7" max="7" width="15.33203125" style="32" customWidth="1"/>
    <col min="8" max="8" width="15.44140625" style="32" customWidth="1"/>
    <col min="9" max="9" width="8.77734375" style="32"/>
    <col min="10" max="10" width="12.44140625" style="32" customWidth="1"/>
    <col min="11" max="11" width="20.44140625" style="32" customWidth="1"/>
    <col min="12" max="12" width="11.44140625" style="32" customWidth="1"/>
    <col min="13" max="13" width="8.77734375" style="32"/>
    <col min="14" max="14" width="15.77734375" style="32" customWidth="1"/>
    <col min="15" max="16384" width="8.77734375" style="32"/>
  </cols>
  <sheetData>
    <row r="1" spans="2:12" s="34" customFormat="1" ht="12" customHeight="1">
      <c r="B1" s="33" t="s">
        <v>472</v>
      </c>
    </row>
    <row r="2" spans="2:12" ht="12" customHeight="1" thickBot="1">
      <c r="B2" s="396"/>
    </row>
    <row r="3" spans="2:12" ht="12" customHeight="1">
      <c r="B3" s="213" t="s">
        <v>498</v>
      </c>
      <c r="C3" s="562" t="str">
        <f>'Summary by EC'!C3</f>
        <v>Embedded Fans</v>
      </c>
    </row>
    <row r="4" spans="2:12" ht="12" customHeight="1" thickBot="1">
      <c r="B4" s="214" t="s">
        <v>508</v>
      </c>
      <c r="C4" s="563" t="str">
        <f>'Summary by EC'!C4</f>
        <v>Reference</v>
      </c>
    </row>
    <row r="8" spans="2:12" ht="12" customHeight="1">
      <c r="B8" s="661" t="s">
        <v>52</v>
      </c>
      <c r="C8" s="661"/>
      <c r="D8" s="661"/>
      <c r="E8" s="661"/>
      <c r="F8" s="661"/>
      <c r="G8" s="661"/>
      <c r="H8" s="661"/>
      <c r="J8" s="662" t="s">
        <v>406</v>
      </c>
      <c r="K8" s="662"/>
      <c r="L8" s="662"/>
    </row>
    <row r="9" spans="2:12" ht="12" customHeight="1">
      <c r="B9" s="663" t="s">
        <v>485</v>
      </c>
      <c r="C9" s="663"/>
      <c r="D9" s="663"/>
      <c r="E9" s="663"/>
      <c r="F9" s="663"/>
      <c r="G9" s="663"/>
      <c r="H9" s="663"/>
      <c r="J9" s="664" t="s">
        <v>402</v>
      </c>
      <c r="K9" s="664"/>
      <c r="L9" s="664"/>
    </row>
    <row r="10" spans="2:12" ht="12" customHeight="1">
      <c r="B10" s="665" t="s">
        <v>53</v>
      </c>
      <c r="C10" s="666" t="s">
        <v>54</v>
      </c>
      <c r="D10" s="666"/>
      <c r="E10" s="666"/>
      <c r="F10" s="666"/>
      <c r="G10" s="667" t="s">
        <v>55</v>
      </c>
      <c r="H10" s="667"/>
      <c r="J10" s="668" t="s">
        <v>53</v>
      </c>
      <c r="K10" s="671" t="s">
        <v>56</v>
      </c>
      <c r="L10" s="672"/>
    </row>
    <row r="11" spans="2:12" ht="12" customHeight="1">
      <c r="B11" s="665"/>
      <c r="C11" s="675" t="s">
        <v>57</v>
      </c>
      <c r="D11" s="676" t="s">
        <v>58</v>
      </c>
      <c r="E11" s="675" t="s">
        <v>59</v>
      </c>
      <c r="F11" s="675" t="s">
        <v>60</v>
      </c>
      <c r="G11" s="675" t="s">
        <v>61</v>
      </c>
      <c r="H11" s="675" t="s">
        <v>62</v>
      </c>
      <c r="J11" s="669"/>
      <c r="K11" s="673"/>
      <c r="L11" s="674"/>
    </row>
    <row r="12" spans="2:12" ht="40.799999999999997">
      <c r="B12" s="665"/>
      <c r="C12" s="675"/>
      <c r="D12" s="676"/>
      <c r="E12" s="675"/>
      <c r="F12" s="675"/>
      <c r="G12" s="675"/>
      <c r="H12" s="675"/>
      <c r="J12" s="670"/>
      <c r="K12" s="630" t="s">
        <v>630</v>
      </c>
      <c r="L12" s="545" t="s">
        <v>477</v>
      </c>
    </row>
    <row r="13" spans="2:12" ht="12" customHeight="1">
      <c r="B13" s="404" t="s">
        <v>407</v>
      </c>
      <c r="C13" s="405">
        <f ca="1">IF($C$3="Embedded Fans",(Axial_Housed_Emb_weight*'Summary by EC'!F11+Centrifugal_Housed_Emb_weight*'Summary by EC'!F37)/_DuctedWt,IF($C$3="Standalone Fans",(Axial_Housed_Stdalone_weight*'Summary by EC'!F11+Centrifugal_Housed_Stdalone_weight*'Summary by EC'!F37+Inline_Mixed_Stdalone_weight*'Summary by EC'!F63+Radial_Stdalone_weight*'Summary by EC'!F76)/_DuctedWt,(Axial_housed_weight*'Summary by EC'!F11+Centrifugal_housed_weight*'Summary by EC'!F37+Inline_Mixed_weight*'Summary by EC'!F63+Radial_weight*'Summary by EC'!F76)/_DuctedWt))</f>
        <v>1994.6023019210525</v>
      </c>
      <c r="D13" s="405">
        <f ca="1">IF($C$3="Embedded Fans",(Axial_Housed_Emb_weight*'Summary by EC'!G11+Centrifugal_Housed_Emb_weight*'Summary by EC'!G37)/_DuctedWt,IF($C$3="Standalone Fans",(Axial_Housed_Stdalone_weight*'Summary by EC'!G11+Centrifugal_Housed_Stdalone_weight*'Summary by EC'!G37+Inline_Mixed_Stdalone_weight*'Summary by EC'!G63+Radial_Stdalone_weight*'Summary by EC'!G76)/_DuctedWt,(Axial_housed_weight*'Summary by EC'!G11+Centrifugal_housed_weight*'Summary by EC'!G37+Inline_Mixed_weight*'Summary by EC'!G63+Radial_weight*'Summary by EC'!G76)/_DuctedWt))</f>
        <v>1098.6508022368419</v>
      </c>
      <c r="E13" s="405">
        <f ca="1">IF($C$3="Embedded Fans",(Axial_Housed_Emb_weight*'Summary by EC'!H11+Centrifugal_Housed_Emb_weight*'Summary by EC'!H37)/_DuctedWt,IF($C$3="Standalone Fans",(Axial_Housed_Stdalone_weight*'Summary by EC'!H11+Centrifugal_Housed_Stdalone_weight*'Summary by EC'!H37+Inline_Mixed_Stdalone_weight*'Summary by EC'!H63+Radial_Stdalone_weight*'Summary by EC'!H76)/_DuctedWt,(Axial_housed_weight*'Summary by EC'!H11+Centrifugal_housed_weight*'Summary by EC'!H37+Inline_Mixed_weight*'Summary by EC'!H63+Radial_weight*'Summary by EC'!H76)/_DuctedWt))</f>
        <v>12239.435739921053</v>
      </c>
      <c r="F13" s="405">
        <f ca="1">E13+C13</f>
        <v>14234.038041842105</v>
      </c>
      <c r="G13" s="212" t="s">
        <v>244</v>
      </c>
      <c r="H13" s="406">
        <f ca="1">IF($C$3="Embedded Fans",(Axial_Housed_Emb_weight*'Summary by EC'!K11+Centrifugal_Housed_Emb_weight*'Summary by EC'!K37)/_DuctedWt,IF($C$3="Standalone Fans",(Axial_Housed_Stdalone_weight*'Summary by EC'!K11+Centrifugal_Housed_Stdalone_weight*'Summary by EC'!K37+Inline_Mixed_Stdalone_weight*'Summary by EC'!K63+Radial_Stdalone_weight*'Summary by EC'!K76)/_DuctedWt,(Axial_housed_weight*'Summary by EC'!K11+Centrifugal_housed_weight*'Summary by EC'!K37+Inline_Mixed_weight*'Summary by EC'!K63+Radial_weight*'Summary by EC'!K76)/_DuctedWt))</f>
        <v>17.692305684210524</v>
      </c>
      <c r="J13" s="30">
        <v>1</v>
      </c>
      <c r="K13" s="406">
        <f ca="1">IF($C$3="Embedded Fans",(Axial_Housed_Emb_weight*'Summary by EC'!N11+Centrifugal_Housed_Emb_weight*'Summary by EC'!N37)/_DuctedWt,IF($C$3="Standalone Fans",(Axial_Housed_Stdalone_weight*'Summary by EC'!N11+Centrifugal_Housed_Stdalone_weight*'Summary by EC'!N37+Inline_Mixed_Stdalone_weight*'Summary by EC'!N63+Radial_Stdalone_weight*'Summary by EC'!N76)/_DuctedWt,(Axial_housed_weight*'Summary by EC'!N11+Centrifugal_housed_weight*'Summary by EC'!N37+Inline_Mixed_weight*'Summary by EC'!N63+Radial_weight*'Summary by EC'!N76)/_DuctedWt))</f>
        <v>9.6770447931399985</v>
      </c>
      <c r="L13" s="294">
        <f t="shared" ref="L13:L18" ca="1" si="0">$F$13-F14</f>
        <v>145.82626421052555</v>
      </c>
    </row>
    <row r="14" spans="2:12" ht="12" customHeight="1">
      <c r="B14" s="404">
        <v>1</v>
      </c>
      <c r="C14" s="405">
        <f ca="1">IF($C$3="Embedded Fans",(Axial_Housed_Emb_weight*'Summary by EC'!F12+Centrifugal_Housed_Emb_weight*'Summary by EC'!F38)/_DuctedWt,IF($C$3="Standalone Fans",(Axial_Housed_Stdalone_weight*'Summary by EC'!F12+Centrifugal_Housed_Stdalone_weight*'Summary by EC'!F38+Inline_Mixed_Stdalone_weight*'Summary by EC'!F64+Radial_Stdalone_weight*'Summary by EC'!F77)/_DuctedWt,(Axial_housed_weight*'Summary by EC'!F12+Centrifugal_housed_weight*'Summary by EC'!F38+Inline_Mixed_weight*'Summary by EC'!F64+Radial_weight*'Summary by EC'!F77)/_DuctedWt))</f>
        <v>2117.7179954473681</v>
      </c>
      <c r="D14" s="405">
        <f ca="1">IF($C$3="Embedded Fans",(Axial_Housed_Emb_weight*'Summary by EC'!G12+Centrifugal_Housed_Emb_weight*'Summary by EC'!G38)/_DuctedWt,IF($C$3="Standalone Fans",(Axial_Housed_Stdalone_weight*'Summary by EC'!G12+Centrifugal_Housed_Stdalone_weight*'Summary by EC'!G38+Inline_Mixed_Stdalone_weight*'Summary by EC'!G64+Radial_Stdalone_weight*'Summary by EC'!G77)/_DuctedWt,(Axial_housed_weight*'Summary by EC'!G12+Centrifugal_housed_weight*'Summary by EC'!G38+Inline_Mixed_weight*'Summary by EC'!G64+Radial_weight*'Summary by EC'!G77)/_DuctedWt))</f>
        <v>1074.9449978684208</v>
      </c>
      <c r="E14" s="405">
        <f ca="1">IF($C$3="Embedded Fans",(Axial_Housed_Emb_weight*'Summary by EC'!H12+Centrifugal_Housed_Emb_weight*'Summary by EC'!H38)/_DuctedWt,IF($C$3="Standalone Fans",(Axial_Housed_Stdalone_weight*'Summary by EC'!H12+Centrifugal_Housed_Stdalone_weight*'Summary by EC'!H38+Inline_Mixed_Stdalone_weight*'Summary by EC'!H64+Radial_Stdalone_weight*'Summary by EC'!H77)/_DuctedWt,(Axial_housed_weight*'Summary by EC'!H12+Centrifugal_housed_weight*'Summary by EC'!H38+Inline_Mixed_weight*'Summary by EC'!H64+Radial_weight*'Summary by EC'!H77)/_DuctedWt))</f>
        <v>11970.49378218421</v>
      </c>
      <c r="F14" s="405">
        <f t="shared" ref="F14:F19" ca="1" si="1">E14+C14</f>
        <v>14088.211777631579</v>
      </c>
      <c r="G14" s="406">
        <f ca="1">(C14-$C$13)/($D$13-D14)</f>
        <v>5.1934830648615584</v>
      </c>
      <c r="H14" s="406">
        <f ca="1">IF($C$3="Embedded Fans",(Axial_Housed_Emb_weight*'Summary by EC'!K12+Centrifugal_Housed_Emb_weight*'Summary by EC'!K38)/_DuctedWt,IF($C$3="Standalone Fans",(Axial_Housed_Stdalone_weight*'Summary by EC'!K12+Centrifugal_Housed_Stdalone_weight*'Summary by EC'!K38+Inline_Mixed_Stdalone_weight*'Summary by EC'!K64+Radial_Stdalone_weight*'Summary by EC'!K77)/_DuctedWt,(Axial_housed_weight*'Summary by EC'!K12+Centrifugal_housed_weight*'Summary by EC'!K38+Inline_Mixed_weight*'Summary by EC'!K64+Radial_weight*'Summary by EC'!K77)/_DuctedWt))</f>
        <v>17.692305684210524</v>
      </c>
      <c r="J14" s="30">
        <v>2</v>
      </c>
      <c r="K14" s="406">
        <f ca="1">IF($C$3="Embedded Fans",(Axial_Housed_Emb_weight*'Summary by EC'!N12+Centrifugal_Housed_Emb_weight*'Summary by EC'!N38)/_DuctedWt,IF($C$3="Standalone Fans",(Axial_Housed_Stdalone_weight*'Summary by EC'!N12+Centrifugal_Housed_Stdalone_weight*'Summary by EC'!N38+Inline_Mixed_Stdalone_weight*'Summary by EC'!N64+Radial_Stdalone_weight*'Summary by EC'!N77)/_DuctedWt,(Axial_housed_weight*'Summary by EC'!N12+Centrifugal_housed_weight*'Summary by EC'!N38+Inline_Mixed_weight*'Summary by EC'!N64+Radial_weight*'Summary by EC'!N77)/_DuctedWt))</f>
        <v>11.115366756152893</v>
      </c>
      <c r="L14" s="294">
        <f t="shared" ca="1" si="0"/>
        <v>148.17795078947711</v>
      </c>
    </row>
    <row r="15" spans="2:12" ht="12" customHeight="1">
      <c r="B15" s="404">
        <v>2</v>
      </c>
      <c r="C15" s="405">
        <f ca="1">IF($C$3="Embedded Fans",(Axial_Housed_Emb_weight*'Summary by EC'!F13+Centrifugal_Housed_Emb_weight*'Summary by EC'!F39)/_DuctedWt,IF($C$3="Standalone Fans",(Axial_Housed_Stdalone_weight*'Summary by EC'!F13+Centrifugal_Housed_Stdalone_weight*'Summary by EC'!F39+Inline_Mixed_Stdalone_weight*'Summary by EC'!F65+Radial_Stdalone_weight*'Summary by EC'!F78)/_DuctedWt,(Axial_housed_weight*'Summary by EC'!F13+Centrifugal_housed_weight*'Summary by EC'!F39+Inline_Mixed_weight*'Summary by EC'!F65+Radial_weight*'Summary by EC'!F78)/_DuctedWt))</f>
        <v>2144.5379541842103</v>
      </c>
      <c r="D15" s="405">
        <f ca="1">IF($C$3="Embedded Fans",(Axial_Housed_Emb_weight*'Summary by EC'!G13+Centrifugal_Housed_Emb_weight*'Summary by EC'!G39)/_DuctedWt,IF($C$3="Standalone Fans",(Axial_Housed_Stdalone_weight*'Summary by EC'!G13+Centrifugal_Housed_Stdalone_weight*'Summary by EC'!G39+Inline_Mixed_Stdalone_weight*'Summary by EC'!G65+Radial_Stdalone_weight*'Summary by EC'!G78)/_DuctedWt,(Axial_housed_weight*'Summary by EC'!G13+Centrifugal_housed_weight*'Summary by EC'!G39+Inline_Mixed_weight*'Summary by EC'!G65+Radial_weight*'Summary by EC'!G78)/_DuctedWt))</f>
        <v>1072.2162054736841</v>
      </c>
      <c r="E15" s="405">
        <f ca="1">IF($C$3="Embedded Fans",(Axial_Housed_Emb_weight*'Summary by EC'!H13+Centrifugal_Housed_Emb_weight*'Summary by EC'!H39)/_DuctedWt,IF($C$3="Standalone Fans",(Axial_Housed_Stdalone_weight*'Summary by EC'!H13+Centrifugal_Housed_Stdalone_weight*'Summary by EC'!H39+Inline_Mixed_Stdalone_weight*'Summary by EC'!H65+Radial_Stdalone_weight*'Summary by EC'!H78)/_DuctedWt,(Axial_housed_weight*'Summary by EC'!H13+Centrifugal_housed_weight*'Summary by EC'!H39+Inline_Mixed_weight*'Summary by EC'!H65+Radial_weight*'Summary by EC'!H78)/_DuctedWt))</f>
        <v>11941.322136868417</v>
      </c>
      <c r="F15" s="405">
        <f t="shared" ca="1" si="1"/>
        <v>14085.860091052627</v>
      </c>
      <c r="G15" s="406">
        <f ca="1">(C16-$C$13)/($D$13-D16)</f>
        <v>4.3425931631764421</v>
      </c>
      <c r="H15" s="406">
        <f ca="1">IF($C$3="Embedded Fans",(Axial_Housed_Emb_weight*'Summary by EC'!K13+Centrifugal_Housed_Emb_weight*'Summary by EC'!K39)/_DuctedWt,IF($C$3="Standalone Fans",(Axial_Housed_Stdalone_weight*'Summary by EC'!K13+Centrifugal_Housed_Stdalone_weight*'Summary by EC'!K39+Inline_Mixed_Stdalone_weight*'Summary by EC'!K65+Radial_Stdalone_weight*'Summary by EC'!K78)/_DuctedWt,(Axial_housed_weight*'Summary by EC'!K13+Centrifugal_housed_weight*'Summary by EC'!K39+Inline_Mixed_weight*'Summary by EC'!K65+Radial_weight*'Summary by EC'!K78)/_DuctedWt))</f>
        <v>17.692305684210524</v>
      </c>
      <c r="J15" s="30">
        <v>3</v>
      </c>
      <c r="K15" s="406">
        <f ca="1">IF($C$3="Embedded Fans",(Axial_Housed_Emb_weight*'Summary by EC'!N13+Centrifugal_Housed_Emb_weight*'Summary by EC'!N39)/_DuctedWt,IF($C$3="Standalone Fans",(Axial_Housed_Stdalone_weight*'Summary by EC'!N13+Centrifugal_Housed_Stdalone_weight*'Summary by EC'!N39+Inline_Mixed_Stdalone_weight*'Summary by EC'!N65+Radial_Stdalone_weight*'Summary by EC'!N78)/_DuctedWt,(Axial_housed_weight*'Summary by EC'!N13+Centrifugal_housed_weight*'Summary by EC'!N39+Inline_Mixed_weight*'Summary by EC'!N65+Radial_weight*'Summary by EC'!N78)/_DuctedWt))</f>
        <v>13.441994141742367</v>
      </c>
      <c r="L15" s="294">
        <f t="shared" ca="1" si="0"/>
        <v>281.62247526315878</v>
      </c>
    </row>
    <row r="16" spans="2:12" ht="12" customHeight="1">
      <c r="B16" s="404">
        <v>3</v>
      </c>
      <c r="C16" s="405">
        <f ca="1">IF($C$3="Embedded Fans",(Axial_Housed_Emb_weight*'Summary by EC'!F14+Centrifugal_Housed_Emb_weight*'Summary by EC'!F40)/_DuctedWt,IF($C$3="Standalone Fans",(Axial_Housed_Stdalone_weight*'Summary by EC'!F14+Centrifugal_Housed_Stdalone_weight*'Summary by EC'!F40+Inline_Mixed_Stdalone_weight*'Summary by EC'!F66+Radial_Stdalone_weight*'Summary by EC'!F79)/_DuctedWt,(Axial_housed_weight*'Summary by EC'!F14+Centrifugal_housed_weight*'Summary by EC'!F40+Inline_Mixed_weight*'Summary by EC'!F66+Radial_weight*'Summary by EC'!F79)/_DuctedWt))</f>
        <v>2172.5397269736836</v>
      </c>
      <c r="D16" s="405">
        <f ca="1">IF($C$3="Embedded Fans",(Axial_Housed_Emb_weight*'Summary by EC'!G14+Centrifugal_Housed_Emb_weight*'Summary by EC'!G40)/_DuctedWt,IF($C$3="Standalone Fans",(Axial_Housed_Stdalone_weight*'Summary by EC'!G14+Centrifugal_Housed_Stdalone_weight*'Summary by EC'!G40+Inline_Mixed_Stdalone_weight*'Summary by EC'!G66+Radial_Stdalone_weight*'Summary by EC'!G79)/_DuctedWt,(Axial_housed_weight*'Summary by EC'!G14+Centrifugal_housed_weight*'Summary by EC'!G40+Inline_Mixed_weight*'Summary by EC'!G66+Radial_weight*'Summary by EC'!G79)/_DuctedWt))</f>
        <v>1057.6758781842104</v>
      </c>
      <c r="E16" s="405">
        <f ca="1">IF($C$3="Embedded Fans",(Axial_Housed_Emb_weight*'Summary by EC'!H14+Centrifugal_Housed_Emb_weight*'Summary by EC'!H40)/_DuctedWt,IF($C$3="Standalone Fans",(Axial_Housed_Stdalone_weight*'Summary by EC'!H14+Centrifugal_Housed_Stdalone_weight*'Summary by EC'!H40+Inline_Mixed_Stdalone_weight*'Summary by EC'!H66+Radial_Stdalone_weight*'Summary by EC'!H79)/_DuctedWt,(Axial_housed_weight*'Summary by EC'!H14+Centrifugal_housed_weight*'Summary by EC'!H40+Inline_Mixed_weight*'Summary by EC'!H66+Radial_weight*'Summary by EC'!H79)/_DuctedWt))</f>
        <v>11779.875839605262</v>
      </c>
      <c r="F16" s="405">
        <f t="shared" ca="1" si="1"/>
        <v>13952.415566578946</v>
      </c>
      <c r="G16" s="406">
        <f ca="1">(C17-$C$13)/($D$13-D17)</f>
        <v>4.215779263308737</v>
      </c>
      <c r="H16" s="406">
        <f ca="1">IF($C$3="Embedded Fans",(Axial_Housed_Emb_weight*'Summary by EC'!K14+Centrifugal_Housed_Emb_weight*'Summary by EC'!K40)/_DuctedWt,IF($C$3="Standalone Fans",(Axial_Housed_Stdalone_weight*'Summary by EC'!K14+Centrifugal_Housed_Stdalone_weight*'Summary by EC'!K40+Inline_Mixed_Stdalone_weight*'Summary by EC'!K66+Radial_Stdalone_weight*'Summary by EC'!K79)/_DuctedWt,(Axial_housed_weight*'Summary by EC'!K14+Centrifugal_housed_weight*'Summary by EC'!K40+Inline_Mixed_weight*'Summary by EC'!K66+Radial_weight*'Summary by EC'!K79)/_DuctedWt))</f>
        <v>17.692305684210524</v>
      </c>
      <c r="J16" s="30">
        <v>4</v>
      </c>
      <c r="K16" s="406">
        <f ca="1">IF($C$3="Embedded Fans",(Axial_Housed_Emb_weight*'Summary by EC'!N14+Centrifugal_Housed_Emb_weight*'Summary by EC'!N40)/_DuctedWt,IF($C$3="Standalone Fans",(Axial_Housed_Stdalone_weight*'Summary by EC'!N14+Centrifugal_Housed_Stdalone_weight*'Summary by EC'!N40+Inline_Mixed_Stdalone_weight*'Summary by EC'!N66+Radial_Stdalone_weight*'Summary by EC'!N79)/_DuctedWt,(Axial_housed_weight*'Summary by EC'!N14+Centrifugal_housed_weight*'Summary by EC'!N40+Inline_Mixed_weight*'Summary by EC'!N66+Radial_weight*'Summary by EC'!N79)/_DuctedWt))</f>
        <v>15.555823936434733</v>
      </c>
      <c r="L16" s="294">
        <f t="shared" ca="1" si="0"/>
        <v>354.54914763158013</v>
      </c>
    </row>
    <row r="17" spans="2:12" ht="12" customHeight="1">
      <c r="B17" s="404">
        <v>4</v>
      </c>
      <c r="C17" s="405">
        <f ca="1">IF($C$3="Embedded Fans",(Axial_Housed_Emb_weight*'Summary by EC'!F15+Centrifugal_Housed_Emb_weight*'Summary by EC'!F41)/_DuctedWt,IF($C$3="Standalone Fans",(Axial_Housed_Stdalone_weight*'Summary by EC'!F15+Centrifugal_Housed_Stdalone_weight*'Summary by EC'!F41+Inline_Mixed_Stdalone_weight*'Summary by EC'!F67+Radial_Stdalone_weight*'Summary by EC'!F80)/_DuctedWt,(Axial_housed_weight*'Summary by EC'!F15+Centrifugal_housed_weight*'Summary by EC'!F41+Inline_Mixed_weight*'Summary by EC'!F67+Radial_weight*'Summary by EC'!F80)/_DuctedWt))</f>
        <v>2209.6054908684209</v>
      </c>
      <c r="D17" s="405">
        <f ca="1">IF($C$3="Embedded Fans",(Axial_Housed_Emb_weight*'Summary by EC'!G15+Centrifugal_Housed_Emb_weight*'Summary by EC'!G41)/_DuctedWt,IF($C$3="Standalone Fans",(Axial_Housed_Stdalone_weight*'Summary by EC'!G15+Centrifugal_Housed_Stdalone_weight*'Summary by EC'!G41+Inline_Mixed_Stdalone_weight*'Summary by EC'!G67+Radial_Stdalone_weight*'Summary by EC'!G80)/_DuctedWt,(Axial_housed_weight*'Summary by EC'!G15+Centrifugal_housed_weight*'Summary by EC'!G41+Inline_Mixed_weight*'Summary by EC'!G67+Radial_weight*'Summary by EC'!G80)/_DuctedWt))</f>
        <v>1047.6511707289474</v>
      </c>
      <c r="E17" s="405">
        <f ca="1">IF($C$3="Embedded Fans",(Axial_Housed_Emb_weight*'Summary by EC'!H15+Centrifugal_Housed_Emb_weight*'Summary by EC'!H41)/_DuctedWt,IF($C$3="Standalone Fans",(Axial_Housed_Stdalone_weight*'Summary by EC'!H15+Centrifugal_Housed_Stdalone_weight*'Summary by EC'!H41+Inline_Mixed_Stdalone_weight*'Summary by EC'!H67+Radial_Stdalone_weight*'Summary by EC'!H80)/_DuctedWt,(Axial_housed_weight*'Summary by EC'!H15+Centrifugal_housed_weight*'Summary by EC'!H41+Inline_Mixed_weight*'Summary by EC'!H67+Radial_weight*'Summary by EC'!H80)/_DuctedWt))</f>
        <v>11669.883403342103</v>
      </c>
      <c r="F17" s="405">
        <f t="shared" ca="1" si="1"/>
        <v>13879.488894210524</v>
      </c>
      <c r="G17" s="406">
        <f ca="1">(C18-$C$13)/($D$13-D18)</f>
        <v>5.378967298678254</v>
      </c>
      <c r="H17" s="406">
        <f ca="1">IF($C$3="Embedded Fans",(Axial_Housed_Emb_weight*'Summary by EC'!K15+Centrifugal_Housed_Emb_weight*'Summary by EC'!K41)/_DuctedWt,IF($C$3="Standalone Fans",(Axial_Housed_Stdalone_weight*'Summary by EC'!K15+Centrifugal_Housed_Stdalone_weight*'Summary by EC'!K41+Inline_Mixed_Stdalone_weight*'Summary by EC'!K67+Radial_Stdalone_weight*'Summary by EC'!K80)/_DuctedWt,(Axial_housed_weight*'Summary by EC'!K15+Centrifugal_housed_weight*'Summary by EC'!K41+Inline_Mixed_weight*'Summary by EC'!K67+Radial_weight*'Summary by EC'!K80)/_DuctedWt))</f>
        <v>17.692305684210524</v>
      </c>
      <c r="J17" s="30">
        <v>5</v>
      </c>
      <c r="K17" s="406">
        <f ca="1">IF($C$3="Embedded Fans",(Axial_Housed_Emb_weight*'Summary by EC'!N15+Centrifugal_Housed_Emb_weight*'Summary by EC'!N41)/_DuctedWt,IF($C$3="Standalone Fans",(Axial_Housed_Stdalone_weight*'Summary by EC'!N15+Centrifugal_Housed_Stdalone_weight*'Summary by EC'!N41+Inline_Mixed_Stdalone_weight*'Summary by EC'!N67+Radial_Stdalone_weight*'Summary by EC'!N80)/_DuctedWt,(Axial_housed_weight*'Summary by EC'!N15+Centrifugal_housed_weight*'Summary by EC'!N41+Inline_Mixed_weight*'Summary by EC'!N67+Radial_weight*'Summary by EC'!N80)/_DuctedWt))</f>
        <v>21.872102710777106</v>
      </c>
      <c r="L17" s="294">
        <f t="shared" ca="1" si="0"/>
        <v>316.55880710526617</v>
      </c>
    </row>
    <row r="18" spans="2:12" ht="12" customHeight="1">
      <c r="B18" s="404">
        <v>5</v>
      </c>
      <c r="C18" s="405">
        <f ca="1">IF($C$3="Embedded Fans",(Axial_Housed_Emb_weight*'Summary by EC'!F16+Centrifugal_Housed_Emb_weight*'Summary by EC'!F42)/_DuctedWt,IF($C$3="Standalone Fans",(Axial_Housed_Stdalone_weight*'Summary by EC'!F16+Centrifugal_Housed_Stdalone_weight*'Summary by EC'!F42+Inline_Mixed_Stdalone_weight*'Summary by EC'!F68+Radial_Stdalone_weight*'Summary by EC'!F81)/_DuctedWt,(Axial_housed_weight*'Summary by EC'!F16+Centrifugal_housed_weight*'Summary by EC'!F42+Inline_Mixed_weight*'Summary by EC'!F68+Radial_weight*'Summary by EC'!F81)/_DuctedWt))</f>
        <v>2289.1425526315784</v>
      </c>
      <c r="D18" s="405">
        <f ca="1">IF($C$3="Embedded Fans",(Axial_Housed_Emb_weight*'Summary by EC'!G16+Centrifugal_Housed_Emb_weight*'Summary by EC'!G42)/_DuctedWt,IF($C$3="Standalone Fans",(Axial_Housed_Stdalone_weight*'Summary by EC'!G16+Centrifugal_Housed_Stdalone_weight*'Summary by EC'!G42+Inline_Mixed_Stdalone_weight*'Summary by EC'!G68+Radial_Stdalone_weight*'Summary by EC'!G81)/_DuctedWt,(Axial_housed_weight*'Summary by EC'!G16+Centrifugal_housed_weight*'Summary by EC'!G42+Inline_Mixed_weight*'Summary by EC'!G68+Radial_weight*'Summary by EC'!G81)/_DuctedWt))</f>
        <v>1043.8930328815788</v>
      </c>
      <c r="E18" s="405">
        <f ca="1">IF($C$3="Embedded Fans",(Axial_Housed_Emb_weight*'Summary by EC'!H16+Centrifugal_Housed_Emb_weight*'Summary by EC'!H42)/_DuctedWt,IF($C$3="Standalone Fans",(Axial_Housed_Stdalone_weight*'Summary by EC'!H16+Centrifugal_Housed_Stdalone_weight*'Summary by EC'!H42+Inline_Mixed_Stdalone_weight*'Summary by EC'!H68+Radial_Stdalone_weight*'Summary by EC'!H81)/_DuctedWt,(Axial_housed_weight*'Summary by EC'!H16+Centrifugal_housed_weight*'Summary by EC'!H42+Inline_Mixed_weight*'Summary by EC'!H68+Radial_weight*'Summary by EC'!H81)/_DuctedWt))</f>
        <v>11628.33668210526</v>
      </c>
      <c r="F18" s="405">
        <f t="shared" ca="1" si="1"/>
        <v>13917.479234736838</v>
      </c>
      <c r="G18" s="406">
        <f ca="1">(C19-$C$13)/($D$13-D19)</f>
        <v>4.5554621303598317</v>
      </c>
      <c r="H18" s="406">
        <f ca="1">IF($C$3="Embedded Fans",(Axial_Housed_Emb_weight*'Summary by EC'!K16+Centrifugal_Housed_Emb_weight*'Summary by EC'!K42)/_DuctedWt,IF($C$3="Standalone Fans",(Axial_Housed_Stdalone_weight*'Summary by EC'!K16+Centrifugal_Housed_Stdalone_weight*'Summary by EC'!K42+Inline_Mixed_Stdalone_weight*'Summary by EC'!K68+Radial_Stdalone_weight*'Summary by EC'!K81)/_DuctedWt,(Axial_housed_weight*'Summary by EC'!K16+Centrifugal_housed_weight*'Summary by EC'!K42+Inline_Mixed_weight*'Summary by EC'!K68+Radial_weight*'Summary by EC'!K81)/_DuctedWt))</f>
        <v>17.692305684210524</v>
      </c>
      <c r="J18" s="30">
        <v>6</v>
      </c>
      <c r="K18" s="406">
        <f ca="1">IF($C$3="Embedded Fans",(Axial_Housed_Emb_weight*'Summary by EC'!N16+Centrifugal_Housed_Emb_weight*'Summary by EC'!N42)/_DuctedWt,IF($C$3="Standalone Fans",(Axial_Housed_Stdalone_weight*'Summary by EC'!N16+Centrifugal_Housed_Stdalone_weight*'Summary by EC'!N42+Inline_Mixed_Stdalone_weight*'Summary by EC'!N68+Radial_Stdalone_weight*'Summary by EC'!N81)/_DuctedWt,(Axial_housed_weight*'Summary by EC'!N16+Centrifugal_housed_weight*'Summary by EC'!N42+Inline_Mixed_weight*'Summary by EC'!N68+Radial_weight*'Summary by EC'!N81)/_DuctedWt))</f>
        <v>29.441682904999997</v>
      </c>
      <c r="L18" s="294">
        <f t="shared" ca="1" si="0"/>
        <v>731.03342684210656</v>
      </c>
    </row>
    <row r="19" spans="2:12" ht="12" customHeight="1">
      <c r="B19" s="404">
        <v>6</v>
      </c>
      <c r="C19" s="405">
        <f ca="1">IF($C$3="Embedded Fans",(Axial_Housed_Emb_weight*'Summary by EC'!F17+Centrifugal_Housed_Emb_weight*'Summary by EC'!F43)/_DuctedWt,IF($C$3="Standalone Fans",(Axial_Housed_Stdalone_weight*'Summary by EC'!F17+Centrifugal_Housed_Stdalone_weight*'Summary by EC'!F43+Inline_Mixed_Stdalone_weight*'Summary by EC'!F69+Radial_Stdalone_weight*'Summary by EC'!F82)/_DuctedWt,(Axial_housed_weight*'Summary by EC'!F17+Centrifugal_housed_weight*'Summary by EC'!F43+Inline_Mixed_weight*'Summary by EC'!F69+Radial_weight*'Summary by EC'!F82)/_DuctedWt))</f>
        <v>2498.8471406578947</v>
      </c>
      <c r="D19" s="405">
        <f ca="1">IF($C$3="Embedded Fans",(Axial_Housed_Emb_weight*'Summary by EC'!G17+Centrifugal_Housed_Emb_weight*'Summary by EC'!G43)/_DuctedWt,IF($C$3="Standalone Fans",(Axial_Housed_Stdalone_weight*'Summary by EC'!G17+Centrifugal_Housed_Stdalone_weight*'Summary by EC'!G43+Inline_Mixed_Stdalone_weight*'Summary by EC'!G69+Radial_Stdalone_weight*'Summary by EC'!G82)/_DuctedWt,(Axial_housed_weight*'Summary by EC'!G17+Centrifugal_housed_weight*'Summary by EC'!G43+Inline_Mixed_weight*'Summary by EC'!G69+Radial_weight*'Summary by EC'!G82)/_DuctedWt))</f>
        <v>987.9606407763157</v>
      </c>
      <c r="E19" s="405">
        <f ca="1">IF($C$3="Embedded Fans",(Axial_Housed_Emb_weight*'Summary by EC'!H17+Centrifugal_Housed_Emb_weight*'Summary by EC'!H43)/_DuctedWt,IF($C$3="Standalone Fans",(Axial_Housed_Stdalone_weight*'Summary by EC'!H17+Centrifugal_Housed_Stdalone_weight*'Summary by EC'!H43+Inline_Mixed_Stdalone_weight*'Summary by EC'!H69+Radial_Stdalone_weight*'Summary by EC'!H82)/_DuctedWt,(Axial_housed_weight*'Summary by EC'!H17+Centrifugal_housed_weight*'Summary by EC'!H43+Inline_Mixed_weight*'Summary by EC'!H69+Radial_weight*'Summary by EC'!H82)/_DuctedWt))</f>
        <v>11004.157474342104</v>
      </c>
      <c r="F19" s="405">
        <f t="shared" ca="1" si="1"/>
        <v>13503.004614999998</v>
      </c>
      <c r="G19" s="406">
        <f ca="1">(C19-$C$13)/($D$13-D19)</f>
        <v>4.5554621303598317</v>
      </c>
      <c r="H19" s="406">
        <f ca="1">IF($C$3="Embedded Fans",(Axial_Housed_Emb_weight*'Summary by EC'!K17+Centrifugal_Housed_Emb_weight*'Summary by EC'!K43)/_DuctedWt,IF($C$3="Standalone Fans",(Axial_Housed_Stdalone_weight*'Summary by EC'!K17+Centrifugal_Housed_Stdalone_weight*'Summary by EC'!K43+Inline_Mixed_Stdalone_weight*'Summary by EC'!K69+Radial_Stdalone_weight*'Summary by EC'!K82)/_DuctedWt,(Axial_housed_weight*'Summary by EC'!K17+Centrifugal_housed_weight*'Summary by EC'!K43+Inline_Mixed_weight*'Summary by EC'!K69+Radial_weight*'Summary by EC'!K82)/_DuctedWt))</f>
        <v>17.692305684210524</v>
      </c>
      <c r="J19" s="32" t="s">
        <v>488</v>
      </c>
    </row>
    <row r="20" spans="2:12" ht="12" customHeight="1">
      <c r="B20" s="32" t="s">
        <v>487</v>
      </c>
    </row>
    <row r="22" spans="2:12" ht="12" customHeight="1">
      <c r="B22" s="663" t="s">
        <v>583</v>
      </c>
      <c r="C22" s="663"/>
      <c r="D22" s="663"/>
      <c r="E22" s="663"/>
      <c r="F22" s="663"/>
      <c r="G22" s="663"/>
      <c r="H22" s="663"/>
      <c r="J22" s="663" t="s">
        <v>403</v>
      </c>
      <c r="K22" s="663"/>
      <c r="L22" s="663"/>
    </row>
    <row r="23" spans="2:12" ht="12" customHeight="1">
      <c r="B23" s="665" t="s">
        <v>53</v>
      </c>
      <c r="C23" s="666" t="s">
        <v>54</v>
      </c>
      <c r="D23" s="666"/>
      <c r="E23" s="666"/>
      <c r="F23" s="666"/>
      <c r="G23" s="667" t="s">
        <v>55</v>
      </c>
      <c r="H23" s="667"/>
      <c r="J23" s="675" t="s">
        <v>53</v>
      </c>
      <c r="K23" s="671" t="s">
        <v>56</v>
      </c>
      <c r="L23" s="672"/>
    </row>
    <row r="24" spans="2:12" ht="12" customHeight="1">
      <c r="B24" s="665"/>
      <c r="C24" s="675" t="s">
        <v>57</v>
      </c>
      <c r="D24" s="676" t="s">
        <v>58</v>
      </c>
      <c r="E24" s="675" t="s">
        <v>59</v>
      </c>
      <c r="F24" s="675" t="s">
        <v>60</v>
      </c>
      <c r="G24" s="675" t="s">
        <v>61</v>
      </c>
      <c r="H24" s="675" t="s">
        <v>62</v>
      </c>
      <c r="J24" s="675"/>
      <c r="K24" s="673"/>
      <c r="L24" s="674"/>
    </row>
    <row r="25" spans="2:12" ht="40.799999999999997">
      <c r="B25" s="665"/>
      <c r="C25" s="675"/>
      <c r="D25" s="676"/>
      <c r="E25" s="675"/>
      <c r="F25" s="675"/>
      <c r="G25" s="675"/>
      <c r="H25" s="675"/>
      <c r="J25" s="675"/>
      <c r="K25" s="630" t="s">
        <v>630</v>
      </c>
      <c r="L25" s="545" t="s">
        <v>477</v>
      </c>
    </row>
    <row r="26" spans="2:12" ht="10.95">
      <c r="B26" s="404" t="s">
        <v>407</v>
      </c>
      <c r="C26" s="294">
        <f ca="1">IF($C$3="Embedded Fans",(Panel_Emb_weight*'Summary by EC'!F24+Centrifugal_Unh_Emb_weight*'Summary by EC'!F50)/_UnDuctedWt,IF($C$3="Standalone Fans",(Panel_Stdalone_weight*'Summary by EC'!F24+Centrifugal_Unh_Stdalone_weight*'Summary by EC'!F50+PRV_Stdalone_weight*'Summary by EC'!F89)/_UnDuctedWt,(Axial_unhoused_weight*'Summary by EC'!F24+Centrifugal_unhoused_weight*'Summary by EC'!F50+PRV_weight*'Summary by EC'!F89)/_UnDuctedWt))</f>
        <v>3626.0555639516124</v>
      </c>
      <c r="D26" s="294">
        <f ca="1">IF($C$3="Embedded Fans",(Panel_Emb_weight*'Summary by EC'!G24+Centrifugal_Unh_Emb_weight*'Summary by EC'!G50)/_UnDuctedWt,IF($C$3="Standalone Fans",(Panel_Stdalone_weight*'Summary by EC'!G24+Centrifugal_Unh_Stdalone_weight*'Summary by EC'!G50+PRV_Stdalone_weight*'Summary by EC'!G89)/_UnDuctedWt,(Axial_unhoused_weight*'Summary by EC'!G24+Centrifugal_unhoused_weight*'Summary by EC'!G50+PRV_weight*'Summary by EC'!G89)/_UnDuctedWt))</f>
        <v>1973.7711339314512</v>
      </c>
      <c r="E26" s="294">
        <f ca="1">IF($C$3="Embedded Fans",(Panel_Emb_weight*'Summary by EC'!H24+Centrifugal_Unh_Emb_weight*'Summary by EC'!H50)/_UnDuctedWt,IF($C$3="Standalone Fans",(Panel_Stdalone_weight*'Summary by EC'!H24+Centrifugal_Unh_Stdalone_weight*'Summary by EC'!H50+PRV_Stdalone_weight*'Summary by EC'!H89)/_UnDuctedWt,(Axial_unhoused_weight*'Summary by EC'!H24+Centrifugal_unhoused_weight*'Summary by EC'!H50+PRV_weight*'Summary by EC'!H89)/_UnDuctedWt))</f>
        <v>21834.912496008059</v>
      </c>
      <c r="F26" s="294">
        <f ca="1">E26+C26</f>
        <v>25460.968059959672</v>
      </c>
      <c r="G26" s="212" t="s">
        <v>244</v>
      </c>
      <c r="H26" s="398">
        <f ca="1">IF($C$3="Embedded Fans",(Panel_Emb_weight*'Summary by EC'!K24+Centrifugal_Unh_Emb_weight*'Summary by EC'!K50)/_UnDuctedWt,IF($C$3="Standalone Fans",(Panel_Stdalone_weight*'Summary by EC'!K24+Centrifugal_Unh_Stdalone_weight*'Summary by EC'!K50+PRV_Stdalone_weight*'Summary by EC'!K89)/_UnDuctedWt,(Axial_unhoused_weight*'Summary by EC'!K24+Centrifugal_unhoused_weight*'Summary by EC'!K50+PRV_weight*'Summary by EC'!K89)/_UnDuctedWt))</f>
        <v>18.092227266693545</v>
      </c>
      <c r="J26" s="30">
        <v>1</v>
      </c>
      <c r="K26" s="398">
        <f ca="1">IF($C$3="Embedded Fans",(Panel_Emb_weight*'Summary by EC'!N24+Centrifugal_Unh_Emb_weight*'Summary by EC'!N50)/_UnDuctedWt,IF($C$3="Standalone Fans",(Panel_Stdalone_weight*'Summary by EC'!N24+Centrifugal_Unh_Stdalone_weight*'Summary by EC'!N50+PRV_Stdalone_weight*'Summary by EC'!N89)/_UnDuctedWt,(Axial_unhoused_weight*'Summary by EC'!N24+Centrifugal_unhoused_weight*'Summary by EC'!N50+PRV_weight*'Summary by EC'!N89)/_UnDuctedWt))</f>
        <v>0.756151204325895</v>
      </c>
      <c r="L26" s="294">
        <f t="shared" ref="L26:L31" ca="1" si="2">$F$26-F27</f>
        <v>47.152333749996615</v>
      </c>
    </row>
    <row r="27" spans="2:12" ht="12" customHeight="1">
      <c r="B27" s="404">
        <v>1</v>
      </c>
      <c r="C27" s="294">
        <f ca="1">IF($C$3="Embedded Fans",(Panel_Emb_weight*'Summary by EC'!F25+Centrifugal_Unh_Emb_weight*'Summary by EC'!F51)/_UnDuctedWt,IF($C$3="Standalone Fans",(Panel_Stdalone_weight*'Summary by EC'!F25+Centrifugal_Unh_Stdalone_weight*'Summary by EC'!F51+PRV_Stdalone_weight*'Summary by EC'!F90)/_UnDuctedWt,(Axial_unhoused_weight*'Summary by EC'!F25+Centrifugal_unhoused_weight*'Summary by EC'!F51+PRV_weight*'Summary by EC'!F90)/_UnDuctedWt))</f>
        <v>3651.822975370967</v>
      </c>
      <c r="D27" s="294">
        <f ca="1">IF($C$3="Embedded Fans",(Panel_Emb_weight*'Summary by EC'!G25+Centrifugal_Unh_Emb_weight*'Summary by EC'!G51)/_UnDuctedWt,IF($C$3="Standalone Fans",(Panel_Stdalone_weight*'Summary by EC'!G25+Centrifugal_Unh_Stdalone_weight*'Summary by EC'!G51+PRV_Stdalone_weight*'Summary by EC'!G90)/_UnDuctedWt,(Axial_unhoused_weight*'Summary by EC'!G25+Centrifugal_unhoused_weight*'Summary by EC'!G51+PRV_weight*'Summary by EC'!G90)/_UnDuctedWt))</f>
        <v>1967.0975609879029</v>
      </c>
      <c r="E27" s="294">
        <f ca="1">IF($C$3="Embedded Fans",(Panel_Emb_weight*'Summary by EC'!H25+Centrifugal_Unh_Emb_weight*'Summary by EC'!H51)/_UnDuctedWt,IF($C$3="Standalone Fans",(Panel_Stdalone_weight*'Summary by EC'!H25+Centrifugal_Unh_Stdalone_weight*'Summary by EC'!H51+PRV_Stdalone_weight*'Summary by EC'!H90)/_UnDuctedWt,(Axial_unhoused_weight*'Summary by EC'!H25+Centrifugal_unhoused_weight*'Summary by EC'!H51+PRV_weight*'Summary by EC'!H90)/_UnDuctedWt))</f>
        <v>21761.992750838708</v>
      </c>
      <c r="F27" s="294">
        <f t="shared" ref="F27:F32" ca="1" si="3">E27+C27</f>
        <v>25413.815726209676</v>
      </c>
      <c r="G27" s="212">
        <f t="shared" ref="G27:G32" ca="1" si="4">(C27-$C$26)/($D$26-D27)</f>
        <v>3.8611118268011233</v>
      </c>
      <c r="H27" s="398">
        <f ca="1">IF($C$3="Embedded Fans",(Panel_Emb_weight*'Summary by EC'!K25+Centrifugal_Unh_Emb_weight*'Summary by EC'!K51)/_UnDuctedWt,IF($C$3="Standalone Fans",(Panel_Stdalone_weight*'Summary by EC'!K25+Centrifugal_Unh_Stdalone_weight*'Summary by EC'!K51+PRV_Stdalone_weight*'Summary by EC'!K90)/_UnDuctedWt,(Axial_unhoused_weight*'Summary by EC'!K25+Centrifugal_unhoused_weight*'Summary by EC'!K51+PRV_weight*'Summary by EC'!K90)/_UnDuctedWt))</f>
        <v>18.092227266693545</v>
      </c>
      <c r="J27" s="30">
        <v>2</v>
      </c>
      <c r="K27" s="398">
        <f ca="1">IF($C$3="Embedded Fans",(Panel_Emb_weight*'Summary by EC'!N25+Centrifugal_Unh_Emb_weight*'Summary by EC'!N51)/_UnDuctedWt,IF($C$3="Standalone Fans",(Panel_Stdalone_weight*'Summary by EC'!N25+Centrifugal_Unh_Stdalone_weight*'Summary by EC'!N51+PRV_Stdalone_weight*'Summary by EC'!N90)/_UnDuctedWt,(Axial_unhoused_weight*'Summary by EC'!N25+Centrifugal_unhoused_weight*'Summary by EC'!N51+PRV_weight*'Summary by EC'!N90)/_UnDuctedWt))</f>
        <v>1.4175854631135643</v>
      </c>
      <c r="L27" s="294">
        <f t="shared" ca="1" si="2"/>
        <v>66.583420564511471</v>
      </c>
    </row>
    <row r="28" spans="2:12" ht="12" customHeight="1">
      <c r="B28" s="404">
        <v>2</v>
      </c>
      <c r="C28" s="294">
        <f ca="1">IF($C$3="Embedded Fans",(Panel_Emb_weight*'Summary by EC'!F26+Centrifugal_Unh_Emb_weight*'Summary by EC'!F52)/_UnDuctedWt,IF($C$3="Standalone Fans",(Panel_Stdalone_weight*'Summary by EC'!F26+Centrifugal_Unh_Stdalone_weight*'Summary by EC'!F52+PRV_Stdalone_weight*'Summary by EC'!F91)/_UnDuctedWt,(Axial_unhoused_weight*'Summary by EC'!F26+Centrifugal_unhoused_weight*'Summary by EC'!F52+PRV_weight*'Summary by EC'!F91)/_UnDuctedWt))</f>
        <v>3662.0160742822573</v>
      </c>
      <c r="D28" s="294">
        <f ca="1">IF($C$3="Embedded Fans",(Panel_Emb_weight*'Summary by EC'!G26+Centrifugal_Unh_Emb_weight*'Summary by EC'!G52)/_UnDuctedWt,IF($C$3="Standalone Fans",(Panel_Stdalone_weight*'Summary by EC'!G26+Centrifugal_Unh_Stdalone_weight*'Summary by EC'!G52+PRV_Stdalone_weight*'Summary by EC'!G91)/_UnDuctedWt,(Axial_unhoused_weight*'Summary by EC'!G26+Centrifugal_unhoused_weight*'Summary by EC'!G52+PRV_weight*'Summary by EC'!G91)/_UnDuctedWt))</f>
        <v>1964.5192728145159</v>
      </c>
      <c r="E28" s="294">
        <f ca="1">IF($C$3="Embedded Fans",(Panel_Emb_weight*'Summary by EC'!H26+Centrifugal_Unh_Emb_weight*'Summary by EC'!H52)/_UnDuctedWt,IF($C$3="Standalone Fans",(Panel_Stdalone_weight*'Summary by EC'!H26+Centrifugal_Unh_Stdalone_weight*'Summary by EC'!H52+PRV_Stdalone_weight*'Summary by EC'!H91)/_UnDuctedWt,(Axial_unhoused_weight*'Summary by EC'!H26+Centrifugal_unhoused_weight*'Summary by EC'!H52+PRV_weight*'Summary by EC'!H91)/_UnDuctedWt))</f>
        <v>21732.368565112902</v>
      </c>
      <c r="F28" s="294">
        <f t="shared" ca="1" si="3"/>
        <v>25394.384639395161</v>
      </c>
      <c r="G28" s="212">
        <f t="shared" ca="1" si="4"/>
        <v>3.8868406989832671</v>
      </c>
      <c r="H28" s="398">
        <f ca="1">IF($C$3="Embedded Fans",(Panel_Emb_weight*'Summary by EC'!K26+Centrifugal_Unh_Emb_weight*'Summary by EC'!K52)/_UnDuctedWt,IF($C$3="Standalone Fans",(Panel_Stdalone_weight*'Summary by EC'!K26+Centrifugal_Unh_Stdalone_weight*'Summary by EC'!K52+PRV_Stdalone_weight*'Summary by EC'!K91)/_UnDuctedWt,(Axial_unhoused_weight*'Summary by EC'!K26+Centrifugal_unhoused_weight*'Summary by EC'!K52+PRV_weight*'Summary by EC'!K91)/_UnDuctedWt))</f>
        <v>18.092227266693545</v>
      </c>
      <c r="J28" s="30">
        <v>3</v>
      </c>
      <c r="K28" s="398">
        <f ca="1">IF($C$3="Embedded Fans",(Panel_Emb_weight*'Summary by EC'!N26+Centrifugal_Unh_Emb_weight*'Summary by EC'!N52)/_UnDuctedWt,IF($C$3="Standalone Fans",(Panel_Stdalone_weight*'Summary by EC'!N26+Centrifugal_Unh_Stdalone_weight*'Summary by EC'!N52+PRV_Stdalone_weight*'Summary by EC'!N91)/_UnDuctedWt,(Axial_unhoused_weight*'Summary by EC'!N26+Centrifugal_unhoused_weight*'Summary by EC'!N52+PRV_weight*'Summary by EC'!N91)/_UnDuctedWt))</f>
        <v>2.4188791314107254</v>
      </c>
      <c r="L28" s="294">
        <f t="shared" ca="1" si="2"/>
        <v>100.46513544354821</v>
      </c>
    </row>
    <row r="29" spans="2:12" ht="12" customHeight="1">
      <c r="B29" s="404">
        <v>3</v>
      </c>
      <c r="C29" s="294">
        <f ca="1">IF($C$3="Embedded Fans",(Panel_Emb_weight*'Summary by EC'!F27+Centrifugal_Unh_Emb_weight*'Summary by EC'!F53)/_UnDuctedWt,IF($C$3="Standalone Fans",(Panel_Stdalone_weight*'Summary by EC'!F27+Centrifugal_Unh_Stdalone_weight*'Summary by EC'!F53+PRV_Stdalone_weight*'Summary by EC'!F92)/_UnDuctedWt,(Axial_unhoused_weight*'Summary by EC'!F27+Centrifugal_unhoused_weight*'Summary by EC'!F53+PRV_weight*'Summary by EC'!F92)/_UnDuctedWt))</f>
        <v>3675.7292098467733</v>
      </c>
      <c r="D29" s="294">
        <f ca="1">IF($C$3="Embedded Fans",(Panel_Emb_weight*'Summary by EC'!G27+Centrifugal_Unh_Emb_weight*'Summary by EC'!G53)/_UnDuctedWt,IF($C$3="Standalone Fans",(Panel_Stdalone_weight*'Summary by EC'!G27+Centrifugal_Unh_Stdalone_weight*'Summary by EC'!G53+PRV_Stdalone_weight*'Summary by EC'!G92)/_UnDuctedWt,(Axial_unhoused_weight*'Summary by EC'!G27+Centrifugal_unhoused_weight*'Summary by EC'!G53+PRV_weight*'Summary by EC'!G92)/_UnDuctedWt))</f>
        <v>1960.2463745524192</v>
      </c>
      <c r="E29" s="294">
        <f ca="1">IF($C$3="Embedded Fans",(Panel_Emb_weight*'Summary by EC'!H27+Centrifugal_Unh_Emb_weight*'Summary by EC'!H53)/_UnDuctedWt,IF($C$3="Standalone Fans",(Panel_Stdalone_weight*'Summary by EC'!H27+Centrifugal_Unh_Stdalone_weight*'Summary by EC'!H53+PRV_Stdalone_weight*'Summary by EC'!H92)/_UnDuctedWt,(Axial_unhoused_weight*'Summary by EC'!H27+Centrifugal_unhoused_weight*'Summary by EC'!H53+PRV_weight*'Summary by EC'!H92)/_UnDuctedWt))</f>
        <v>21684.773714669351</v>
      </c>
      <c r="F29" s="294">
        <f t="shared" ca="1" si="3"/>
        <v>25360.502924516124</v>
      </c>
      <c r="G29" s="212">
        <f t="shared" ca="1" si="4"/>
        <v>3.6727933195005207</v>
      </c>
      <c r="H29" s="398">
        <f ca="1">IF($C$3="Embedded Fans",(Panel_Emb_weight*'Summary by EC'!K27+Centrifugal_Unh_Emb_weight*'Summary by EC'!K53)/_UnDuctedWt,IF($C$3="Standalone Fans",(Panel_Stdalone_weight*'Summary by EC'!K27+Centrifugal_Unh_Stdalone_weight*'Summary by EC'!K53+PRV_Stdalone_weight*'Summary by EC'!K92)/_UnDuctedWt,(Axial_unhoused_weight*'Summary by EC'!K27+Centrifugal_unhoused_weight*'Summary by EC'!K53+PRV_weight*'Summary by EC'!K92)/_UnDuctedWt))</f>
        <v>18.092227266693545</v>
      </c>
      <c r="J29" s="30">
        <v>4</v>
      </c>
      <c r="K29" s="398">
        <f ca="1">IF($C$3="Embedded Fans",(Panel_Emb_weight*'Summary by EC'!N27+Centrifugal_Unh_Emb_weight*'Summary by EC'!N53)/_UnDuctedWt,IF($C$3="Standalone Fans",(Panel_Stdalone_weight*'Summary by EC'!N27+Centrifugal_Unh_Stdalone_weight*'Summary by EC'!N53+PRV_Stdalone_weight*'Summary by EC'!N92)/_UnDuctedWt,(Axial_unhoused_weight*'Summary by EC'!N27+Centrifugal_unhoused_weight*'Summary by EC'!N53+PRV_weight*'Summary by EC'!N92)/_UnDuctedWt))</f>
        <v>4.1263986558363701</v>
      </c>
      <c r="L29" s="294">
        <f t="shared" ca="1" si="2"/>
        <v>169.52779899193047</v>
      </c>
    </row>
    <row r="30" spans="2:12" ht="12" customHeight="1">
      <c r="B30" s="404">
        <v>4</v>
      </c>
      <c r="C30" s="294">
        <f ca="1">IF($C$3="Embedded Fans",(Panel_Emb_weight*'Summary by EC'!F28+Centrifugal_Unh_Emb_weight*'Summary by EC'!F54)/_UnDuctedWt,IF($C$3="Standalone Fans",(Panel_Stdalone_weight*'Summary by EC'!F28+Centrifugal_Unh_Stdalone_weight*'Summary by EC'!F54+PRV_Stdalone_weight*'Summary by EC'!F93)/_UnDuctedWt,(Axial_unhoused_weight*'Summary by EC'!F28+Centrifugal_unhoused_weight*'Summary by EC'!F54+PRV_weight*'Summary by EC'!F93)/_UnDuctedWt))</f>
        <v>3695.8551793870956</v>
      </c>
      <c r="D30" s="294">
        <f ca="1">IF($C$3="Embedded Fans",(Panel_Emb_weight*'Summary by EC'!G28+Centrifugal_Unh_Emb_weight*'Summary by EC'!G54)/_UnDuctedWt,IF($C$3="Standalone Fans",(Panel_Stdalone_weight*'Summary by EC'!G28+Centrifugal_Unh_Stdalone_weight*'Summary by EC'!G54+PRV_Stdalone_weight*'Summary by EC'!G93)/_UnDuctedWt,(Axial_unhoused_weight*'Summary by EC'!G28+Centrifugal_unhoused_weight*'Summary by EC'!G54+PRV_weight*'Summary by EC'!G93)/_UnDuctedWt))</f>
        <v>1952.3695219233869</v>
      </c>
      <c r="E30" s="294">
        <f ca="1">IF($C$3="Embedded Fans",(Panel_Emb_weight*'Summary by EC'!H28+Centrifugal_Unh_Emb_weight*'Summary by EC'!H54)/_UnDuctedWt,IF($C$3="Standalone Fans",(Panel_Stdalone_weight*'Summary by EC'!H28+Centrifugal_Unh_Stdalone_weight*'Summary by EC'!H54+PRV_Stdalone_weight*'Summary by EC'!H93)/_UnDuctedWt,(Axial_unhoused_weight*'Summary by EC'!H28+Centrifugal_unhoused_weight*'Summary by EC'!H54+PRV_weight*'Summary by EC'!H93)/_UnDuctedWt))</f>
        <v>21595.585081580644</v>
      </c>
      <c r="F30" s="294">
        <f t="shared" ca="1" si="3"/>
        <v>25291.440260967742</v>
      </c>
      <c r="G30" s="212">
        <f t="shared" ca="1" si="4"/>
        <v>3.2614185982430643</v>
      </c>
      <c r="H30" s="398">
        <f ca="1">IF($C$3="Embedded Fans",(Panel_Emb_weight*'Summary by EC'!K28+Centrifugal_Unh_Emb_weight*'Summary by EC'!K54)/_UnDuctedWt,IF($C$3="Standalone Fans",(Panel_Stdalone_weight*'Summary by EC'!K28+Centrifugal_Unh_Stdalone_weight*'Summary by EC'!K54+PRV_Stdalone_weight*'Summary by EC'!K93)/_UnDuctedWt,(Axial_unhoused_weight*'Summary by EC'!K28+Centrifugal_unhoused_weight*'Summary by EC'!K54+PRV_weight*'Summary by EC'!K93)/_UnDuctedWt))</f>
        <v>18.092227266693545</v>
      </c>
      <c r="J30" s="30">
        <v>5</v>
      </c>
      <c r="K30" s="398">
        <f ca="1">IF($C$3="Embedded Fans",(Panel_Emb_weight*'Summary by EC'!N28+Centrifugal_Unh_Emb_weight*'Summary by EC'!N54)/_UnDuctedWt,IF($C$3="Standalone Fans",(Panel_Stdalone_weight*'Summary by EC'!N28+Centrifugal_Unh_Stdalone_weight*'Summary by EC'!N54+PRV_Stdalone_weight*'Summary by EC'!N93)/_UnDuctedWt,(Axial_unhoused_weight*'Summary by EC'!N28+Centrifugal_unhoused_weight*'Summary by EC'!N54+PRV_weight*'Summary by EC'!N93)/_UnDuctedWt))</f>
        <v>6.3367044437220965</v>
      </c>
      <c r="L30" s="294">
        <f t="shared" ca="1" si="2"/>
        <v>235.44883391128315</v>
      </c>
    </row>
    <row r="31" spans="2:12" ht="12" customHeight="1">
      <c r="B31" s="404">
        <v>5</v>
      </c>
      <c r="C31" s="294">
        <f ca="1">IF($C$3="Embedded Fans",(Panel_Emb_weight*'Summary by EC'!F29+Centrifugal_Unh_Emb_weight*'Summary by EC'!F55)/_UnDuctedWt,IF($C$3="Standalone Fans",(Panel_Stdalone_weight*'Summary by EC'!F29+Centrifugal_Unh_Stdalone_weight*'Summary by EC'!F55+PRV_Stdalone_weight*'Summary by EC'!F94)/_UnDuctedWt,(Axial_unhoused_weight*'Summary by EC'!F29+Centrifugal_unhoused_weight*'Summary by EC'!F55+PRV_weight*'Summary by EC'!F94)/_UnDuctedWt))</f>
        <v>3719.1371778709672</v>
      </c>
      <c r="D31" s="294">
        <f ca="1">IF($C$3="Embedded Fans",(Panel_Emb_weight*'Summary by EC'!G29+Centrifugal_Unh_Emb_weight*'Summary by EC'!G55)/_UnDuctedWt,IF($C$3="Standalone Fans",(Panel_Stdalone_weight*'Summary by EC'!G29+Centrifugal_Unh_Stdalone_weight*'Summary by EC'!G55+PRV_Stdalone_weight*'Summary by EC'!G94)/_UnDuctedWt,(Axial_unhoused_weight*'Summary by EC'!G29+Centrifugal_unhoused_weight*'Summary by EC'!G55+PRV_weight*'Summary by EC'!G94)/_UnDuctedWt))</f>
        <v>1944.5765502177419</v>
      </c>
      <c r="E31" s="294">
        <f ca="1">IF($C$3="Embedded Fans",(Panel_Emb_weight*'Summary by EC'!H29+Centrifugal_Unh_Emb_weight*'Summary by EC'!H55)/_UnDuctedWt,IF($C$3="Standalone Fans",(Panel_Stdalone_weight*'Summary by EC'!H29+Centrifugal_Unh_Stdalone_weight*'Summary by EC'!H55+PRV_Stdalone_weight*'Summary by EC'!H94)/_UnDuctedWt,(Axial_unhoused_weight*'Summary by EC'!H29+Centrifugal_unhoused_weight*'Summary by EC'!H55+PRV_weight*'Summary by EC'!H94)/_UnDuctedWt))</f>
        <v>21506.38204817742</v>
      </c>
      <c r="F31" s="294">
        <f t="shared" ca="1" si="3"/>
        <v>25225.519226048389</v>
      </c>
      <c r="G31" s="212">
        <f t="shared" ca="1" si="4"/>
        <v>3.1883179028048652</v>
      </c>
      <c r="H31" s="398">
        <f ca="1">IF($C$3="Embedded Fans",(Panel_Emb_weight*'Summary by EC'!K29+Centrifugal_Unh_Emb_weight*'Summary by EC'!K55)/_UnDuctedWt,IF($C$3="Standalone Fans",(Panel_Stdalone_weight*'Summary by EC'!K29+Centrifugal_Unh_Stdalone_weight*'Summary by EC'!K55+PRV_Stdalone_weight*'Summary by EC'!K94)/_UnDuctedWt,(Axial_unhoused_weight*'Summary by EC'!K29+Centrifugal_unhoused_weight*'Summary by EC'!K55+PRV_weight*'Summary by EC'!K94)/_UnDuctedWt))</f>
        <v>18.092227266693545</v>
      </c>
      <c r="J31" s="30">
        <v>6</v>
      </c>
      <c r="K31" s="398">
        <f ca="1">IF($C$3="Embedded Fans",(Panel_Emb_weight*'Summary by EC'!N29+Centrifugal_Unh_Emb_weight*'Summary by EC'!N55)/_UnDuctedWt,IF($C$3="Standalone Fans",(Panel_Stdalone_weight*'Summary by EC'!N29+Centrifugal_Unh_Stdalone_weight*'Summary by EC'!N55+PRV_Stdalone_weight*'Summary by EC'!N94)/_UnDuctedWt,(Axial_unhoused_weight*'Summary by EC'!N29+Centrifugal_unhoused_weight*'Summary by EC'!N55+PRV_weight*'Summary by EC'!N94)/_UnDuctedWt))</f>
        <v>18.349680395981448</v>
      </c>
      <c r="L31" s="294">
        <f t="shared" ca="1" si="2"/>
        <v>1422.9196088709614</v>
      </c>
    </row>
    <row r="32" spans="2:12" ht="12" customHeight="1">
      <c r="B32" s="404">
        <v>6</v>
      </c>
      <c r="C32" s="294">
        <f ca="1">IF($C$3="Embedded Fans",(Panel_Emb_weight*'Summary by EC'!F30+Centrifugal_Unh_Emb_weight*'Summary by EC'!F56)/_UnDuctedWt,IF($C$3="Standalone Fans",(Panel_Stdalone_weight*'Summary by EC'!F30+Centrifugal_Unh_Stdalone_weight*'Summary by EC'!F56+PRV_Stdalone_weight*'Summary by EC'!F95)/_UnDuctedWt,(Axial_unhoused_weight*'Summary by EC'!F30+Centrifugal_unhoused_weight*'Summary by EC'!F56+PRV_weight*'Summary by EC'!F95)/_UnDuctedWt))</f>
        <v>3858.7469408790316</v>
      </c>
      <c r="D32" s="294">
        <f ca="1">IF($C$3="Embedded Fans",(Panel_Emb_weight*'Summary by EC'!G30+Centrifugal_Unh_Emb_weight*'Summary by EC'!G56)/_UnDuctedWt,IF($C$3="Standalone Fans",(Panel_Stdalone_weight*'Summary by EC'!G30+Centrifugal_Unh_Stdalone_weight*'Summary by EC'!G56+PRV_Stdalone_weight*'Summary by EC'!G95)/_UnDuctedWt,(Axial_unhoused_weight*'Summary by EC'!G30+Centrifugal_unhoused_weight*'Summary by EC'!G56+PRV_weight*'Summary by EC'!G95)/_UnDuctedWt))</f>
        <v>1824.2265860241935</v>
      </c>
      <c r="E32" s="294">
        <f ca="1">IF($C$3="Embedded Fans",(Panel_Emb_weight*'Summary by EC'!H30+Centrifugal_Unh_Emb_weight*'Summary by EC'!H56)/_UnDuctedWt,IF($C$3="Standalone Fans",(Panel_Stdalone_weight*'Summary by EC'!H30+Centrifugal_Unh_Stdalone_weight*'Summary by EC'!H56+PRV_Stdalone_weight*'Summary by EC'!H95)/_UnDuctedWt,(Axial_unhoused_weight*'Summary by EC'!H30+Centrifugal_unhoused_weight*'Summary by EC'!H56+PRV_weight*'Summary by EC'!H95)/_UnDuctedWt))</f>
        <v>20179.30151020968</v>
      </c>
      <c r="F32" s="294">
        <f t="shared" ca="1" si="3"/>
        <v>24038.048451088711</v>
      </c>
      <c r="G32" s="212">
        <f t="shared" ca="1" si="4"/>
        <v>1.5560004037842035</v>
      </c>
      <c r="H32" s="398">
        <f ca="1">IF($C$3="Embedded Fans",(Panel_Emb_weight*'Summary by EC'!K30+Centrifugal_Unh_Emb_weight*'Summary by EC'!K56)/_UnDuctedWt,IF($C$3="Standalone Fans",(Panel_Stdalone_weight*'Summary by EC'!K30+Centrifugal_Unh_Stdalone_weight*'Summary by EC'!K56+PRV_Stdalone_weight*'Summary by EC'!K95)/_UnDuctedWt,(Axial_unhoused_weight*'Summary by EC'!K30+Centrifugal_unhoused_weight*'Summary by EC'!K56+PRV_weight*'Summary by EC'!K95)/_UnDuctedWt))</f>
        <v>18.092227266693545</v>
      </c>
      <c r="J32" s="32" t="s">
        <v>488</v>
      </c>
    </row>
    <row r="33" spans="2:2" ht="12" customHeight="1">
      <c r="B33" s="32" t="s">
        <v>487</v>
      </c>
    </row>
  </sheetData>
  <mergeCells count="28">
    <mergeCell ref="G24:G25"/>
    <mergeCell ref="H24:H25"/>
    <mergeCell ref="J22:L22"/>
    <mergeCell ref="B23:B25"/>
    <mergeCell ref="C23:F23"/>
    <mergeCell ref="G23:H23"/>
    <mergeCell ref="J23:J25"/>
    <mergeCell ref="K23:L24"/>
    <mergeCell ref="C24:C25"/>
    <mergeCell ref="D24:D25"/>
    <mergeCell ref="E24:E25"/>
    <mergeCell ref="F24:F25"/>
    <mergeCell ref="B22:H22"/>
    <mergeCell ref="B8:H8"/>
    <mergeCell ref="J8:L8"/>
    <mergeCell ref="B9:H9"/>
    <mergeCell ref="J9:L9"/>
    <mergeCell ref="B10:B12"/>
    <mergeCell ref="C10:F10"/>
    <mergeCell ref="G10:H10"/>
    <mergeCell ref="J10:J12"/>
    <mergeCell ref="K10:L11"/>
    <mergeCell ref="C11:C12"/>
    <mergeCell ref="D11:D12"/>
    <mergeCell ref="E11:E12"/>
    <mergeCell ref="F11:F12"/>
    <mergeCell ref="G11:G12"/>
    <mergeCell ref="H11:H12"/>
  </mergeCells>
  <pageMargins left="0.7" right="0.7" top="0.75" bottom="0.75" header="0.3" footer="0.3"/>
  <pageSetup scale="48"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0000"/>
    <pageSetUpPr fitToPage="1"/>
  </sheetPr>
  <dimension ref="A1:AF297"/>
  <sheetViews>
    <sheetView workbookViewId="0">
      <pane xSplit="4" ySplit="1" topLeftCell="E88" activePane="bottomRight" state="frozen"/>
      <selection pane="topRight" activeCell="E1" sqref="E1"/>
      <selection pane="bottomLeft" activeCell="A2" sqref="A2"/>
      <selection pane="bottomRight" activeCell="O1" sqref="O1"/>
    </sheetView>
  </sheetViews>
  <sheetFormatPr defaultColWidth="8.77734375" defaultRowHeight="14.4"/>
  <cols>
    <col min="1" max="1" width="23.6640625" customWidth="1"/>
    <col min="2" max="2" width="11.109375" customWidth="1"/>
    <col min="3" max="3" width="10.33203125" customWidth="1"/>
    <col min="4" max="4" width="4" customWidth="1"/>
    <col min="5" max="5" width="20.44140625" style="634" customWidth="1"/>
    <col min="6" max="7" width="25.44140625" style="634" customWidth="1"/>
    <col min="8" max="8" width="12" style="634" bestFit="1" customWidth="1"/>
    <col min="9" max="9" width="23.6640625" style="640" bestFit="1" customWidth="1"/>
    <col min="10" max="10" width="12" style="634" bestFit="1" customWidth="1"/>
    <col min="11" max="11" width="16.44140625" style="634" customWidth="1"/>
    <col min="12" max="12" width="19.6640625" style="634" customWidth="1"/>
    <col min="13" max="13" width="6.44140625" bestFit="1" customWidth="1"/>
    <col min="14" max="14" width="11" style="645" customWidth="1"/>
    <col min="18" max="26" width="8.77734375" style="624"/>
  </cols>
  <sheetData>
    <row r="1" spans="1:30" ht="15">
      <c r="A1" s="561" t="s">
        <v>370</v>
      </c>
      <c r="B1" s="561" t="s">
        <v>4</v>
      </c>
      <c r="C1" s="561" t="s">
        <v>498</v>
      </c>
      <c r="D1" s="561" t="s">
        <v>91</v>
      </c>
      <c r="E1" s="633" t="s">
        <v>491</v>
      </c>
      <c r="F1" s="633" t="s">
        <v>492</v>
      </c>
      <c r="G1" s="633" t="s">
        <v>494</v>
      </c>
      <c r="H1" s="633" t="s">
        <v>60</v>
      </c>
      <c r="I1" s="639" t="s">
        <v>493</v>
      </c>
      <c r="J1" s="633" t="s">
        <v>4</v>
      </c>
      <c r="K1" s="633" t="s">
        <v>495</v>
      </c>
      <c r="L1" s="633" t="s">
        <v>496</v>
      </c>
      <c r="M1" s="561" t="s">
        <v>505</v>
      </c>
      <c r="N1" s="644" t="s">
        <v>641</v>
      </c>
      <c r="O1" s="633" t="s">
        <v>640</v>
      </c>
      <c r="P1" s="628"/>
      <c r="Q1" s="628"/>
      <c r="R1" s="628" t="s">
        <v>647</v>
      </c>
      <c r="S1" s="628" t="s">
        <v>648</v>
      </c>
      <c r="T1" s="628"/>
      <c r="U1" s="628"/>
      <c r="V1" s="628"/>
      <c r="W1" s="628"/>
      <c r="X1" s="628"/>
      <c r="Y1" s="628"/>
      <c r="Z1" s="628"/>
      <c r="AA1" s="628"/>
    </row>
    <row r="2" spans="1:30" ht="15">
      <c r="A2" t="s">
        <v>383</v>
      </c>
      <c r="B2" t="s">
        <v>240</v>
      </c>
      <c r="C2" t="s">
        <v>497</v>
      </c>
      <c r="D2">
        <v>0</v>
      </c>
      <c r="E2" s="634">
        <v>6293.1649376400001</v>
      </c>
      <c r="F2" s="634">
        <v>3902.30986902</v>
      </c>
      <c r="G2" s="634">
        <f>H2-E2</f>
        <v>53597.216734659996</v>
      </c>
      <c r="H2" s="634">
        <v>59890.381672299998</v>
      </c>
      <c r="I2" s="640" t="s">
        <v>476</v>
      </c>
      <c r="J2" s="634">
        <v>27.671362586600001</v>
      </c>
      <c r="M2">
        <v>0</v>
      </c>
      <c r="N2" s="645">
        <f>F2/$O$297</f>
        <v>29182.496724769935</v>
      </c>
      <c r="O2" s="645">
        <f ca="1">OFFSET(M2,-M2,1)-N2</f>
        <v>0</v>
      </c>
      <c r="P2" s="624"/>
      <c r="Q2" s="624"/>
      <c r="R2" s="628" t="s">
        <v>647</v>
      </c>
      <c r="S2" s="628" t="s">
        <v>648</v>
      </c>
      <c r="T2" s="628" t="s">
        <v>649</v>
      </c>
      <c r="U2" s="628" t="s">
        <v>650</v>
      </c>
      <c r="AA2" s="624"/>
      <c r="AC2" s="624"/>
      <c r="AD2" s="624"/>
    </row>
    <row r="3" spans="1:30" ht="15">
      <c r="A3" t="s">
        <v>383</v>
      </c>
      <c r="B3" t="s">
        <v>240</v>
      </c>
      <c r="C3" t="s">
        <v>497</v>
      </c>
      <c r="D3">
        <v>1</v>
      </c>
      <c r="E3" s="634">
        <v>6541.9416027699999</v>
      </c>
      <c r="F3" s="634">
        <v>3859.0483079700002</v>
      </c>
      <c r="G3" s="634">
        <f>H3-E3</f>
        <v>52970.41282243</v>
      </c>
      <c r="H3" s="634">
        <v>59512.354425199999</v>
      </c>
      <c r="I3" s="640">
        <v>5.6100580440285599</v>
      </c>
      <c r="J3" s="634">
        <v>27.671362586600001</v>
      </c>
      <c r="K3" s="634">
        <v>2.4942263279399999</v>
      </c>
      <c r="L3" s="634">
        <v>4610.8675488700001</v>
      </c>
      <c r="M3">
        <v>1</v>
      </c>
      <c r="N3" s="645">
        <f t="shared" ref="N3:N66" si="0">F3/$O$297</f>
        <v>28858.975424303066</v>
      </c>
      <c r="O3" s="645">
        <f ca="1">OFFSET(M3,-M3,1)-N3</f>
        <v>323.52130046686943</v>
      </c>
      <c r="P3" s="624"/>
      <c r="Q3" s="624"/>
      <c r="R3" s="628" t="s">
        <v>647</v>
      </c>
      <c r="S3" s="628" t="s">
        <v>648</v>
      </c>
      <c r="T3" s="628" t="s">
        <v>649</v>
      </c>
      <c r="U3" s="628" t="s">
        <v>650</v>
      </c>
      <c r="AA3" s="624"/>
      <c r="AB3" s="624"/>
      <c r="AC3" s="624"/>
      <c r="AD3" s="624"/>
    </row>
    <row r="4" spans="1:30" ht="15">
      <c r="A4" t="s">
        <v>383</v>
      </c>
      <c r="B4" t="s">
        <v>240</v>
      </c>
      <c r="C4" t="s">
        <v>497</v>
      </c>
      <c r="D4">
        <v>2</v>
      </c>
      <c r="E4" s="634">
        <v>6591.2746374099997</v>
      </c>
      <c r="F4" s="634">
        <v>3844.4403277299998</v>
      </c>
      <c r="G4" s="634">
        <f t="shared" ref="G4:G66" si="1">H4-E4</f>
        <v>52769.681299589996</v>
      </c>
      <c r="H4" s="634">
        <v>59360.955936999999</v>
      </c>
      <c r="I4" s="640">
        <v>5.0345837860416403</v>
      </c>
      <c r="J4" s="634">
        <v>27.671362586600001</v>
      </c>
      <c r="K4" s="634">
        <v>3.2563510392600001</v>
      </c>
      <c r="L4" s="634">
        <v>5116.9942725700002</v>
      </c>
      <c r="M4">
        <v>2</v>
      </c>
      <c r="N4" s="645">
        <f t="shared" si="0"/>
        <v>28749.733116588435</v>
      </c>
      <c r="O4" s="645">
        <f t="shared" ref="O4:O8" ca="1" si="2">OFFSET(M4,-M4,1)-N4</f>
        <v>432.76360818149988</v>
      </c>
      <c r="P4" s="624"/>
      <c r="Q4" s="624"/>
      <c r="R4" s="628" t="s">
        <v>647</v>
      </c>
      <c r="S4" s="628" t="s">
        <v>648</v>
      </c>
      <c r="T4" s="628" t="s">
        <v>649</v>
      </c>
      <c r="U4" s="628" t="s">
        <v>650</v>
      </c>
      <c r="AA4" s="624"/>
      <c r="AB4" s="624"/>
      <c r="AC4" s="624"/>
      <c r="AD4" s="624"/>
    </row>
    <row r="5" spans="1:30" ht="15">
      <c r="A5" t="s">
        <v>383</v>
      </c>
      <c r="B5" t="s">
        <v>240</v>
      </c>
      <c r="C5" t="s">
        <v>497</v>
      </c>
      <c r="D5">
        <v>3</v>
      </c>
      <c r="E5" s="634">
        <v>6667.1628452699997</v>
      </c>
      <c r="F5" s="634">
        <v>3825.04130132</v>
      </c>
      <c r="G5" s="634">
        <f t="shared" si="1"/>
        <v>52495.175969529999</v>
      </c>
      <c r="H5" s="634">
        <v>59162.338814800001</v>
      </c>
      <c r="I5" s="640">
        <v>4.7446435280950601</v>
      </c>
      <c r="J5" s="634">
        <v>27.671362586600001</v>
      </c>
      <c r="K5" s="634">
        <v>3.9953810623599999</v>
      </c>
      <c r="L5" s="634">
        <v>5184.9104819300001</v>
      </c>
      <c r="M5">
        <v>3</v>
      </c>
      <c r="N5" s="645">
        <f t="shared" si="0"/>
        <v>28604.66210898654</v>
      </c>
      <c r="O5" s="645">
        <f t="shared" ca="1" si="2"/>
        <v>577.83461578339484</v>
      </c>
      <c r="P5" s="624"/>
      <c r="Q5" s="624"/>
      <c r="R5" s="628" t="s">
        <v>647</v>
      </c>
      <c r="S5" s="628" t="s">
        <v>648</v>
      </c>
      <c r="T5" s="628" t="s">
        <v>649</v>
      </c>
      <c r="U5" s="628" t="s">
        <v>650</v>
      </c>
      <c r="AA5" s="624"/>
      <c r="AB5" s="624"/>
      <c r="AC5" s="624"/>
      <c r="AD5" s="624"/>
    </row>
    <row r="6" spans="1:30" ht="15">
      <c r="A6" t="s">
        <v>383</v>
      </c>
      <c r="B6" t="s">
        <v>240</v>
      </c>
      <c r="C6" t="s">
        <v>497</v>
      </c>
      <c r="D6">
        <v>4</v>
      </c>
      <c r="E6" s="634">
        <v>6740.7996859100003</v>
      </c>
      <c r="F6" s="634">
        <v>3802.0806368600001</v>
      </c>
      <c r="G6" s="634">
        <f t="shared" si="1"/>
        <v>52176.252533389998</v>
      </c>
      <c r="H6" s="634">
        <v>58917.0522193</v>
      </c>
      <c r="I6" s="640">
        <v>4.3645856191203398</v>
      </c>
      <c r="J6" s="634">
        <v>27.671362586600001</v>
      </c>
      <c r="K6" s="634">
        <v>4.9653579676700001</v>
      </c>
      <c r="L6" s="634">
        <v>5235.4242625400002</v>
      </c>
      <c r="M6">
        <v>4</v>
      </c>
      <c r="N6" s="645">
        <f t="shared" si="0"/>
        <v>28432.95623787622</v>
      </c>
      <c r="O6" s="645">
        <f t="shared" ca="1" si="2"/>
        <v>749.54048689371484</v>
      </c>
      <c r="P6" s="624"/>
      <c r="Q6" s="624"/>
      <c r="R6" s="628" t="s">
        <v>647</v>
      </c>
      <c r="S6" s="628" t="s">
        <v>648</v>
      </c>
      <c r="T6" s="628" t="s">
        <v>649</v>
      </c>
      <c r="U6" s="628" t="s">
        <v>650</v>
      </c>
      <c r="AA6" s="624"/>
      <c r="AB6" s="624"/>
      <c r="AC6" s="624"/>
      <c r="AD6" s="624"/>
    </row>
    <row r="7" spans="1:30" ht="15">
      <c r="A7" t="s">
        <v>383</v>
      </c>
      <c r="B7" t="s">
        <v>240</v>
      </c>
      <c r="C7" t="s">
        <v>497</v>
      </c>
      <c r="D7">
        <v>5</v>
      </c>
      <c r="E7" s="634">
        <v>6850.08047575</v>
      </c>
      <c r="F7" s="634">
        <v>3760.7914584099999</v>
      </c>
      <c r="G7" s="634">
        <f t="shared" si="1"/>
        <v>51614.515180050003</v>
      </c>
      <c r="H7" s="634">
        <v>58464.595655800003</v>
      </c>
      <c r="I7" s="640">
        <v>3.8592343156135001</v>
      </c>
      <c r="J7" s="634">
        <v>27.671362586600001</v>
      </c>
      <c r="K7" s="634">
        <v>6.3510392609700004</v>
      </c>
      <c r="L7" s="634">
        <v>5669.10326119</v>
      </c>
      <c r="M7">
        <v>5</v>
      </c>
      <c r="N7" s="645">
        <f t="shared" si="0"/>
        <v>28124.184931822001</v>
      </c>
      <c r="O7" s="645">
        <f t="shared" ca="1" si="2"/>
        <v>1058.311792947934</v>
      </c>
      <c r="P7" s="624"/>
      <c r="Q7" s="624"/>
      <c r="R7" s="628" t="s">
        <v>647</v>
      </c>
      <c r="S7" s="628" t="s">
        <v>648</v>
      </c>
      <c r="T7" s="628" t="s">
        <v>649</v>
      </c>
      <c r="U7" s="628" t="s">
        <v>650</v>
      </c>
      <c r="AA7" s="624"/>
      <c r="AB7" s="624"/>
      <c r="AC7" s="624"/>
      <c r="AD7" s="624"/>
    </row>
    <row r="8" spans="1:30" ht="15">
      <c r="A8" t="s">
        <v>383</v>
      </c>
      <c r="B8" t="s">
        <v>240</v>
      </c>
      <c r="C8" t="s">
        <v>497</v>
      </c>
      <c r="D8">
        <v>6</v>
      </c>
      <c r="E8" s="634">
        <v>7255.0204018499999</v>
      </c>
      <c r="F8" s="634">
        <v>3503.10102865</v>
      </c>
      <c r="G8" s="634">
        <f t="shared" si="1"/>
        <v>48043.834218249998</v>
      </c>
      <c r="H8" s="634">
        <v>55298.854620099999</v>
      </c>
      <c r="I8" s="640">
        <v>2.3733342506282602</v>
      </c>
      <c r="J8" s="634">
        <v>27.671362586600001</v>
      </c>
      <c r="K8" s="634">
        <v>11.870669746000001</v>
      </c>
      <c r="L8" s="634">
        <v>7873.7869846699996</v>
      </c>
      <c r="M8">
        <v>6</v>
      </c>
      <c r="N8" s="645">
        <f t="shared" si="0"/>
        <v>26197.108309287079</v>
      </c>
      <c r="O8" s="645">
        <f t="shared" ca="1" si="2"/>
        <v>2985.3884154828556</v>
      </c>
      <c r="P8" s="624"/>
      <c r="Q8" s="624"/>
      <c r="R8" s="628" t="s">
        <v>647</v>
      </c>
      <c r="S8" s="628" t="s">
        <v>648</v>
      </c>
      <c r="T8" s="628" t="s">
        <v>649</v>
      </c>
      <c r="U8" s="628" t="s">
        <v>650</v>
      </c>
      <c r="AA8" s="624"/>
      <c r="AB8" s="624"/>
      <c r="AC8" s="624"/>
      <c r="AD8" s="624"/>
    </row>
    <row r="9" spans="1:30" ht="15">
      <c r="A9" t="s">
        <v>383</v>
      </c>
      <c r="B9" t="s">
        <v>240</v>
      </c>
      <c r="C9" t="s">
        <v>499</v>
      </c>
      <c r="D9">
        <v>0</v>
      </c>
      <c r="E9" s="634">
        <v>6194.5768029999999</v>
      </c>
      <c r="F9" s="634">
        <v>4026.8940259999999</v>
      </c>
      <c r="G9" s="634">
        <f t="shared" si="1"/>
        <v>56327.620496999996</v>
      </c>
      <c r="H9" s="634">
        <v>62522.1973</v>
      </c>
      <c r="I9" s="640" t="s">
        <v>476</v>
      </c>
      <c r="J9" s="634">
        <v>29.012558869999999</v>
      </c>
      <c r="M9">
        <v>0</v>
      </c>
      <c r="N9" s="645">
        <f t="shared" si="0"/>
        <v>30114.169727442095</v>
      </c>
      <c r="O9" s="645">
        <f ca="1">OFFSET(M9,-M9,1)-N9</f>
        <v>0</v>
      </c>
      <c r="P9" s="624"/>
      <c r="Q9" s="624"/>
      <c r="R9" s="628" t="s">
        <v>647</v>
      </c>
      <c r="S9" s="628" t="s">
        <v>648</v>
      </c>
      <c r="T9" s="628" t="s">
        <v>649</v>
      </c>
      <c r="U9" s="628" t="s">
        <v>650</v>
      </c>
      <c r="AA9" s="624"/>
      <c r="AB9" s="624"/>
      <c r="AC9" s="624"/>
      <c r="AD9" s="624"/>
    </row>
    <row r="10" spans="1:30" ht="15">
      <c r="A10" t="s">
        <v>383</v>
      </c>
      <c r="B10" t="s">
        <v>240</v>
      </c>
      <c r="C10" t="s">
        <v>499</v>
      </c>
      <c r="D10">
        <v>1</v>
      </c>
      <c r="E10" s="634">
        <v>6462.761606</v>
      </c>
      <c r="F10" s="634">
        <v>3979.7872889999999</v>
      </c>
      <c r="G10" s="634">
        <f t="shared" si="1"/>
        <v>55640.393644000003</v>
      </c>
      <c r="H10" s="634">
        <v>62103.155250000003</v>
      </c>
      <c r="I10" s="640">
        <v>5.6931304589999998</v>
      </c>
      <c r="J10" s="634">
        <v>29.012558869999999</v>
      </c>
      <c r="K10" s="634">
        <v>2.6425954997400001</v>
      </c>
      <c r="L10" s="634">
        <v>4724.4210640700003</v>
      </c>
      <c r="M10">
        <v>1</v>
      </c>
      <c r="N10" s="645">
        <f t="shared" si="0"/>
        <v>29761.893192682357</v>
      </c>
      <c r="O10" s="645">
        <f ca="1">OFFSET(M10,-M10,1)-N10</f>
        <v>352.27653475973784</v>
      </c>
      <c r="P10" s="624"/>
      <c r="Q10" s="624"/>
      <c r="R10" s="628" t="s">
        <v>647</v>
      </c>
      <c r="S10" s="628" t="s">
        <v>648</v>
      </c>
      <c r="T10" s="628" t="s">
        <v>649</v>
      </c>
      <c r="U10" s="628" t="s">
        <v>650</v>
      </c>
      <c r="AA10" s="624"/>
      <c r="AB10" s="624"/>
      <c r="AC10" s="624"/>
      <c r="AD10" s="624"/>
    </row>
    <row r="11" spans="1:30" ht="15">
      <c r="A11" t="s">
        <v>383</v>
      </c>
      <c r="B11" t="s">
        <v>240</v>
      </c>
      <c r="C11" t="s">
        <v>499</v>
      </c>
      <c r="D11">
        <v>2</v>
      </c>
      <c r="E11" s="634">
        <v>6513.6610959999998</v>
      </c>
      <c r="F11" s="634">
        <v>3964.3973139999998</v>
      </c>
      <c r="G11" s="634">
        <f t="shared" si="1"/>
        <v>55422.743893999999</v>
      </c>
      <c r="H11" s="634">
        <v>61936.404990000003</v>
      </c>
      <c r="I11" s="640">
        <v>5.1056172210000001</v>
      </c>
      <c r="J11" s="634">
        <v>29.012558869999999</v>
      </c>
      <c r="K11" s="634">
        <v>3.47985347985</v>
      </c>
      <c r="L11" s="634">
        <v>5267.9957924399996</v>
      </c>
      <c r="M11">
        <v>2</v>
      </c>
      <c r="N11" s="645">
        <f t="shared" si="0"/>
        <v>29646.802923045572</v>
      </c>
      <c r="O11" s="645">
        <f t="shared" ref="O11:O74" ca="1" si="3">OFFSET(M11,-M11,1)-N11</f>
        <v>467.36680439652264</v>
      </c>
      <c r="P11" s="624"/>
      <c r="Q11" s="624"/>
      <c r="R11" s="628" t="s">
        <v>647</v>
      </c>
      <c r="S11" s="628" t="s">
        <v>648</v>
      </c>
      <c r="T11" s="628" t="s">
        <v>649</v>
      </c>
      <c r="U11" s="628" t="s">
        <v>650</v>
      </c>
      <c r="AA11" s="624"/>
      <c r="AB11" s="624"/>
      <c r="AC11" s="624"/>
      <c r="AD11" s="624"/>
    </row>
    <row r="12" spans="1:30" ht="15">
      <c r="A12" t="s">
        <v>383</v>
      </c>
      <c r="B12" t="s">
        <v>240</v>
      </c>
      <c r="C12" t="s">
        <v>499</v>
      </c>
      <c r="D12">
        <v>3</v>
      </c>
      <c r="E12" s="634">
        <v>6593.461824</v>
      </c>
      <c r="F12" s="634">
        <v>3944.5969129999999</v>
      </c>
      <c r="G12" s="634">
        <f t="shared" si="1"/>
        <v>55135.382616000003</v>
      </c>
      <c r="H12" s="634">
        <v>61728.844440000001</v>
      </c>
      <c r="I12" s="640">
        <v>4.8468895600000002</v>
      </c>
      <c r="J12" s="634">
        <v>29.012558869999999</v>
      </c>
      <c r="K12" s="634">
        <v>4.2647828362100002</v>
      </c>
      <c r="L12" s="634">
        <v>5310.3233619700004</v>
      </c>
      <c r="M12">
        <v>3</v>
      </c>
      <c r="N12" s="645">
        <f t="shared" si="0"/>
        <v>29498.730330984414</v>
      </c>
      <c r="O12" s="645">
        <f t="shared" ca="1" si="3"/>
        <v>615.43939645768114</v>
      </c>
      <c r="P12" s="624"/>
      <c r="Q12" s="624"/>
      <c r="R12" s="628" t="s">
        <v>647</v>
      </c>
      <c r="S12" s="628" t="s">
        <v>648</v>
      </c>
      <c r="T12" s="628" t="s">
        <v>649</v>
      </c>
      <c r="U12" s="628" t="s">
        <v>650</v>
      </c>
      <c r="AA12" s="624"/>
      <c r="AB12" s="624"/>
      <c r="AC12" s="624"/>
      <c r="AD12" s="624"/>
    </row>
    <row r="13" spans="1:30" ht="15">
      <c r="A13" t="s">
        <v>383</v>
      </c>
      <c r="B13" t="s">
        <v>240</v>
      </c>
      <c r="C13" t="s">
        <v>499</v>
      </c>
      <c r="D13">
        <v>4</v>
      </c>
      <c r="E13" s="634">
        <v>6666.8558629999998</v>
      </c>
      <c r="F13" s="634">
        <v>3918.6231590000002</v>
      </c>
      <c r="G13" s="634">
        <f t="shared" si="1"/>
        <v>54771.734377000001</v>
      </c>
      <c r="H13" s="634">
        <v>61438.590239999998</v>
      </c>
      <c r="I13" s="640">
        <v>4.3620142140000002</v>
      </c>
      <c r="J13" s="634">
        <v>29.012558869999999</v>
      </c>
      <c r="K13" s="634">
        <v>4.9188906331800002</v>
      </c>
      <c r="L13" s="634">
        <v>5559.1224056299998</v>
      </c>
      <c r="M13">
        <v>4</v>
      </c>
      <c r="N13" s="645">
        <f t="shared" si="0"/>
        <v>29304.491786000461</v>
      </c>
      <c r="O13" s="645">
        <f t="shared" ca="1" si="3"/>
        <v>809.67794144163418</v>
      </c>
      <c r="P13" s="624"/>
      <c r="Q13" s="624"/>
      <c r="R13" s="628" t="s">
        <v>647</v>
      </c>
      <c r="S13" s="628" t="s">
        <v>648</v>
      </c>
      <c r="T13" s="628" t="s">
        <v>649</v>
      </c>
      <c r="U13" s="628" t="s">
        <v>650</v>
      </c>
      <c r="AA13" s="624"/>
      <c r="AB13" s="624"/>
      <c r="AC13" s="624"/>
      <c r="AD13" s="624"/>
    </row>
    <row r="14" spans="1:30" ht="15">
      <c r="A14" t="s">
        <v>383</v>
      </c>
      <c r="B14" t="s">
        <v>240</v>
      </c>
      <c r="C14" t="s">
        <v>499</v>
      </c>
      <c r="D14">
        <v>5</v>
      </c>
      <c r="E14" s="634">
        <v>6765.8180220000004</v>
      </c>
      <c r="F14" s="634">
        <v>3876.4689800000001</v>
      </c>
      <c r="G14" s="634">
        <f t="shared" si="1"/>
        <v>54189.667498000003</v>
      </c>
      <c r="H14" s="634">
        <v>60955.485520000002</v>
      </c>
      <c r="I14" s="640">
        <v>3.7975140079999998</v>
      </c>
      <c r="J14" s="634">
        <v>29.012558869999999</v>
      </c>
      <c r="K14" s="634">
        <v>6.2794348508600004</v>
      </c>
      <c r="L14" s="634">
        <v>5964.1159936000004</v>
      </c>
      <c r="M14">
        <v>5</v>
      </c>
      <c r="N14" s="645">
        <f t="shared" si="0"/>
        <v>28989.251778955146</v>
      </c>
      <c r="O14" s="645">
        <f t="shared" ca="1" si="3"/>
        <v>1124.9179484869492</v>
      </c>
      <c r="P14" s="624"/>
      <c r="Q14" s="624"/>
      <c r="R14" s="628" t="s">
        <v>647</v>
      </c>
      <c r="S14" s="628" t="s">
        <v>648</v>
      </c>
      <c r="T14" s="628" t="s">
        <v>649</v>
      </c>
      <c r="U14" s="628" t="s">
        <v>650</v>
      </c>
      <c r="AA14" s="624"/>
      <c r="AB14" s="624"/>
      <c r="AC14" s="624"/>
      <c r="AD14" s="624"/>
    </row>
    <row r="15" spans="1:30" ht="15">
      <c r="A15" t="s">
        <v>383</v>
      </c>
      <c r="B15" t="s">
        <v>240</v>
      </c>
      <c r="C15" t="s">
        <v>499</v>
      </c>
      <c r="D15">
        <v>6</v>
      </c>
      <c r="E15" s="634">
        <v>7116.8398010000001</v>
      </c>
      <c r="F15" s="634">
        <v>3611.3193329999999</v>
      </c>
      <c r="G15" s="634">
        <f t="shared" si="1"/>
        <v>50448.936308999997</v>
      </c>
      <c r="H15" s="634">
        <v>57565.776109999999</v>
      </c>
      <c r="I15" s="640">
        <v>2.2192472560000001</v>
      </c>
      <c r="J15" s="634">
        <v>29.012558869999999</v>
      </c>
      <c r="K15" s="634">
        <v>10.8058608059</v>
      </c>
      <c r="L15" s="634">
        <v>8602.8346001699992</v>
      </c>
      <c r="M15">
        <v>6</v>
      </c>
      <c r="N15" s="645">
        <f t="shared" si="0"/>
        <v>27006.393173445529</v>
      </c>
      <c r="O15" s="645">
        <f t="shared" ca="1" si="3"/>
        <v>3107.7765539965658</v>
      </c>
      <c r="P15" s="624"/>
      <c r="Q15" s="624"/>
      <c r="R15" s="628" t="s">
        <v>647</v>
      </c>
      <c r="S15" s="628" t="s">
        <v>648</v>
      </c>
      <c r="T15" s="628" t="s">
        <v>649</v>
      </c>
      <c r="U15" s="628" t="s">
        <v>650</v>
      </c>
      <c r="AA15" s="624"/>
      <c r="AB15" s="624"/>
      <c r="AC15" s="624"/>
      <c r="AD15" s="624"/>
    </row>
    <row r="16" spans="1:30" ht="15">
      <c r="A16" t="s">
        <v>383</v>
      </c>
      <c r="B16" t="s">
        <v>240</v>
      </c>
      <c r="C16" t="s">
        <v>99</v>
      </c>
      <c r="D16">
        <v>0</v>
      </c>
      <c r="E16" s="634">
        <v>7034.9048030000004</v>
      </c>
      <c r="F16" s="634">
        <v>2964.985756</v>
      </c>
      <c r="G16" s="634">
        <f t="shared" si="1"/>
        <v>33054.690757000004</v>
      </c>
      <c r="H16" s="634">
        <v>40089.595560000002</v>
      </c>
      <c r="I16" s="640" t="s">
        <v>476</v>
      </c>
      <c r="J16" s="634">
        <v>17.580708659999999</v>
      </c>
      <c r="M16">
        <v>0</v>
      </c>
      <c r="N16" s="645">
        <f t="shared" si="0"/>
        <v>22172.941159895381</v>
      </c>
      <c r="O16" s="645">
        <f t="shared" ca="1" si="3"/>
        <v>0</v>
      </c>
      <c r="P16" s="624"/>
      <c r="Q16" s="624"/>
      <c r="R16" s="628" t="s">
        <v>647</v>
      </c>
      <c r="S16" s="628" t="s">
        <v>648</v>
      </c>
      <c r="T16" s="628" t="s">
        <v>649</v>
      </c>
      <c r="U16" s="628" t="s">
        <v>650</v>
      </c>
      <c r="AA16" s="624"/>
      <c r="AB16" s="624"/>
      <c r="AC16" s="624"/>
      <c r="AD16" s="624"/>
    </row>
    <row r="17" spans="1:30" ht="15">
      <c r="A17" t="s">
        <v>383</v>
      </c>
      <c r="B17" t="s">
        <v>240</v>
      </c>
      <c r="C17" t="s">
        <v>99</v>
      </c>
      <c r="D17">
        <v>1</v>
      </c>
      <c r="E17" s="634">
        <v>7137.6619689999998</v>
      </c>
      <c r="F17" s="634">
        <v>2950.653851</v>
      </c>
      <c r="G17" s="634">
        <f t="shared" si="1"/>
        <v>32882.486271000002</v>
      </c>
      <c r="H17" s="634">
        <v>40020.148240000002</v>
      </c>
      <c r="I17" s="640">
        <v>7.1698192890000003</v>
      </c>
      <c r="J17" s="634">
        <v>17.580708659999999</v>
      </c>
      <c r="K17" s="634">
        <v>1.37795275591</v>
      </c>
      <c r="L17" s="634">
        <v>2204.9524454900002</v>
      </c>
      <c r="M17">
        <v>1</v>
      </c>
      <c r="N17" s="645">
        <f t="shared" si="0"/>
        <v>22065.763415236357</v>
      </c>
      <c r="O17" s="645">
        <f t="shared" ca="1" si="3"/>
        <v>107.17774465902403</v>
      </c>
      <c r="P17" s="624"/>
      <c r="Q17" s="624"/>
      <c r="R17" s="628" t="s">
        <v>647</v>
      </c>
      <c r="S17" s="628" t="s">
        <v>648</v>
      </c>
      <c r="T17" s="628" t="s">
        <v>649</v>
      </c>
      <c r="U17" s="628" t="s">
        <v>650</v>
      </c>
      <c r="AA17" s="624"/>
      <c r="AB17" s="624"/>
      <c r="AC17" s="624"/>
      <c r="AD17" s="624"/>
    </row>
    <row r="18" spans="1:30" ht="15">
      <c r="A18" t="s">
        <v>383</v>
      </c>
      <c r="B18" t="s">
        <v>240</v>
      </c>
      <c r="C18" t="s">
        <v>99</v>
      </c>
      <c r="D18">
        <v>2</v>
      </c>
      <c r="E18" s="634">
        <v>7175.2095870000003</v>
      </c>
      <c r="F18" s="634">
        <v>2941.9293050000001</v>
      </c>
      <c r="G18" s="634">
        <f t="shared" si="1"/>
        <v>32809.041043000005</v>
      </c>
      <c r="H18" s="634">
        <v>39984.250630000002</v>
      </c>
      <c r="I18" s="640">
        <v>6.0852723209999997</v>
      </c>
      <c r="J18" s="634">
        <v>17.580708659999999</v>
      </c>
      <c r="K18" s="634">
        <v>1.5748031496099999</v>
      </c>
      <c r="L18" s="634">
        <v>2326.7487966200001</v>
      </c>
      <c r="M18">
        <v>2</v>
      </c>
      <c r="N18" s="645">
        <f t="shared" si="0"/>
        <v>22000.518971915397</v>
      </c>
      <c r="O18" s="645">
        <f t="shared" ca="1" si="3"/>
        <v>172.4221879799843</v>
      </c>
      <c r="P18" s="624"/>
      <c r="Q18" s="624"/>
      <c r="R18" s="628" t="s">
        <v>647</v>
      </c>
      <c r="S18" s="628" t="s">
        <v>648</v>
      </c>
      <c r="T18" s="628" t="s">
        <v>649</v>
      </c>
      <c r="U18" s="628" t="s">
        <v>650</v>
      </c>
      <c r="AA18" s="624"/>
      <c r="AB18" s="624"/>
      <c r="AC18" s="624"/>
      <c r="AD18" s="624"/>
    </row>
    <row r="19" spans="1:30" ht="15">
      <c r="A19" t="s">
        <v>383</v>
      </c>
      <c r="B19" t="s">
        <v>240</v>
      </c>
      <c r="C19" t="s">
        <v>99</v>
      </c>
      <c r="D19">
        <v>3</v>
      </c>
      <c r="E19" s="634">
        <v>7221.6614760000002</v>
      </c>
      <c r="F19" s="634">
        <v>2925.5500670000001</v>
      </c>
      <c r="G19" s="634">
        <f t="shared" si="1"/>
        <v>32631.259013999996</v>
      </c>
      <c r="H19" s="634">
        <v>39852.920489999997</v>
      </c>
      <c r="I19" s="640">
        <v>4.7357274540000001</v>
      </c>
      <c r="J19" s="634">
        <v>17.580708659999999</v>
      </c>
      <c r="K19" s="634">
        <v>1.9685039370099999</v>
      </c>
      <c r="L19" s="634">
        <v>3249.4846845799998</v>
      </c>
      <c r="M19">
        <v>3</v>
      </c>
      <c r="N19" s="645">
        <f t="shared" si="0"/>
        <v>21878.03073409402</v>
      </c>
      <c r="O19" s="645">
        <f t="shared" ca="1" si="3"/>
        <v>294.91042580136127</v>
      </c>
      <c r="P19" s="624"/>
      <c r="Q19" s="624"/>
      <c r="R19" s="628" t="s">
        <v>647</v>
      </c>
      <c r="S19" s="628" t="s">
        <v>648</v>
      </c>
      <c r="T19" s="628" t="s">
        <v>649</v>
      </c>
      <c r="U19" s="628" t="s">
        <v>650</v>
      </c>
      <c r="AA19" s="624"/>
      <c r="AB19" s="624"/>
      <c r="AC19" s="624"/>
      <c r="AD19" s="624"/>
    </row>
    <row r="20" spans="1:30" ht="15">
      <c r="A20" t="s">
        <v>383</v>
      </c>
      <c r="B20" t="s">
        <v>240</v>
      </c>
      <c r="C20" t="s">
        <v>99</v>
      </c>
      <c r="D20">
        <v>4</v>
      </c>
      <c r="E20" s="634">
        <v>7297.125059</v>
      </c>
      <c r="F20" s="634">
        <v>2925.2587440000002</v>
      </c>
      <c r="G20" s="634">
        <f t="shared" si="1"/>
        <v>32648.828100999999</v>
      </c>
      <c r="H20" s="634">
        <v>39945.953159999997</v>
      </c>
      <c r="I20" s="640">
        <v>6.600553326</v>
      </c>
      <c r="J20" s="634">
        <v>17.580708659999999</v>
      </c>
      <c r="K20" s="634">
        <v>5.3149606299199998</v>
      </c>
      <c r="L20" s="634">
        <v>1216.1723191000001</v>
      </c>
      <c r="M20">
        <v>4</v>
      </c>
      <c r="N20" s="645">
        <f t="shared" si="0"/>
        <v>21875.852144289853</v>
      </c>
      <c r="O20" s="645">
        <f t="shared" ca="1" si="3"/>
        <v>297.0890156055284</v>
      </c>
      <c r="P20" s="624"/>
      <c r="Q20" s="624"/>
      <c r="R20" s="628" t="s">
        <v>647</v>
      </c>
      <c r="S20" s="628" t="s">
        <v>648</v>
      </c>
      <c r="T20" s="628" t="s">
        <v>649</v>
      </c>
      <c r="U20" s="628" t="s">
        <v>650</v>
      </c>
      <c r="AA20" s="624"/>
      <c r="AB20" s="624"/>
      <c r="AC20" s="624"/>
      <c r="AD20" s="624"/>
    </row>
    <row r="21" spans="1:30" ht="15">
      <c r="A21" t="s">
        <v>383</v>
      </c>
      <c r="B21" t="s">
        <v>240</v>
      </c>
      <c r="C21" t="s">
        <v>99</v>
      </c>
      <c r="D21">
        <v>5</v>
      </c>
      <c r="E21" s="634">
        <v>7484.0393309999999</v>
      </c>
      <c r="F21" s="634">
        <v>2890.4775030000001</v>
      </c>
      <c r="G21" s="634">
        <f t="shared" si="1"/>
        <v>32240.042458999997</v>
      </c>
      <c r="H21" s="634">
        <v>39724.081789999997</v>
      </c>
      <c r="I21" s="640">
        <v>6.0279836519999996</v>
      </c>
      <c r="J21" s="634">
        <v>17.580708659999999</v>
      </c>
      <c r="K21" s="634">
        <v>6.88976377953</v>
      </c>
      <c r="L21" s="634">
        <v>2184.4822808399999</v>
      </c>
      <c r="M21">
        <v>5</v>
      </c>
      <c r="N21" s="645">
        <f t="shared" si="0"/>
        <v>21615.748901432606</v>
      </c>
      <c r="O21" s="645">
        <f t="shared" ca="1" si="3"/>
        <v>557.1922584627755</v>
      </c>
      <c r="P21" s="624"/>
      <c r="Q21" s="624"/>
      <c r="R21" s="628" t="s">
        <v>647</v>
      </c>
      <c r="S21" s="628" t="s">
        <v>648</v>
      </c>
      <c r="T21" s="628" t="s">
        <v>649</v>
      </c>
      <c r="U21" s="628" t="s">
        <v>650</v>
      </c>
      <c r="AA21" s="624"/>
      <c r="AB21" s="624"/>
      <c r="AC21" s="624"/>
      <c r="AD21" s="624"/>
    </row>
    <row r="22" spans="1:30" ht="15">
      <c r="A22" t="s">
        <v>383</v>
      </c>
      <c r="B22" t="s">
        <v>240</v>
      </c>
      <c r="C22" t="s">
        <v>99</v>
      </c>
      <c r="D22">
        <v>6</v>
      </c>
      <c r="E22" s="634">
        <v>8294.6390159999992</v>
      </c>
      <c r="F22" s="634">
        <v>2688.9074089999999</v>
      </c>
      <c r="G22" s="634">
        <f t="shared" si="1"/>
        <v>29948.755074000001</v>
      </c>
      <c r="H22" s="634">
        <v>38243.394090000002</v>
      </c>
      <c r="I22" s="640">
        <v>4.5629591270000001</v>
      </c>
      <c r="J22" s="634">
        <v>17.580708659999999</v>
      </c>
      <c r="K22" s="634">
        <v>19.8818897638</v>
      </c>
      <c r="L22" s="634">
        <v>2903.6233643999999</v>
      </c>
      <c r="M22">
        <v>6</v>
      </c>
      <c r="N22" s="645">
        <f t="shared" si="0"/>
        <v>20108.354869332376</v>
      </c>
      <c r="O22" s="645">
        <f t="shared" ca="1" si="3"/>
        <v>2064.5862905630056</v>
      </c>
      <c r="P22" s="624"/>
      <c r="Q22" s="624"/>
      <c r="R22" s="628" t="s">
        <v>647</v>
      </c>
      <c r="S22" s="628" t="s">
        <v>648</v>
      </c>
      <c r="T22" s="628" t="s">
        <v>649</v>
      </c>
      <c r="U22" s="628" t="s">
        <v>650</v>
      </c>
      <c r="AA22" s="624"/>
      <c r="AB22" s="624"/>
      <c r="AC22" s="624"/>
      <c r="AD22" s="624"/>
    </row>
    <row r="23" spans="1:30" ht="15">
      <c r="A23" s="551" t="s">
        <v>383</v>
      </c>
      <c r="B23" s="551" t="s">
        <v>503</v>
      </c>
      <c r="C23" s="551" t="s">
        <v>497</v>
      </c>
      <c r="D23" s="551">
        <v>0</v>
      </c>
      <c r="E23" s="635">
        <v>6293.1649376400001</v>
      </c>
      <c r="F23" s="635">
        <v>3902.30986902</v>
      </c>
      <c r="G23" s="634">
        <f t="shared" si="1"/>
        <v>52820.79722986</v>
      </c>
      <c r="H23" s="635">
        <v>59113.962167500002</v>
      </c>
      <c r="I23" s="641" t="s">
        <v>476</v>
      </c>
      <c r="J23" s="635">
        <v>27.4270207852</v>
      </c>
      <c r="K23" s="635"/>
      <c r="L23" s="635"/>
      <c r="M23">
        <v>0</v>
      </c>
      <c r="N23" s="645">
        <f t="shared" si="0"/>
        <v>29182.496724769935</v>
      </c>
      <c r="O23" s="645">
        <f t="shared" ca="1" si="3"/>
        <v>0</v>
      </c>
      <c r="P23" s="625"/>
      <c r="Q23" s="625"/>
      <c r="R23" s="628" t="s">
        <v>647</v>
      </c>
      <c r="S23" s="628" t="s">
        <v>648</v>
      </c>
      <c r="T23" s="628" t="s">
        <v>649</v>
      </c>
      <c r="U23" s="628" t="s">
        <v>650</v>
      </c>
      <c r="V23" s="625"/>
      <c r="W23" s="625"/>
      <c r="X23" s="625"/>
      <c r="Y23" s="625"/>
      <c r="Z23" s="625"/>
      <c r="AA23" s="625"/>
      <c r="AB23" s="624"/>
      <c r="AC23" s="624"/>
      <c r="AD23" s="624"/>
    </row>
    <row r="24" spans="1:30" ht="15">
      <c r="A24" s="551" t="s">
        <v>383</v>
      </c>
      <c r="B24" s="551" t="s">
        <v>503</v>
      </c>
      <c r="C24" s="551" t="s">
        <v>497</v>
      </c>
      <c r="D24" s="551">
        <v>1</v>
      </c>
      <c r="E24" s="635">
        <v>6541.9416027699999</v>
      </c>
      <c r="F24" s="635">
        <v>3859.0483079700002</v>
      </c>
      <c r="G24" s="634">
        <f t="shared" si="1"/>
        <v>52199.908210829999</v>
      </c>
      <c r="H24" s="635">
        <v>58741.849813599998</v>
      </c>
      <c r="I24" s="641">
        <v>5.6100580440285599</v>
      </c>
      <c r="J24" s="635">
        <v>27.4270207852</v>
      </c>
      <c r="K24" s="635">
        <v>2.5173210161699999</v>
      </c>
      <c r="L24" s="635">
        <v>4538.72251409</v>
      </c>
      <c r="M24">
        <v>1</v>
      </c>
      <c r="N24" s="645">
        <f t="shared" si="0"/>
        <v>28858.975424303066</v>
      </c>
      <c r="O24" s="645">
        <f t="shared" ca="1" si="3"/>
        <v>323.52130046686943</v>
      </c>
      <c r="P24" s="625"/>
      <c r="Q24" s="625"/>
      <c r="R24" s="628" t="s">
        <v>647</v>
      </c>
      <c r="S24" s="628" t="s">
        <v>648</v>
      </c>
      <c r="T24" s="628" t="s">
        <v>649</v>
      </c>
      <c r="U24" s="628" t="s">
        <v>650</v>
      </c>
      <c r="V24" s="625"/>
      <c r="W24" s="625"/>
      <c r="X24" s="625"/>
      <c r="Y24" s="625"/>
      <c r="Z24" s="625"/>
      <c r="AA24" s="625"/>
      <c r="AB24" s="624"/>
      <c r="AC24" s="624"/>
      <c r="AD24" s="624"/>
    </row>
    <row r="25" spans="1:30" ht="15">
      <c r="A25" s="551" t="s">
        <v>383</v>
      </c>
      <c r="B25" s="551" t="s">
        <v>503</v>
      </c>
      <c r="C25" s="551" t="s">
        <v>497</v>
      </c>
      <c r="D25" s="551">
        <v>2</v>
      </c>
      <c r="E25" s="635">
        <v>6591.2746374099997</v>
      </c>
      <c r="F25" s="635">
        <v>3844.4403277299998</v>
      </c>
      <c r="G25" s="634">
        <f t="shared" si="1"/>
        <v>51998.658156289996</v>
      </c>
      <c r="H25" s="635">
        <v>58589.932793699998</v>
      </c>
      <c r="I25" s="641">
        <v>5.0345837860416403</v>
      </c>
      <c r="J25" s="635">
        <v>27.4270207852</v>
      </c>
      <c r="K25" s="635">
        <v>3.2563510392600001</v>
      </c>
      <c r="L25" s="635">
        <v>5064.83747399</v>
      </c>
      <c r="M25">
        <v>2</v>
      </c>
      <c r="N25" s="645">
        <f t="shared" si="0"/>
        <v>28749.733116588435</v>
      </c>
      <c r="O25" s="645">
        <f t="shared" ca="1" si="3"/>
        <v>432.76360818149988</v>
      </c>
      <c r="P25" s="625"/>
      <c r="Q25" s="625"/>
      <c r="R25" s="628" t="s">
        <v>647</v>
      </c>
      <c r="S25" s="628" t="s">
        <v>648</v>
      </c>
      <c r="T25" s="628" t="s">
        <v>649</v>
      </c>
      <c r="U25" s="628" t="s">
        <v>650</v>
      </c>
      <c r="V25" s="625"/>
      <c r="W25" s="625"/>
      <c r="X25" s="625"/>
      <c r="Y25" s="625"/>
      <c r="Z25" s="625"/>
      <c r="AA25" s="625"/>
      <c r="AB25" s="624"/>
      <c r="AC25" s="624"/>
      <c r="AD25" s="624"/>
    </row>
    <row r="26" spans="1:30" ht="15">
      <c r="A26" s="551" t="s">
        <v>383</v>
      </c>
      <c r="B26" s="551" t="s">
        <v>503</v>
      </c>
      <c r="C26" s="551" t="s">
        <v>497</v>
      </c>
      <c r="D26" s="551">
        <v>3</v>
      </c>
      <c r="E26" s="635">
        <v>6667.1628452699997</v>
      </c>
      <c r="F26" s="635">
        <v>3825.04130132</v>
      </c>
      <c r="G26" s="634">
        <f t="shared" si="1"/>
        <v>51735.020709829994</v>
      </c>
      <c r="H26" s="635">
        <v>58402.183555099997</v>
      </c>
      <c r="I26" s="641">
        <v>4.7446435280950601</v>
      </c>
      <c r="J26" s="635">
        <v>27.4270207852</v>
      </c>
      <c r="K26" s="635">
        <v>3.9491916859099998</v>
      </c>
      <c r="L26" s="635">
        <v>5069.0812361199996</v>
      </c>
      <c r="M26">
        <v>3</v>
      </c>
      <c r="N26" s="645">
        <f t="shared" si="0"/>
        <v>28604.66210898654</v>
      </c>
      <c r="O26" s="645">
        <f t="shared" ca="1" si="3"/>
        <v>577.83461578339484</v>
      </c>
      <c r="P26" s="625"/>
      <c r="Q26" s="625"/>
      <c r="R26" s="628" t="s">
        <v>647</v>
      </c>
      <c r="S26" s="628" t="s">
        <v>648</v>
      </c>
      <c r="T26" s="628" t="s">
        <v>649</v>
      </c>
      <c r="U26" s="628" t="s">
        <v>650</v>
      </c>
      <c r="V26" s="625"/>
      <c r="W26" s="625"/>
      <c r="X26" s="625"/>
      <c r="Y26" s="625"/>
      <c r="Z26" s="625"/>
      <c r="AA26" s="625"/>
      <c r="AB26" s="624"/>
      <c r="AC26" s="624"/>
      <c r="AD26" s="624"/>
    </row>
    <row r="27" spans="1:30" ht="15">
      <c r="A27" s="551" t="s">
        <v>383</v>
      </c>
      <c r="B27" s="551" t="s">
        <v>503</v>
      </c>
      <c r="C27" s="551" t="s">
        <v>497</v>
      </c>
      <c r="D27" s="551">
        <v>4</v>
      </c>
      <c r="E27" s="635">
        <v>6740.7996859100003</v>
      </c>
      <c r="F27" s="635">
        <v>3802.0806368600001</v>
      </c>
      <c r="G27" s="634">
        <f t="shared" si="1"/>
        <v>51411.912464289999</v>
      </c>
      <c r="H27" s="635">
        <v>58152.712150200001</v>
      </c>
      <c r="I27" s="641">
        <v>4.3645856191203398</v>
      </c>
      <c r="J27" s="635">
        <v>27.4270207852</v>
      </c>
      <c r="K27" s="635">
        <v>4.87297921478</v>
      </c>
      <c r="L27" s="635">
        <v>5170.4504035399996</v>
      </c>
      <c r="M27">
        <v>4</v>
      </c>
      <c r="N27" s="645">
        <f t="shared" si="0"/>
        <v>28432.95623787622</v>
      </c>
      <c r="O27" s="645">
        <f t="shared" ca="1" si="3"/>
        <v>749.54048689371484</v>
      </c>
      <c r="P27" s="625"/>
      <c r="Q27" s="625"/>
      <c r="R27" s="628" t="s">
        <v>647</v>
      </c>
      <c r="S27" s="628" t="s">
        <v>648</v>
      </c>
      <c r="T27" s="628" t="s">
        <v>649</v>
      </c>
      <c r="U27" s="628" t="s">
        <v>650</v>
      </c>
      <c r="V27" s="625"/>
      <c r="W27" s="625"/>
      <c r="X27" s="625"/>
      <c r="Y27" s="625"/>
      <c r="Z27" s="625"/>
      <c r="AA27" s="625"/>
      <c r="AB27" s="624"/>
      <c r="AC27" s="624"/>
      <c r="AD27" s="624"/>
    </row>
    <row r="28" spans="1:30" ht="15">
      <c r="A28" s="551" t="s">
        <v>383</v>
      </c>
      <c r="B28" s="551" t="s">
        <v>503</v>
      </c>
      <c r="C28" s="551" t="s">
        <v>497</v>
      </c>
      <c r="D28" s="551">
        <v>5</v>
      </c>
      <c r="E28" s="635">
        <v>6850.08047575</v>
      </c>
      <c r="F28" s="635">
        <v>3760.7914584099999</v>
      </c>
      <c r="G28" s="634">
        <f t="shared" si="1"/>
        <v>50850.356356849996</v>
      </c>
      <c r="H28" s="635">
        <v>57700.436832599997</v>
      </c>
      <c r="I28" s="641">
        <v>3.8592343156135001</v>
      </c>
      <c r="J28" s="635">
        <v>27.4270207852</v>
      </c>
      <c r="K28" s="635">
        <v>6.2124711316400001</v>
      </c>
      <c r="L28" s="635">
        <v>5620.3532600899998</v>
      </c>
      <c r="M28">
        <v>5</v>
      </c>
      <c r="N28" s="645">
        <f t="shared" si="0"/>
        <v>28124.184931822001</v>
      </c>
      <c r="O28" s="645">
        <f t="shared" ca="1" si="3"/>
        <v>1058.311792947934</v>
      </c>
      <c r="P28" s="625"/>
      <c r="Q28" s="625"/>
      <c r="R28" s="628" t="s">
        <v>647</v>
      </c>
      <c r="S28" s="628" t="s">
        <v>648</v>
      </c>
      <c r="T28" s="628" t="s">
        <v>649</v>
      </c>
      <c r="U28" s="628" t="s">
        <v>650</v>
      </c>
      <c r="V28" s="625"/>
      <c r="W28" s="625"/>
      <c r="X28" s="625"/>
      <c r="Y28" s="625"/>
      <c r="Z28" s="625"/>
      <c r="AA28" s="625"/>
      <c r="AB28" s="624"/>
      <c r="AC28" s="624"/>
      <c r="AD28" s="624"/>
    </row>
    <row r="29" spans="1:30" ht="15">
      <c r="A29" s="551" t="s">
        <v>383</v>
      </c>
      <c r="B29" s="551" t="s">
        <v>503</v>
      </c>
      <c r="C29" s="551" t="s">
        <v>497</v>
      </c>
      <c r="D29" s="551">
        <v>6</v>
      </c>
      <c r="E29" s="635">
        <v>7255.0204018499999</v>
      </c>
      <c r="F29" s="635">
        <v>3503.10102865</v>
      </c>
      <c r="G29" s="634">
        <f t="shared" si="1"/>
        <v>47379.514182649997</v>
      </c>
      <c r="H29" s="635">
        <v>54634.534584499997</v>
      </c>
      <c r="I29" s="641">
        <v>2.3733342506282602</v>
      </c>
      <c r="J29" s="635">
        <v>27.4270207852</v>
      </c>
      <c r="K29" s="635">
        <v>12.055427251699999</v>
      </c>
      <c r="L29" s="635">
        <v>7681.5530433499998</v>
      </c>
      <c r="M29">
        <v>6</v>
      </c>
      <c r="N29" s="645">
        <f t="shared" si="0"/>
        <v>26197.108309287079</v>
      </c>
      <c r="O29" s="645">
        <f t="shared" ca="1" si="3"/>
        <v>2985.3884154828556</v>
      </c>
      <c r="P29" s="625"/>
      <c r="Q29" s="625"/>
      <c r="R29" s="628" t="s">
        <v>647</v>
      </c>
      <c r="S29" s="628" t="s">
        <v>648</v>
      </c>
      <c r="T29" s="628" t="s">
        <v>649</v>
      </c>
      <c r="U29" s="628" t="s">
        <v>650</v>
      </c>
      <c r="V29" s="625"/>
      <c r="W29" s="625"/>
      <c r="X29" s="625"/>
      <c r="Y29" s="625"/>
      <c r="Z29" s="625"/>
      <c r="AA29" s="625"/>
      <c r="AB29" s="624"/>
      <c r="AC29" s="624"/>
      <c r="AD29" s="624"/>
    </row>
    <row r="30" spans="1:30" ht="15">
      <c r="A30" s="551" t="s">
        <v>383</v>
      </c>
      <c r="B30" s="551" t="s">
        <v>503</v>
      </c>
      <c r="C30" s="551" t="s">
        <v>499</v>
      </c>
      <c r="D30" s="551">
        <v>0</v>
      </c>
      <c r="E30" s="635">
        <v>6194.5768029999999</v>
      </c>
      <c r="F30" s="635">
        <v>4026.8940259999999</v>
      </c>
      <c r="G30" s="634">
        <f t="shared" si="1"/>
        <v>56327.620496999996</v>
      </c>
      <c r="H30" s="635">
        <v>62522.1973</v>
      </c>
      <c r="I30" s="641" t="s">
        <v>476</v>
      </c>
      <c r="J30" s="635">
        <v>29.012558869999999</v>
      </c>
      <c r="K30" s="635"/>
      <c r="L30" s="635"/>
      <c r="M30">
        <v>0</v>
      </c>
      <c r="N30" s="645">
        <f t="shared" si="0"/>
        <v>30114.169727442095</v>
      </c>
      <c r="O30" s="645">
        <f t="shared" ca="1" si="3"/>
        <v>0</v>
      </c>
      <c r="P30" s="625"/>
      <c r="Q30" s="625"/>
      <c r="R30" s="628" t="s">
        <v>647</v>
      </c>
      <c r="S30" s="628" t="s">
        <v>648</v>
      </c>
      <c r="T30" s="628" t="s">
        <v>649</v>
      </c>
      <c r="U30" s="628" t="s">
        <v>650</v>
      </c>
      <c r="V30" s="625"/>
      <c r="W30" s="625"/>
      <c r="X30" s="625"/>
      <c r="Y30" s="625"/>
      <c r="Z30" s="625"/>
      <c r="AA30" s="625"/>
      <c r="AB30" s="624"/>
      <c r="AC30" s="624"/>
      <c r="AD30" s="624"/>
    </row>
    <row r="31" spans="1:30" ht="15">
      <c r="A31" s="551" t="s">
        <v>383</v>
      </c>
      <c r="B31" s="551" t="s">
        <v>503</v>
      </c>
      <c r="C31" s="551" t="s">
        <v>499</v>
      </c>
      <c r="D31" s="551">
        <v>1</v>
      </c>
      <c r="E31" s="635">
        <v>6462.761606</v>
      </c>
      <c r="F31" s="635">
        <v>3979.7872889999999</v>
      </c>
      <c r="G31" s="634">
        <f t="shared" si="1"/>
        <v>55640.393644000003</v>
      </c>
      <c r="H31" s="635">
        <v>62103.155250000003</v>
      </c>
      <c r="I31" s="641">
        <v>5.6931304589999998</v>
      </c>
      <c r="J31" s="635">
        <v>29.012558869999999</v>
      </c>
      <c r="K31" s="635">
        <v>2.6425954997400001</v>
      </c>
      <c r="L31" s="635">
        <v>4724.4210640700003</v>
      </c>
      <c r="M31">
        <v>1</v>
      </c>
      <c r="N31" s="645">
        <f t="shared" si="0"/>
        <v>29761.893192682357</v>
      </c>
      <c r="O31" s="645">
        <f t="shared" ca="1" si="3"/>
        <v>352.27653475973784</v>
      </c>
      <c r="P31" s="625"/>
      <c r="Q31" s="625"/>
      <c r="R31" s="628" t="s">
        <v>647</v>
      </c>
      <c r="S31" s="628" t="s">
        <v>648</v>
      </c>
      <c r="T31" s="628" t="s">
        <v>649</v>
      </c>
      <c r="U31" s="628" t="s">
        <v>650</v>
      </c>
      <c r="V31" s="625"/>
      <c r="W31" s="625"/>
      <c r="X31" s="625"/>
      <c r="Y31" s="625"/>
      <c r="Z31" s="625"/>
      <c r="AA31" s="625"/>
      <c r="AB31" s="624"/>
      <c r="AC31" s="624"/>
      <c r="AD31" s="624"/>
    </row>
    <row r="32" spans="1:30" ht="15">
      <c r="A32" s="551" t="s">
        <v>383</v>
      </c>
      <c r="B32" s="551" t="s">
        <v>503</v>
      </c>
      <c r="C32" s="551" t="s">
        <v>499</v>
      </c>
      <c r="D32" s="551">
        <v>2</v>
      </c>
      <c r="E32" s="635">
        <v>6513.6610959999998</v>
      </c>
      <c r="F32" s="635">
        <v>3964.3973139999998</v>
      </c>
      <c r="G32" s="634">
        <f t="shared" si="1"/>
        <v>55422.743893999999</v>
      </c>
      <c r="H32" s="635">
        <v>61936.404990000003</v>
      </c>
      <c r="I32" s="641">
        <v>5.1056172210000001</v>
      </c>
      <c r="J32" s="635">
        <v>29.012558869999999</v>
      </c>
      <c r="K32" s="635">
        <v>3.47985347985</v>
      </c>
      <c r="L32" s="635">
        <v>5267.9957924399996</v>
      </c>
      <c r="M32">
        <v>2</v>
      </c>
      <c r="N32" s="645">
        <f t="shared" si="0"/>
        <v>29646.802923045572</v>
      </c>
      <c r="O32" s="645">
        <f t="shared" ca="1" si="3"/>
        <v>467.36680439652264</v>
      </c>
      <c r="P32" s="625"/>
      <c r="Q32" s="625"/>
      <c r="R32" s="628" t="s">
        <v>647</v>
      </c>
      <c r="S32" s="628" t="s">
        <v>648</v>
      </c>
      <c r="T32" s="628" t="s">
        <v>649</v>
      </c>
      <c r="U32" s="628" t="s">
        <v>650</v>
      </c>
      <c r="V32" s="625"/>
      <c r="W32" s="625"/>
      <c r="X32" s="625"/>
      <c r="Y32" s="625"/>
      <c r="Z32" s="625"/>
      <c r="AA32" s="625"/>
      <c r="AB32" s="624"/>
      <c r="AC32" s="624"/>
      <c r="AD32" s="624"/>
    </row>
    <row r="33" spans="1:30" ht="15">
      <c r="A33" s="551" t="s">
        <v>383</v>
      </c>
      <c r="B33" s="551" t="s">
        <v>503</v>
      </c>
      <c r="C33" s="551" t="s">
        <v>499</v>
      </c>
      <c r="D33" s="551">
        <v>3</v>
      </c>
      <c r="E33" s="635">
        <v>6593.461824</v>
      </c>
      <c r="F33" s="635">
        <v>3944.5969129999999</v>
      </c>
      <c r="G33" s="634">
        <f t="shared" si="1"/>
        <v>55135.382616000003</v>
      </c>
      <c r="H33" s="635">
        <v>61728.844440000001</v>
      </c>
      <c r="I33" s="641">
        <v>4.8468895600000002</v>
      </c>
      <c r="J33" s="635">
        <v>29.012558869999999</v>
      </c>
      <c r="K33" s="635">
        <v>4.2647828362100002</v>
      </c>
      <c r="L33" s="635">
        <v>5310.3233619700004</v>
      </c>
      <c r="M33">
        <v>3</v>
      </c>
      <c r="N33" s="645">
        <f t="shared" si="0"/>
        <v>29498.730330984414</v>
      </c>
      <c r="O33" s="645">
        <f t="shared" ca="1" si="3"/>
        <v>615.43939645768114</v>
      </c>
      <c r="P33" s="625"/>
      <c r="Q33" s="625"/>
      <c r="R33" s="628" t="s">
        <v>647</v>
      </c>
      <c r="S33" s="628" t="s">
        <v>648</v>
      </c>
      <c r="T33" s="628" t="s">
        <v>649</v>
      </c>
      <c r="U33" s="628" t="s">
        <v>650</v>
      </c>
      <c r="V33" s="625"/>
      <c r="W33" s="625"/>
      <c r="X33" s="625"/>
      <c r="Y33" s="625"/>
      <c r="Z33" s="625"/>
      <c r="AA33" s="625"/>
      <c r="AB33" s="624"/>
      <c r="AC33" s="624"/>
      <c r="AD33" s="624"/>
    </row>
    <row r="34" spans="1:30" ht="15">
      <c r="A34" s="551" t="s">
        <v>383</v>
      </c>
      <c r="B34" s="551" t="s">
        <v>503</v>
      </c>
      <c r="C34" s="551" t="s">
        <v>499</v>
      </c>
      <c r="D34" s="551">
        <v>4</v>
      </c>
      <c r="E34" s="635">
        <v>6666.8558629999998</v>
      </c>
      <c r="F34" s="635">
        <v>3918.6231590000002</v>
      </c>
      <c r="G34" s="634">
        <f t="shared" si="1"/>
        <v>54771.734377000001</v>
      </c>
      <c r="H34" s="635">
        <v>61438.590239999998</v>
      </c>
      <c r="I34" s="641">
        <v>4.3620142140000002</v>
      </c>
      <c r="J34" s="635">
        <v>29.012558869999999</v>
      </c>
      <c r="K34" s="635">
        <v>4.9188906331800002</v>
      </c>
      <c r="L34" s="635">
        <v>5559.1224056299998</v>
      </c>
      <c r="M34">
        <v>4</v>
      </c>
      <c r="N34" s="645">
        <f>F34/$O$297</f>
        <v>29304.491786000461</v>
      </c>
      <c r="O34" s="645">
        <f t="shared" ca="1" si="3"/>
        <v>809.67794144163418</v>
      </c>
      <c r="P34" s="625"/>
      <c r="Q34" s="625"/>
      <c r="R34" s="628" t="s">
        <v>647</v>
      </c>
      <c r="S34" s="628" t="s">
        <v>648</v>
      </c>
      <c r="T34" s="628" t="s">
        <v>649</v>
      </c>
      <c r="U34" s="628" t="s">
        <v>650</v>
      </c>
      <c r="V34" s="625"/>
      <c r="W34" s="625"/>
      <c r="X34" s="625"/>
      <c r="Y34" s="625"/>
      <c r="Z34" s="625"/>
      <c r="AA34" s="625"/>
      <c r="AB34" s="624"/>
      <c r="AC34" s="624"/>
      <c r="AD34" s="624"/>
    </row>
    <row r="35" spans="1:30" ht="15">
      <c r="A35" s="551" t="s">
        <v>383</v>
      </c>
      <c r="B35" s="551" t="s">
        <v>503</v>
      </c>
      <c r="C35" s="551" t="s">
        <v>499</v>
      </c>
      <c r="D35" s="551">
        <v>5</v>
      </c>
      <c r="E35" s="635">
        <v>6765.8180220000004</v>
      </c>
      <c r="F35" s="635">
        <v>3876.4689800000001</v>
      </c>
      <c r="G35" s="634">
        <f t="shared" si="1"/>
        <v>54189.667498000003</v>
      </c>
      <c r="H35" s="635">
        <v>60955.485520000002</v>
      </c>
      <c r="I35" s="641">
        <v>3.7975140079999998</v>
      </c>
      <c r="J35" s="635">
        <v>29.012558869999999</v>
      </c>
      <c r="K35" s="635">
        <v>6.2794348508600004</v>
      </c>
      <c r="L35" s="635">
        <v>5964.1159936000004</v>
      </c>
      <c r="M35">
        <v>5</v>
      </c>
      <c r="N35" s="645">
        <f t="shared" si="0"/>
        <v>28989.251778955146</v>
      </c>
      <c r="O35" s="645">
        <f t="shared" ca="1" si="3"/>
        <v>1124.9179484869492</v>
      </c>
      <c r="P35" s="625"/>
      <c r="Q35" s="625"/>
      <c r="R35" s="628" t="s">
        <v>647</v>
      </c>
      <c r="S35" s="628" t="s">
        <v>648</v>
      </c>
      <c r="T35" s="628" t="s">
        <v>649</v>
      </c>
      <c r="U35" s="628" t="s">
        <v>650</v>
      </c>
      <c r="V35" s="625"/>
      <c r="W35" s="625"/>
      <c r="X35" s="625"/>
      <c r="Y35" s="625"/>
      <c r="Z35" s="625"/>
      <c r="AA35" s="625"/>
      <c r="AB35" s="624"/>
      <c r="AC35" s="624"/>
      <c r="AD35" s="624"/>
    </row>
    <row r="36" spans="1:30" ht="15">
      <c r="A36" s="551" t="s">
        <v>383</v>
      </c>
      <c r="B36" s="551" t="s">
        <v>503</v>
      </c>
      <c r="C36" s="551" t="s">
        <v>499</v>
      </c>
      <c r="D36" s="551">
        <v>6</v>
      </c>
      <c r="E36" s="635">
        <v>7116.8398010000001</v>
      </c>
      <c r="F36" s="635">
        <v>3611.3193329999999</v>
      </c>
      <c r="G36" s="634">
        <f t="shared" si="1"/>
        <v>50448.936308999997</v>
      </c>
      <c r="H36" s="635">
        <v>57565.776109999999</v>
      </c>
      <c r="I36" s="641">
        <v>2.2192472560000001</v>
      </c>
      <c r="J36" s="635">
        <v>29.012558869999999</v>
      </c>
      <c r="K36" s="635">
        <v>10.8058608059</v>
      </c>
      <c r="L36" s="635">
        <v>8602.8346001699992</v>
      </c>
      <c r="M36">
        <v>6</v>
      </c>
      <c r="N36" s="645">
        <f t="shared" si="0"/>
        <v>27006.393173445529</v>
      </c>
      <c r="O36" s="645">
        <f t="shared" ca="1" si="3"/>
        <v>3107.7765539965658</v>
      </c>
      <c r="P36" s="625"/>
      <c r="Q36" s="625"/>
      <c r="R36" s="628" t="s">
        <v>647</v>
      </c>
      <c r="S36" s="628" t="s">
        <v>648</v>
      </c>
      <c r="T36" s="628" t="s">
        <v>649</v>
      </c>
      <c r="U36" s="628" t="s">
        <v>650</v>
      </c>
      <c r="V36" s="625"/>
      <c r="W36" s="625"/>
      <c r="X36" s="625"/>
      <c r="Y36" s="625"/>
      <c r="Z36" s="625"/>
      <c r="AA36" s="625"/>
      <c r="AB36" s="624"/>
      <c r="AC36" s="624"/>
      <c r="AD36" s="624"/>
    </row>
    <row r="37" spans="1:30" ht="15">
      <c r="A37" s="558" t="s">
        <v>383</v>
      </c>
      <c r="B37" s="558" t="s">
        <v>503</v>
      </c>
      <c r="C37" s="558" t="s">
        <v>99</v>
      </c>
      <c r="D37" s="558">
        <v>0</v>
      </c>
      <c r="E37" s="636">
        <v>7034.9048030000004</v>
      </c>
      <c r="F37" s="636">
        <v>2964.985756</v>
      </c>
      <c r="G37" s="634">
        <f t="shared" si="1"/>
        <v>29434.557946999998</v>
      </c>
      <c r="H37" s="636">
        <v>36469.462749999999</v>
      </c>
      <c r="I37" s="642" t="s">
        <v>476</v>
      </c>
      <c r="J37" s="636">
        <v>15.295275590599999</v>
      </c>
      <c r="K37" s="636"/>
      <c r="L37" s="636"/>
      <c r="M37" s="558">
        <v>0</v>
      </c>
      <c r="N37" s="645">
        <f t="shared" si="0"/>
        <v>22172.941159895381</v>
      </c>
      <c r="O37" s="645">
        <f t="shared" ca="1" si="3"/>
        <v>0</v>
      </c>
      <c r="P37" s="626"/>
      <c r="Q37" s="626"/>
      <c r="R37" s="628" t="s">
        <v>647</v>
      </c>
      <c r="S37" s="628" t="s">
        <v>648</v>
      </c>
      <c r="T37" s="628" t="s">
        <v>649</v>
      </c>
      <c r="U37" s="628" t="s">
        <v>650</v>
      </c>
      <c r="V37" s="626"/>
      <c r="W37" s="626"/>
      <c r="X37" s="626"/>
      <c r="Y37" s="626"/>
      <c r="Z37" s="626"/>
      <c r="AA37" s="626"/>
      <c r="AB37" s="624"/>
      <c r="AC37" s="624"/>
      <c r="AD37" s="624"/>
    </row>
    <row r="38" spans="1:30" ht="15">
      <c r="A38" s="558" t="s">
        <v>383</v>
      </c>
      <c r="B38" s="558" t="s">
        <v>503</v>
      </c>
      <c r="C38" s="558" t="s">
        <v>99</v>
      </c>
      <c r="D38" s="558">
        <v>1</v>
      </c>
      <c r="E38" s="636">
        <v>7137.6619689999998</v>
      </c>
      <c r="F38" s="636">
        <v>2950.653851</v>
      </c>
      <c r="G38" s="634">
        <f t="shared" si="1"/>
        <v>29292.018680599998</v>
      </c>
      <c r="H38" s="636">
        <v>36429.680649599999</v>
      </c>
      <c r="I38" s="642">
        <v>7.1698192892537103</v>
      </c>
      <c r="J38" s="636">
        <v>15.295275590599999</v>
      </c>
      <c r="K38" s="636">
        <v>1.37795275591</v>
      </c>
      <c r="L38" s="636">
        <v>1263.0816902399999</v>
      </c>
      <c r="M38" s="558">
        <v>1</v>
      </c>
      <c r="N38" s="645">
        <f t="shared" si="0"/>
        <v>22065.763415236357</v>
      </c>
      <c r="O38" s="645">
        <f t="shared" ca="1" si="3"/>
        <v>107.17774465902403</v>
      </c>
      <c r="P38" s="626"/>
      <c r="Q38" s="626"/>
      <c r="R38" s="628" t="s">
        <v>647</v>
      </c>
      <c r="S38" s="628" t="s">
        <v>648</v>
      </c>
      <c r="T38" s="628" t="s">
        <v>649</v>
      </c>
      <c r="U38" s="628" t="s">
        <v>650</v>
      </c>
      <c r="V38" s="626"/>
      <c r="W38" s="626"/>
      <c r="X38" s="626"/>
      <c r="Y38" s="626"/>
      <c r="Z38" s="626"/>
      <c r="AA38" s="626"/>
      <c r="AB38" s="624"/>
      <c r="AC38" s="624"/>
      <c r="AD38" s="624"/>
    </row>
    <row r="39" spans="1:30" ht="15">
      <c r="A39" s="558" t="s">
        <v>383</v>
      </c>
      <c r="B39" s="558" t="s">
        <v>503</v>
      </c>
      <c r="C39" s="558" t="s">
        <v>99</v>
      </c>
      <c r="D39" s="558">
        <v>2</v>
      </c>
      <c r="E39" s="636">
        <v>7175.2095870000003</v>
      </c>
      <c r="F39" s="636">
        <v>2941.9293050000001</v>
      </c>
      <c r="G39" s="634">
        <f t="shared" si="1"/>
        <v>29223.907678200001</v>
      </c>
      <c r="H39" s="636">
        <v>36399.117265200002</v>
      </c>
      <c r="I39" s="642">
        <v>6.0852723210184596</v>
      </c>
      <c r="J39" s="636">
        <v>15.295275590599999</v>
      </c>
      <c r="K39" s="636">
        <v>1.5748031496099999</v>
      </c>
      <c r="L39" s="636">
        <v>1553.7176642699999</v>
      </c>
      <c r="M39" s="558">
        <v>2</v>
      </c>
      <c r="N39" s="645">
        <f t="shared" si="0"/>
        <v>22000.518971915397</v>
      </c>
      <c r="O39" s="645">
        <f t="shared" ca="1" si="3"/>
        <v>172.4221879799843</v>
      </c>
      <c r="P39" s="626"/>
      <c r="Q39" s="626"/>
      <c r="R39" s="626"/>
      <c r="S39" s="626"/>
      <c r="T39" s="626"/>
      <c r="U39" s="626"/>
      <c r="V39" s="626"/>
      <c r="W39" s="626"/>
      <c r="X39" s="626"/>
      <c r="Y39" s="626"/>
      <c r="Z39" s="626"/>
      <c r="AA39" s="626"/>
      <c r="AB39" s="624"/>
      <c r="AC39" s="624"/>
      <c r="AD39" s="624"/>
    </row>
    <row r="40" spans="1:30" ht="15">
      <c r="A40" s="558" t="s">
        <v>383</v>
      </c>
      <c r="B40" s="558" t="s">
        <v>503</v>
      </c>
      <c r="C40" s="558" t="s">
        <v>99</v>
      </c>
      <c r="D40" s="558">
        <v>3</v>
      </c>
      <c r="E40" s="636">
        <v>7221.6614760000002</v>
      </c>
      <c r="F40" s="636">
        <v>2925.5500670000001</v>
      </c>
      <c r="G40" s="634">
        <f t="shared" si="1"/>
        <v>29051.371342899998</v>
      </c>
      <c r="H40" s="636">
        <v>36273.032818899999</v>
      </c>
      <c r="I40" s="642">
        <v>4.7357274539108003</v>
      </c>
      <c r="J40" s="636">
        <v>15.295275590599999</v>
      </c>
      <c r="K40" s="636">
        <v>1.77165354331</v>
      </c>
      <c r="L40" s="636">
        <v>2696.9298652000002</v>
      </c>
      <c r="M40" s="558">
        <v>3</v>
      </c>
      <c r="N40" s="645">
        <f t="shared" si="0"/>
        <v>21878.03073409402</v>
      </c>
      <c r="O40" s="645">
        <f t="shared" ca="1" si="3"/>
        <v>294.91042580136127</v>
      </c>
      <c r="P40" s="626"/>
      <c r="Q40" s="626"/>
      <c r="R40" s="626"/>
      <c r="S40" s="626"/>
      <c r="T40" s="626"/>
      <c r="U40" s="626"/>
      <c r="V40" s="626"/>
      <c r="W40" s="626"/>
      <c r="X40" s="626"/>
      <c r="Y40" s="626"/>
      <c r="Z40" s="626"/>
      <c r="AA40" s="626"/>
      <c r="AB40" s="624"/>
      <c r="AC40" s="624"/>
      <c r="AD40" s="624"/>
    </row>
    <row r="41" spans="1:30" ht="15">
      <c r="A41" s="558" t="s">
        <v>383</v>
      </c>
      <c r="B41" s="558" t="s">
        <v>503</v>
      </c>
      <c r="C41" s="558" t="s">
        <v>99</v>
      </c>
      <c r="D41" s="558">
        <v>4</v>
      </c>
      <c r="E41" s="636">
        <v>7297.125059</v>
      </c>
      <c r="F41" s="636">
        <v>2925.2587440000002</v>
      </c>
      <c r="G41" s="634">
        <f t="shared" si="1"/>
        <v>29056.284673300004</v>
      </c>
      <c r="H41" s="636">
        <v>36353.409732300002</v>
      </c>
      <c r="I41" s="642">
        <v>6.6005533263409202</v>
      </c>
      <c r="J41" s="636">
        <v>15.295275590599999</v>
      </c>
      <c r="K41" s="636">
        <v>5.1181102362199997</v>
      </c>
      <c r="L41" s="636">
        <v>982.58221662999995</v>
      </c>
      <c r="M41" s="558">
        <v>4</v>
      </c>
      <c r="N41" s="645">
        <f t="shared" si="0"/>
        <v>21875.852144289853</v>
      </c>
      <c r="O41" s="645">
        <f t="shared" ca="1" si="3"/>
        <v>297.0890156055284</v>
      </c>
      <c r="P41" s="626"/>
      <c r="Q41" s="626"/>
      <c r="R41" s="626"/>
      <c r="S41" s="626"/>
      <c r="T41" s="626"/>
      <c r="U41" s="626"/>
      <c r="V41" s="626"/>
      <c r="W41" s="626"/>
      <c r="X41" s="626"/>
      <c r="Y41" s="626"/>
      <c r="Z41" s="626"/>
      <c r="AA41" s="626"/>
      <c r="AB41" s="624"/>
      <c r="AC41" s="624"/>
      <c r="AD41" s="624"/>
    </row>
    <row r="42" spans="1:30" ht="15">
      <c r="A42" s="558" t="s">
        <v>383</v>
      </c>
      <c r="B42" s="558" t="s">
        <v>503</v>
      </c>
      <c r="C42" s="558" t="s">
        <v>99</v>
      </c>
      <c r="D42" s="558">
        <v>5</v>
      </c>
      <c r="E42" s="636">
        <v>7484.0393309999999</v>
      </c>
      <c r="F42" s="636">
        <v>2890.4775030000001</v>
      </c>
      <c r="G42" s="634">
        <f t="shared" si="1"/>
        <v>28685.288647100002</v>
      </c>
      <c r="H42" s="636">
        <v>36169.327978100002</v>
      </c>
      <c r="I42" s="642">
        <v>6.0279836517187499</v>
      </c>
      <c r="J42" s="636">
        <v>15.295275590599999</v>
      </c>
      <c r="K42" s="636">
        <v>6.2992125984299996</v>
      </c>
      <c r="L42" s="636">
        <v>1793.74663704</v>
      </c>
      <c r="M42" s="558">
        <v>5</v>
      </c>
      <c r="N42" s="645">
        <f t="shared" si="0"/>
        <v>21615.748901432606</v>
      </c>
      <c r="O42" s="645">
        <f t="shared" ca="1" si="3"/>
        <v>557.1922584627755</v>
      </c>
      <c r="P42" s="626"/>
      <c r="Q42" s="626"/>
      <c r="R42" s="626"/>
      <c r="S42" s="626"/>
      <c r="T42" s="626"/>
      <c r="U42" s="626"/>
      <c r="V42" s="626"/>
      <c r="W42" s="626"/>
      <c r="X42" s="626"/>
      <c r="Y42" s="626"/>
      <c r="Z42" s="626"/>
      <c r="AA42" s="626"/>
      <c r="AB42" s="624"/>
      <c r="AC42" s="624"/>
      <c r="AD42" s="624"/>
    </row>
    <row r="43" spans="1:30" ht="15">
      <c r="A43" s="558" t="s">
        <v>383</v>
      </c>
      <c r="B43" s="558" t="s">
        <v>503</v>
      </c>
      <c r="C43" s="558" t="s">
        <v>99</v>
      </c>
      <c r="D43" s="558">
        <v>6</v>
      </c>
      <c r="E43" s="636">
        <v>8294.6390159999992</v>
      </c>
      <c r="F43" s="636">
        <v>2688.9074089999999</v>
      </c>
      <c r="G43" s="634">
        <f t="shared" si="1"/>
        <v>26660.6478966</v>
      </c>
      <c r="H43" s="636">
        <v>34955.286912600001</v>
      </c>
      <c r="I43" s="642">
        <v>4.5629591267329097</v>
      </c>
      <c r="J43" s="636">
        <v>15.295275590599999</v>
      </c>
      <c r="K43" s="636">
        <v>21.456692913400001</v>
      </c>
      <c r="L43" s="636">
        <v>2381.4282520400002</v>
      </c>
      <c r="M43" s="558">
        <v>6</v>
      </c>
      <c r="N43" s="645">
        <f>F43/$O$297</f>
        <v>20108.354869332376</v>
      </c>
      <c r="O43" s="645">
        <f t="shared" ca="1" si="3"/>
        <v>2064.5862905630056</v>
      </c>
      <c r="P43" s="626"/>
      <c r="Q43" s="626"/>
      <c r="R43" s="626"/>
      <c r="S43" s="626"/>
      <c r="T43" s="626"/>
      <c r="U43" s="626"/>
      <c r="V43" s="626"/>
      <c r="W43" s="626"/>
      <c r="X43" s="626"/>
      <c r="Y43" s="626"/>
      <c r="Z43" s="626"/>
      <c r="AA43" s="626"/>
      <c r="AB43" s="624"/>
      <c r="AC43" s="624"/>
      <c r="AD43" s="624"/>
    </row>
    <row r="44" spans="1:30" ht="15">
      <c r="A44" t="s">
        <v>29</v>
      </c>
      <c r="B44" t="s">
        <v>240</v>
      </c>
      <c r="C44" t="s">
        <v>497</v>
      </c>
      <c r="D44">
        <v>0</v>
      </c>
      <c r="E44" s="634">
        <v>2265.1484550599998</v>
      </c>
      <c r="F44" s="634">
        <v>2644.9327194500001</v>
      </c>
      <c r="G44" s="634">
        <f t="shared" si="1"/>
        <v>34563.307481240001</v>
      </c>
      <c r="H44" s="634">
        <v>36828.455936300001</v>
      </c>
      <c r="I44" s="640" t="s">
        <v>476</v>
      </c>
      <c r="J44" s="634">
        <v>20.509055462900001</v>
      </c>
      <c r="M44">
        <v>0</v>
      </c>
      <c r="N44" s="645">
        <f t="shared" si="0"/>
        <v>19779.500606898338</v>
      </c>
      <c r="O44" s="645">
        <f t="shared" ca="1" si="3"/>
        <v>0</v>
      </c>
      <c r="P44" s="624"/>
      <c r="Q44" s="624"/>
      <c r="AA44" s="624"/>
      <c r="AB44" s="624"/>
      <c r="AC44" s="624"/>
      <c r="AD44" s="624"/>
    </row>
    <row r="45" spans="1:30" ht="15">
      <c r="A45" t="s">
        <v>29</v>
      </c>
      <c r="B45" t="s">
        <v>240</v>
      </c>
      <c r="C45" t="s">
        <v>497</v>
      </c>
      <c r="D45">
        <v>1</v>
      </c>
      <c r="E45" s="634">
        <v>2358.5113126900001</v>
      </c>
      <c r="F45" s="634">
        <v>2621.2074374099998</v>
      </c>
      <c r="G45" s="634">
        <f t="shared" si="1"/>
        <v>34274.432717409996</v>
      </c>
      <c r="H45" s="634">
        <v>36632.9440301</v>
      </c>
      <c r="I45" s="640">
        <v>3.9014985725062798</v>
      </c>
      <c r="J45" s="634">
        <v>20.509055462900001</v>
      </c>
      <c r="K45" s="634">
        <v>7.2811007826400003</v>
      </c>
      <c r="L45" s="634">
        <v>1288.8345868399999</v>
      </c>
      <c r="M45">
        <v>1</v>
      </c>
      <c r="N45" s="645">
        <f t="shared" si="0"/>
        <v>19602.076724975701</v>
      </c>
      <c r="O45" s="645">
        <f t="shared" ca="1" si="3"/>
        <v>177.42388192263752</v>
      </c>
      <c r="P45" s="624"/>
      <c r="Q45" s="624"/>
      <c r="AA45" s="624"/>
      <c r="AB45" s="624"/>
      <c r="AC45" s="624"/>
      <c r="AD45" s="624"/>
    </row>
    <row r="46" spans="1:30" ht="15">
      <c r="A46" t="s">
        <v>29</v>
      </c>
      <c r="B46" t="s">
        <v>240</v>
      </c>
      <c r="C46" t="s">
        <v>497</v>
      </c>
      <c r="D46">
        <v>2</v>
      </c>
      <c r="E46" s="634">
        <v>2379.0138996400001</v>
      </c>
      <c r="F46" s="634">
        <v>2616.9643314599998</v>
      </c>
      <c r="G46" s="634">
        <f t="shared" si="1"/>
        <v>34219.73977706</v>
      </c>
      <c r="H46" s="634">
        <v>36598.753676699998</v>
      </c>
      <c r="I46" s="640">
        <v>4.0155581103088203</v>
      </c>
      <c r="J46" s="634">
        <v>20.509055462900001</v>
      </c>
      <c r="K46" s="634">
        <v>8.4112677648100007</v>
      </c>
      <c r="L46" s="634">
        <v>1212.8676822699999</v>
      </c>
      <c r="M46">
        <v>2</v>
      </c>
      <c r="N46" s="645">
        <f t="shared" si="0"/>
        <v>19570.345665771059</v>
      </c>
      <c r="O46" s="645">
        <f t="shared" ca="1" si="3"/>
        <v>209.15494112727902</v>
      </c>
      <c r="P46" s="624"/>
      <c r="Q46" s="624"/>
      <c r="AA46" s="624"/>
      <c r="AB46" s="624"/>
      <c r="AC46" s="624"/>
      <c r="AD46" s="624"/>
    </row>
    <row r="47" spans="1:30" ht="15">
      <c r="A47" t="s">
        <v>29</v>
      </c>
      <c r="B47" t="s">
        <v>240</v>
      </c>
      <c r="C47" t="s">
        <v>497</v>
      </c>
      <c r="D47">
        <v>3</v>
      </c>
      <c r="E47" s="634">
        <v>2400.7909323899999</v>
      </c>
      <c r="F47" s="634">
        <v>2603.0652068700001</v>
      </c>
      <c r="G47" s="634">
        <f t="shared" si="1"/>
        <v>34050.13571771</v>
      </c>
      <c r="H47" s="634">
        <v>36450.926650100002</v>
      </c>
      <c r="I47" s="640">
        <v>3.1975843676614</v>
      </c>
      <c r="J47" s="634">
        <v>20.509055462900001</v>
      </c>
      <c r="K47" s="634">
        <v>10.281694120299999</v>
      </c>
      <c r="L47" s="634">
        <v>1577.3691451699999</v>
      </c>
      <c r="M47">
        <v>3</v>
      </c>
      <c r="N47" s="645">
        <f t="shared" si="0"/>
        <v>19466.404366530591</v>
      </c>
      <c r="O47" s="645">
        <f t="shared" ca="1" si="3"/>
        <v>313.09624036774767</v>
      </c>
      <c r="P47" s="624"/>
      <c r="Q47" s="624"/>
      <c r="AA47" s="624"/>
      <c r="AB47" s="624"/>
      <c r="AC47" s="624"/>
      <c r="AD47" s="624"/>
    </row>
    <row r="48" spans="1:30" ht="15">
      <c r="A48" t="s">
        <v>29</v>
      </c>
      <c r="B48" t="s">
        <v>240</v>
      </c>
      <c r="C48" t="s">
        <v>497</v>
      </c>
      <c r="D48">
        <v>4</v>
      </c>
      <c r="E48" s="634">
        <v>2431.1787231899998</v>
      </c>
      <c r="F48" s="634">
        <v>2589.2200875399999</v>
      </c>
      <c r="G48" s="634">
        <f t="shared" si="1"/>
        <v>33878.170244809997</v>
      </c>
      <c r="H48" s="634">
        <v>36309.348967999998</v>
      </c>
      <c r="I48" s="640">
        <v>2.9209368039314998</v>
      </c>
      <c r="J48" s="634">
        <v>20.509055462900001</v>
      </c>
      <c r="K48" s="634">
        <v>11.9458650016</v>
      </c>
      <c r="L48" s="634">
        <v>1691.9378331200001</v>
      </c>
      <c r="M48">
        <v>4</v>
      </c>
      <c r="N48" s="645">
        <f t="shared" si="0"/>
        <v>19362.866932789268</v>
      </c>
      <c r="O48" s="645">
        <f t="shared" ca="1" si="3"/>
        <v>416.63367410907085</v>
      </c>
      <c r="P48" s="624"/>
      <c r="Q48" s="624"/>
      <c r="AA48" s="624"/>
      <c r="AB48" s="624"/>
      <c r="AC48" s="624"/>
      <c r="AD48" s="624"/>
    </row>
    <row r="49" spans="1:30" ht="15">
      <c r="A49" t="s">
        <v>29</v>
      </c>
      <c r="B49" t="s">
        <v>240</v>
      </c>
      <c r="C49" t="s">
        <v>497</v>
      </c>
      <c r="D49">
        <v>5</v>
      </c>
      <c r="E49" s="634">
        <v>2494.5010485100001</v>
      </c>
      <c r="F49" s="634">
        <v>2578.5475651299998</v>
      </c>
      <c r="G49" s="634">
        <f t="shared" si="1"/>
        <v>33742.641789690002</v>
      </c>
      <c r="H49" s="634">
        <v>36237.142838200001</v>
      </c>
      <c r="I49" s="640">
        <v>3.3752118592539899</v>
      </c>
      <c r="J49" s="634">
        <v>20.509055462900001</v>
      </c>
      <c r="K49" s="634">
        <v>16.667137569600001</v>
      </c>
      <c r="L49" s="634">
        <v>1483.8587977499999</v>
      </c>
      <c r="M49">
        <v>5</v>
      </c>
      <c r="N49" s="645">
        <f t="shared" si="0"/>
        <v>19283.055010945889</v>
      </c>
      <c r="O49" s="645">
        <f t="shared" ca="1" si="3"/>
        <v>496.44559595244937</v>
      </c>
      <c r="P49" s="624"/>
      <c r="Q49" s="624"/>
      <c r="AA49" s="624"/>
      <c r="AB49" s="624"/>
      <c r="AC49" s="624"/>
      <c r="AD49" s="624"/>
    </row>
    <row r="50" spans="1:30" ht="15">
      <c r="A50" t="s">
        <v>29</v>
      </c>
      <c r="B50" t="s">
        <v>240</v>
      </c>
      <c r="C50" t="s">
        <v>497</v>
      </c>
      <c r="D50">
        <v>6</v>
      </c>
      <c r="E50" s="634">
        <v>2676.6487480599999</v>
      </c>
      <c r="F50" s="634">
        <v>2466.5176485100001</v>
      </c>
      <c r="G50" s="634">
        <f t="shared" si="1"/>
        <v>32272.332504540002</v>
      </c>
      <c r="H50" s="634">
        <v>34948.981252600002</v>
      </c>
      <c r="I50" s="640">
        <v>2.1973726413047401</v>
      </c>
      <c r="J50" s="634">
        <v>20.509055462900001</v>
      </c>
      <c r="K50" s="634">
        <v>23.4707428022</v>
      </c>
      <c r="L50" s="634">
        <v>2641.2645416300002</v>
      </c>
      <c r="M50">
        <v>6</v>
      </c>
      <c r="N50" s="645">
        <f>F50/$O$297</f>
        <v>18445.265910496924</v>
      </c>
      <c r="O50" s="645">
        <f t="shared" ca="1" si="3"/>
        <v>1334.2346964014141</v>
      </c>
      <c r="P50" s="624"/>
      <c r="Q50" s="624"/>
      <c r="AA50" s="624"/>
      <c r="AB50" s="624"/>
      <c r="AC50" s="624"/>
      <c r="AD50" s="624"/>
    </row>
    <row r="51" spans="1:30" ht="15">
      <c r="A51" t="s">
        <v>29</v>
      </c>
      <c r="B51" t="s">
        <v>240</v>
      </c>
      <c r="C51" t="s">
        <v>499</v>
      </c>
      <c r="D51">
        <v>0</v>
      </c>
      <c r="E51" s="634">
        <v>3262.2618590000002</v>
      </c>
      <c r="F51" s="634">
        <v>6558.9681069999997</v>
      </c>
      <c r="G51" s="634">
        <f t="shared" si="1"/>
        <v>90664.671160999991</v>
      </c>
      <c r="H51" s="634">
        <v>93926.933019999997</v>
      </c>
      <c r="I51" s="640" t="s">
        <v>476</v>
      </c>
      <c r="J51" s="634">
        <v>27.40633837</v>
      </c>
      <c r="M51">
        <v>0</v>
      </c>
      <c r="N51" s="645">
        <f t="shared" si="0"/>
        <v>49049.68383468395</v>
      </c>
      <c r="O51" s="645">
        <f t="shared" ca="1" si="3"/>
        <v>0</v>
      </c>
      <c r="P51" s="624"/>
      <c r="Q51" s="624"/>
      <c r="AA51" s="624"/>
      <c r="AB51" s="624"/>
      <c r="AC51" s="624"/>
      <c r="AD51" s="624"/>
    </row>
    <row r="52" spans="1:30" ht="15">
      <c r="A52" t="s">
        <v>29</v>
      </c>
      <c r="B52" t="s">
        <v>240</v>
      </c>
      <c r="C52" t="s">
        <v>499</v>
      </c>
      <c r="D52">
        <v>1</v>
      </c>
      <c r="E52" s="634">
        <v>3281.3430520000002</v>
      </c>
      <c r="F52" s="634">
        <v>6535.8161110000001</v>
      </c>
      <c r="G52" s="634">
        <f t="shared" si="1"/>
        <v>90333.344228000002</v>
      </c>
      <c r="H52" s="634">
        <v>93614.687279999998</v>
      </c>
      <c r="I52" s="640">
        <v>0.80004351100000004</v>
      </c>
      <c r="J52" s="634">
        <v>27.40633837</v>
      </c>
      <c r="K52" s="634">
        <v>0.85811799122400001</v>
      </c>
      <c r="L52" s="634">
        <v>5148.0386939299997</v>
      </c>
      <c r="M52">
        <v>1</v>
      </c>
      <c r="N52" s="645">
        <f t="shared" si="0"/>
        <v>48876.547136133784</v>
      </c>
      <c r="O52" s="645">
        <f t="shared" ca="1" si="3"/>
        <v>173.13669855016633</v>
      </c>
      <c r="P52" s="624"/>
      <c r="Q52" s="624"/>
      <c r="AA52" s="624"/>
      <c r="AB52" s="624"/>
      <c r="AC52" s="624"/>
      <c r="AD52" s="624"/>
    </row>
    <row r="53" spans="1:30" ht="15">
      <c r="A53" t="s">
        <v>29</v>
      </c>
      <c r="B53" t="s">
        <v>240</v>
      </c>
      <c r="C53" t="s">
        <v>499</v>
      </c>
      <c r="D53">
        <v>2</v>
      </c>
      <c r="E53" s="634">
        <v>3287.0706359999999</v>
      </c>
      <c r="F53" s="634">
        <v>6527.4637549999998</v>
      </c>
      <c r="G53" s="634">
        <f t="shared" si="1"/>
        <v>90213.15798399999</v>
      </c>
      <c r="H53" s="634">
        <v>93500.228619999994</v>
      </c>
      <c r="I53" s="640">
        <v>0.75817767599999997</v>
      </c>
      <c r="J53" s="634">
        <v>27.40633837</v>
      </c>
      <c r="K53" s="634">
        <v>1.1506582155</v>
      </c>
      <c r="L53" s="634">
        <v>5395.6272300000001</v>
      </c>
      <c r="M53">
        <v>2</v>
      </c>
      <c r="N53" s="645">
        <f t="shared" si="0"/>
        <v>48814.086027253332</v>
      </c>
      <c r="O53" s="645">
        <f t="shared" ca="1" si="3"/>
        <v>235.59780743061856</v>
      </c>
      <c r="P53" s="624"/>
      <c r="Q53" s="624"/>
      <c r="AA53" s="624"/>
      <c r="AB53" s="624"/>
      <c r="AC53" s="624"/>
      <c r="AD53" s="624"/>
    </row>
    <row r="54" spans="1:30" ht="15">
      <c r="A54" t="s">
        <v>29</v>
      </c>
      <c r="B54" t="s">
        <v>240</v>
      </c>
      <c r="C54" t="s">
        <v>499</v>
      </c>
      <c r="D54">
        <v>3</v>
      </c>
      <c r="E54" s="634">
        <v>3294.8113530000001</v>
      </c>
      <c r="F54" s="634">
        <v>6515.0145730000004</v>
      </c>
      <c r="G54" s="634">
        <f t="shared" si="1"/>
        <v>90022.474606999996</v>
      </c>
      <c r="H54" s="634">
        <v>93317.285959999994</v>
      </c>
      <c r="I54" s="640">
        <v>0.71130855199999998</v>
      </c>
      <c r="J54" s="634">
        <v>27.40633837</v>
      </c>
      <c r="K54" s="634">
        <v>1.7747440272999999</v>
      </c>
      <c r="L54" s="634">
        <v>5642.5366541800004</v>
      </c>
      <c r="M54">
        <v>3</v>
      </c>
      <c r="N54" s="645">
        <f t="shared" si="0"/>
        <v>48720.98777900164</v>
      </c>
      <c r="O54" s="645">
        <f t="shared" ca="1" si="3"/>
        <v>328.69605568231054</v>
      </c>
      <c r="P54" s="624"/>
      <c r="Q54" s="624"/>
      <c r="AA54" s="624"/>
      <c r="AB54" s="624"/>
      <c r="AC54" s="624"/>
      <c r="AD54" s="624"/>
    </row>
    <row r="55" spans="1:30" ht="15">
      <c r="A55" t="s">
        <v>29</v>
      </c>
      <c r="B55" t="s">
        <v>240</v>
      </c>
      <c r="C55" t="s">
        <v>499</v>
      </c>
      <c r="D55">
        <v>4</v>
      </c>
      <c r="E55" s="634">
        <v>3311.37338</v>
      </c>
      <c r="F55" s="634">
        <v>6492.4493579999998</v>
      </c>
      <c r="G55" s="634">
        <f t="shared" si="1"/>
        <v>89707.046219999989</v>
      </c>
      <c r="H55" s="634">
        <v>93018.419599999994</v>
      </c>
      <c r="I55" s="640">
        <v>0.70097808800000005</v>
      </c>
      <c r="J55" s="634">
        <v>27.40633837</v>
      </c>
      <c r="K55" s="634">
        <v>2.4183325207199999</v>
      </c>
      <c r="L55" s="634">
        <v>5922.9530378400004</v>
      </c>
      <c r="M55">
        <v>4</v>
      </c>
      <c r="N55" s="645">
        <f t="shared" si="0"/>
        <v>48552.239182674348</v>
      </c>
      <c r="O55" s="645">
        <f t="shared" ca="1" si="3"/>
        <v>497.44465200960258</v>
      </c>
      <c r="P55" s="624"/>
      <c r="Q55" s="624"/>
      <c r="AA55" s="624"/>
      <c r="AB55" s="624"/>
      <c r="AC55" s="624"/>
      <c r="AD55" s="624"/>
    </row>
    <row r="56" spans="1:30" ht="15">
      <c r="A56" t="s">
        <v>29</v>
      </c>
      <c r="B56" t="s">
        <v>240</v>
      </c>
      <c r="C56" t="s">
        <v>499</v>
      </c>
      <c r="D56">
        <v>5</v>
      </c>
      <c r="E56" s="634">
        <v>3342.0625140000002</v>
      </c>
      <c r="F56" s="634">
        <v>6462.772344</v>
      </c>
      <c r="G56" s="634">
        <f t="shared" si="1"/>
        <v>89316.811075999998</v>
      </c>
      <c r="H56" s="634">
        <v>92658.873590000003</v>
      </c>
      <c r="I56" s="640">
        <v>0.79199791500000005</v>
      </c>
      <c r="J56" s="634">
        <v>27.40633837</v>
      </c>
      <c r="K56" s="634">
        <v>2.9156509019999999</v>
      </c>
      <c r="L56" s="634">
        <v>5823.5331493000003</v>
      </c>
      <c r="M56">
        <v>5</v>
      </c>
      <c r="N56" s="645">
        <f t="shared" si="0"/>
        <v>48330.306688094301</v>
      </c>
      <c r="O56" s="645">
        <f t="shared" ca="1" si="3"/>
        <v>719.37714658964978</v>
      </c>
      <c r="P56" s="624"/>
      <c r="Q56" s="624"/>
      <c r="AA56" s="624"/>
      <c r="AB56" s="624"/>
      <c r="AC56" s="624"/>
      <c r="AD56" s="624"/>
    </row>
    <row r="57" spans="1:30" ht="15">
      <c r="A57" t="s">
        <v>29</v>
      </c>
      <c r="B57" t="s">
        <v>240</v>
      </c>
      <c r="C57" t="s">
        <v>499</v>
      </c>
      <c r="D57">
        <v>6</v>
      </c>
      <c r="E57" s="634">
        <v>3496.4702139999999</v>
      </c>
      <c r="F57" s="634">
        <v>6203.5823479999999</v>
      </c>
      <c r="G57" s="634">
        <f t="shared" si="1"/>
        <v>85661.942066000003</v>
      </c>
      <c r="H57" s="634">
        <v>89158.412280000004</v>
      </c>
      <c r="I57" s="640">
        <v>0.61464638699999996</v>
      </c>
      <c r="J57" s="634">
        <v>27.40633837</v>
      </c>
      <c r="K57" s="634">
        <v>8.2008776206699991</v>
      </c>
      <c r="L57" s="634">
        <v>7427.2752480500003</v>
      </c>
      <c r="M57">
        <v>6</v>
      </c>
      <c r="N57" s="645">
        <f t="shared" si="0"/>
        <v>46392.01591590028</v>
      </c>
      <c r="O57" s="645">
        <f t="shared" ca="1" si="3"/>
        <v>2657.6679187836708</v>
      </c>
      <c r="P57" s="624"/>
      <c r="Q57" s="624"/>
      <c r="AA57" s="624"/>
      <c r="AB57" s="624"/>
      <c r="AC57" s="624"/>
      <c r="AD57" s="624"/>
    </row>
    <row r="58" spans="1:30" ht="15">
      <c r="A58" t="s">
        <v>29</v>
      </c>
      <c r="B58" t="s">
        <v>240</v>
      </c>
      <c r="C58" t="s">
        <v>99</v>
      </c>
      <c r="D58">
        <v>0</v>
      </c>
      <c r="E58" s="634">
        <v>1858.3779099999999</v>
      </c>
      <c r="F58" s="634">
        <v>1048.2093170000001</v>
      </c>
      <c r="G58" s="634">
        <f t="shared" si="1"/>
        <v>11676.861280000001</v>
      </c>
      <c r="H58" s="634">
        <v>13535.23919</v>
      </c>
      <c r="I58" s="640" t="s">
        <v>476</v>
      </c>
      <c r="J58" s="634">
        <v>17.69532182</v>
      </c>
      <c r="M58">
        <v>0</v>
      </c>
      <c r="N58" s="645">
        <f t="shared" si="0"/>
        <v>7838.7842039586258</v>
      </c>
      <c r="O58" s="645">
        <f t="shared" ca="1" si="3"/>
        <v>0</v>
      </c>
      <c r="P58" s="624"/>
      <c r="Q58" s="624" t="s">
        <v>642</v>
      </c>
      <c r="R58" s="645">
        <f>G58*1.1472</f>
        <v>13395.695260416001</v>
      </c>
      <c r="S58" s="645">
        <f>R58*1.2</f>
        <v>16074.834312499201</v>
      </c>
      <c r="AA58" s="624"/>
      <c r="AB58" s="624"/>
      <c r="AC58" s="624"/>
      <c r="AD58" s="624"/>
    </row>
    <row r="59" spans="1:30" ht="15">
      <c r="A59" t="s">
        <v>29</v>
      </c>
      <c r="B59" t="s">
        <v>240</v>
      </c>
      <c r="C59" t="s">
        <v>99</v>
      </c>
      <c r="D59">
        <v>1</v>
      </c>
      <c r="E59" s="634">
        <v>1982.0438340000001</v>
      </c>
      <c r="F59" s="634">
        <v>1024.250164</v>
      </c>
      <c r="G59" s="634">
        <f t="shared" si="1"/>
        <v>11405.304796</v>
      </c>
      <c r="H59" s="634">
        <v>13387.34863</v>
      </c>
      <c r="I59" s="640">
        <v>5.1615314469999998</v>
      </c>
      <c r="J59" s="634">
        <v>17.69532182</v>
      </c>
      <c r="K59" s="634">
        <v>9.9013445779300007</v>
      </c>
      <c r="L59" s="634">
        <v>783.16259303499999</v>
      </c>
      <c r="M59">
        <v>1</v>
      </c>
      <c r="N59" s="645">
        <f t="shared" si="0"/>
        <v>7659.6113736558518</v>
      </c>
      <c r="O59" s="645">
        <f t="shared" ca="1" si="3"/>
        <v>179.17283030277395</v>
      </c>
      <c r="P59" s="624"/>
      <c r="Q59" s="634">
        <f>H59-H$58</f>
        <v>-147.89055999999982</v>
      </c>
      <c r="R59" s="645">
        <f t="shared" ref="R59:R64" si="4">G59*1.1472</f>
        <v>13084.165661971201</v>
      </c>
      <c r="S59" s="645">
        <f t="shared" ref="S59:S64" si="5">R59*1.2</f>
        <v>15700.998794365441</v>
      </c>
      <c r="T59" s="645">
        <f>(R59+$E59)-(R$58+$E$58)</f>
        <v>-187.86367444479947</v>
      </c>
      <c r="U59" s="645">
        <f>(S59+$E59)-(S$58+$E$58)</f>
        <v>-250.16959413376026</v>
      </c>
      <c r="V59" s="634"/>
      <c r="W59" s="634"/>
      <c r="X59" s="634"/>
      <c r="Y59" s="634"/>
      <c r="Z59" s="634"/>
      <c r="AA59" s="624"/>
      <c r="AB59" s="624"/>
      <c r="AC59" s="624"/>
      <c r="AD59" s="624"/>
    </row>
    <row r="60" spans="1:30" ht="15">
      <c r="A60" t="s">
        <v>29</v>
      </c>
      <c r="B60" t="s">
        <v>240</v>
      </c>
      <c r="C60" t="s">
        <v>99</v>
      </c>
      <c r="D60">
        <v>2</v>
      </c>
      <c r="E60" s="634">
        <v>2008.573856</v>
      </c>
      <c r="F60" s="634">
        <v>1021.683419</v>
      </c>
      <c r="G60" s="634">
        <f t="shared" si="1"/>
        <v>11377.329733999999</v>
      </c>
      <c r="H60" s="634">
        <v>13385.90359</v>
      </c>
      <c r="I60" s="640">
        <v>5.6622378769999999</v>
      </c>
      <c r="J60" s="634">
        <v>17.69532182</v>
      </c>
      <c r="K60" s="634">
        <v>11.3732198266</v>
      </c>
      <c r="L60" s="634">
        <v>637.13482530600004</v>
      </c>
      <c r="M60">
        <v>2</v>
      </c>
      <c r="N60" s="645">
        <f t="shared" si="0"/>
        <v>7640.4165813226036</v>
      </c>
      <c r="O60" s="645">
        <f t="shared" ca="1" si="3"/>
        <v>198.36762263602213</v>
      </c>
      <c r="P60" s="624"/>
      <c r="Q60" s="634">
        <f t="shared" ref="Q60:Q64" si="6">H60-H$58</f>
        <v>-149.33560000000034</v>
      </c>
      <c r="R60" s="645">
        <f t="shared" si="4"/>
        <v>13052.072670844798</v>
      </c>
      <c r="S60" s="645">
        <f t="shared" si="5"/>
        <v>15662.487205013756</v>
      </c>
      <c r="T60" s="645">
        <f t="shared" ref="T60:T64" si="7">(R60+E60)-(R$58+E$58)</f>
        <v>-193.42664357120339</v>
      </c>
      <c r="U60" s="645">
        <f t="shared" ref="U60:U64" si="8">(S60+$E60)-(S$58+$E$58)</f>
        <v>-262.15116148544621</v>
      </c>
      <c r="V60" s="634"/>
      <c r="W60" s="634"/>
      <c r="X60" s="634"/>
      <c r="Y60" s="634"/>
      <c r="Z60" s="634"/>
      <c r="AA60" s="624"/>
      <c r="AB60" s="624"/>
      <c r="AC60" s="624"/>
      <c r="AD60" s="624"/>
    </row>
    <row r="61" spans="1:30" ht="15">
      <c r="A61" t="s">
        <v>29</v>
      </c>
      <c r="B61" t="s">
        <v>240</v>
      </c>
      <c r="C61" t="s">
        <v>99</v>
      </c>
      <c r="D61">
        <v>3</v>
      </c>
      <c r="E61" s="634">
        <v>2036.0769769999999</v>
      </c>
      <c r="F61" s="634">
        <v>1007.1927920000001</v>
      </c>
      <c r="G61" s="634">
        <f t="shared" si="1"/>
        <v>11216.324943</v>
      </c>
      <c r="H61" s="634">
        <v>13252.40192</v>
      </c>
      <c r="I61" s="640">
        <v>4.3323774789999998</v>
      </c>
      <c r="J61" s="634">
        <v>17.69532182</v>
      </c>
      <c r="K61" s="634">
        <v>13.7520884716</v>
      </c>
      <c r="L61" s="634">
        <v>965.63403719400003</v>
      </c>
      <c r="M61">
        <v>3</v>
      </c>
      <c r="N61" s="645">
        <f t="shared" si="0"/>
        <v>7532.0518719169013</v>
      </c>
      <c r="O61" s="645">
        <f t="shared" ca="1" si="3"/>
        <v>306.73233204172448</v>
      </c>
      <c r="P61" s="624"/>
      <c r="Q61" s="634">
        <f t="shared" si="6"/>
        <v>-282.83726999999999</v>
      </c>
      <c r="R61" s="645">
        <f t="shared" si="4"/>
        <v>12867.3679746096</v>
      </c>
      <c r="S61" s="645">
        <f t="shared" si="5"/>
        <v>15440.84156953152</v>
      </c>
      <c r="T61" s="645">
        <f t="shared" si="7"/>
        <v>-350.62821880639967</v>
      </c>
      <c r="U61" s="645">
        <f t="shared" si="8"/>
        <v>-456.29367596768134</v>
      </c>
      <c r="V61" s="634"/>
      <c r="W61" s="634"/>
      <c r="X61" s="634"/>
      <c r="Y61" s="634"/>
      <c r="Z61" s="634"/>
      <c r="AA61" s="624"/>
      <c r="AB61" s="624"/>
      <c r="AC61" s="624"/>
      <c r="AD61" s="624"/>
    </row>
    <row r="62" spans="1:30" ht="15">
      <c r="A62" t="s">
        <v>29</v>
      </c>
      <c r="B62" t="s">
        <v>240</v>
      </c>
      <c r="C62" t="s">
        <v>99</v>
      </c>
      <c r="D62">
        <v>4</v>
      </c>
      <c r="E62" s="634">
        <v>2072.1049619999999</v>
      </c>
      <c r="F62" s="634">
        <v>996.9050201</v>
      </c>
      <c r="G62" s="634">
        <f t="shared" si="1"/>
        <v>11102.884898</v>
      </c>
      <c r="H62" s="634">
        <v>13174.98986</v>
      </c>
      <c r="I62" s="640">
        <v>4.1658704130000004</v>
      </c>
      <c r="J62" s="634">
        <v>17.69532182</v>
      </c>
      <c r="K62" s="634">
        <v>15.8326040258</v>
      </c>
      <c r="L62" s="634">
        <v>975.22591011500003</v>
      </c>
      <c r="M62">
        <v>4</v>
      </c>
      <c r="N62" s="645">
        <f>F62/$O$297</f>
        <v>7455.1172153022717</v>
      </c>
      <c r="O62" s="645">
        <f t="shared" ca="1" si="3"/>
        <v>383.66698865635408</v>
      </c>
      <c r="P62" s="624"/>
      <c r="Q62" s="634">
        <f t="shared" si="6"/>
        <v>-360.24933000000055</v>
      </c>
      <c r="R62" s="645">
        <f t="shared" si="4"/>
        <v>12737.229554985601</v>
      </c>
      <c r="S62" s="645">
        <f t="shared" si="5"/>
        <v>15284.67546598272</v>
      </c>
      <c r="T62" s="645">
        <f t="shared" si="7"/>
        <v>-444.73865343040052</v>
      </c>
      <c r="U62" s="645">
        <f t="shared" si="8"/>
        <v>-576.43179451648029</v>
      </c>
      <c r="V62" s="634"/>
      <c r="W62" s="634"/>
      <c r="X62" s="634"/>
      <c r="Y62" s="634"/>
      <c r="Z62" s="634"/>
      <c r="AA62" s="624"/>
      <c r="AB62" s="624"/>
      <c r="AC62" s="624"/>
      <c r="AD62" s="624"/>
    </row>
    <row r="63" spans="1:30" ht="15">
      <c r="A63" t="s">
        <v>29</v>
      </c>
      <c r="B63" t="s">
        <v>240</v>
      </c>
      <c r="C63" t="s">
        <v>99</v>
      </c>
      <c r="D63">
        <v>5</v>
      </c>
      <c r="E63" s="634">
        <v>2148.7399369999998</v>
      </c>
      <c r="F63" s="634">
        <v>993.9853445</v>
      </c>
      <c r="G63" s="634">
        <f t="shared" si="1"/>
        <v>11071.263552999999</v>
      </c>
      <c r="H63" s="634">
        <v>13220.003489999999</v>
      </c>
      <c r="I63" s="640">
        <v>5.354864536</v>
      </c>
      <c r="J63" s="634">
        <v>17.69532182</v>
      </c>
      <c r="K63" s="634">
        <v>22.277030790000001</v>
      </c>
      <c r="L63" s="634">
        <v>667.54232677100003</v>
      </c>
      <c r="M63">
        <v>5</v>
      </c>
      <c r="N63" s="645">
        <f t="shared" si="0"/>
        <v>7433.2831153731986</v>
      </c>
      <c r="O63" s="645">
        <f t="shared" ca="1" si="3"/>
        <v>405.50108858542717</v>
      </c>
      <c r="P63" s="624"/>
      <c r="Q63" s="634">
        <f t="shared" si="6"/>
        <v>-315.23570000000109</v>
      </c>
      <c r="R63" s="645">
        <f t="shared" si="4"/>
        <v>12700.953548001598</v>
      </c>
      <c r="S63" s="645">
        <f t="shared" si="5"/>
        <v>15241.144257601918</v>
      </c>
      <c r="T63" s="645">
        <f t="shared" si="7"/>
        <v>-404.37968541440205</v>
      </c>
      <c r="U63" s="645">
        <f t="shared" si="8"/>
        <v>-543.32802789728521</v>
      </c>
      <c r="V63" s="634"/>
      <c r="W63" s="634"/>
      <c r="X63" s="634"/>
      <c r="Y63" s="634"/>
      <c r="Z63" s="634"/>
      <c r="AA63" s="624"/>
      <c r="AB63" s="624"/>
      <c r="AC63" s="624"/>
      <c r="AD63" s="624"/>
    </row>
    <row r="64" spans="1:30" ht="15">
      <c r="A64" t="s">
        <v>29</v>
      </c>
      <c r="B64" t="s">
        <v>240</v>
      </c>
      <c r="C64" t="s">
        <v>99</v>
      </c>
      <c r="D64">
        <v>6</v>
      </c>
      <c r="E64" s="634">
        <v>2342.2041170000002</v>
      </c>
      <c r="F64" s="634">
        <v>941.98910650000005</v>
      </c>
      <c r="G64" s="634">
        <f t="shared" si="1"/>
        <v>10492.141323</v>
      </c>
      <c r="H64" s="634">
        <v>12834.345439999999</v>
      </c>
      <c r="I64" s="640">
        <v>4.5549355020000002</v>
      </c>
      <c r="J64" s="634">
        <v>17.69532182</v>
      </c>
      <c r="K64" s="634">
        <v>29.700055692599999</v>
      </c>
      <c r="L64" s="634">
        <v>947.21075467699995</v>
      </c>
      <c r="M64">
        <v>6</v>
      </c>
      <c r="N64" s="645">
        <f t="shared" si="0"/>
        <v>7044.4416096840514</v>
      </c>
      <c r="O64" s="645">
        <f t="shared" ca="1" si="3"/>
        <v>794.34259427457437</v>
      </c>
      <c r="P64" s="624"/>
      <c r="Q64" s="634">
        <f t="shared" si="6"/>
        <v>-700.89375000000109</v>
      </c>
      <c r="R64" s="645">
        <f t="shared" si="4"/>
        <v>12036.5845257456</v>
      </c>
      <c r="S64" s="645">
        <f t="shared" si="5"/>
        <v>14443.901430894721</v>
      </c>
      <c r="T64" s="645">
        <f t="shared" si="7"/>
        <v>-875.28452767040108</v>
      </c>
      <c r="U64" s="645">
        <f t="shared" si="8"/>
        <v>-1147.1066746044817</v>
      </c>
      <c r="V64" s="634"/>
      <c r="W64" s="634"/>
      <c r="X64" s="634"/>
      <c r="Y64" s="634"/>
      <c r="Z64" s="634"/>
      <c r="AA64" s="624"/>
      <c r="AB64" s="624"/>
      <c r="AC64" s="624"/>
      <c r="AD64" s="624"/>
    </row>
    <row r="65" spans="1:30" ht="15">
      <c r="A65" s="551" t="s">
        <v>29</v>
      </c>
      <c r="B65" s="551" t="s">
        <v>503</v>
      </c>
      <c r="C65" s="551" t="s">
        <v>497</v>
      </c>
      <c r="D65" s="551">
        <v>0</v>
      </c>
      <c r="E65" s="635">
        <v>2265.1484550599998</v>
      </c>
      <c r="F65" s="635">
        <v>2644.9327194500001</v>
      </c>
      <c r="G65" s="634">
        <f t="shared" si="1"/>
        <v>34163.760464439998</v>
      </c>
      <c r="H65" s="635">
        <v>36428.908919499998</v>
      </c>
      <c r="I65" s="641" t="s">
        <v>476</v>
      </c>
      <c r="J65" s="635">
        <v>19.569830192400001</v>
      </c>
      <c r="K65" s="635"/>
      <c r="L65" s="635"/>
      <c r="M65" s="551">
        <v>0</v>
      </c>
      <c r="N65" s="645">
        <f t="shared" si="0"/>
        <v>19779.500606898338</v>
      </c>
      <c r="O65" s="645">
        <f t="shared" ca="1" si="3"/>
        <v>0</v>
      </c>
      <c r="P65" s="625"/>
      <c r="Q65" s="625"/>
      <c r="R65" s="625"/>
      <c r="S65" s="625"/>
      <c r="T65" s="625"/>
      <c r="U65" s="625"/>
      <c r="V65" s="625"/>
      <c r="W65" s="625"/>
      <c r="X65" s="625"/>
      <c r="Y65" s="625"/>
      <c r="Z65" s="625"/>
      <c r="AA65" s="625"/>
      <c r="AB65" s="624"/>
      <c r="AC65" s="624"/>
      <c r="AD65" s="624"/>
    </row>
    <row r="66" spans="1:30" ht="15">
      <c r="A66" s="551" t="s">
        <v>29</v>
      </c>
      <c r="B66" s="551" t="s">
        <v>503</v>
      </c>
      <c r="C66" s="551" t="s">
        <v>497</v>
      </c>
      <c r="D66" s="551">
        <v>1</v>
      </c>
      <c r="E66" s="635">
        <v>2358.5113126900001</v>
      </c>
      <c r="F66" s="635">
        <v>2621.2074374099998</v>
      </c>
      <c r="G66" s="634">
        <f t="shared" si="1"/>
        <v>33885.677730209994</v>
      </c>
      <c r="H66" s="635">
        <v>36244.189042899998</v>
      </c>
      <c r="I66" s="641">
        <v>3.9014985725062798</v>
      </c>
      <c r="J66" s="635">
        <v>19.569830192400001</v>
      </c>
      <c r="K66" s="635">
        <v>7.4817054219800001</v>
      </c>
      <c r="L66" s="635">
        <v>1217.6924174200001</v>
      </c>
      <c r="M66" s="551">
        <v>1</v>
      </c>
      <c r="N66" s="645">
        <f t="shared" si="0"/>
        <v>19602.076724975701</v>
      </c>
      <c r="O66" s="645">
        <f t="shared" ca="1" si="3"/>
        <v>177.42388192263752</v>
      </c>
      <c r="P66" s="625"/>
      <c r="Q66" s="625"/>
      <c r="R66" s="625"/>
      <c r="S66" s="625"/>
      <c r="T66" s="625"/>
      <c r="U66" s="625"/>
      <c r="V66" s="625"/>
      <c r="W66" s="625"/>
      <c r="X66" s="625"/>
      <c r="Y66" s="625"/>
      <c r="Z66" s="625"/>
      <c r="AA66" s="625"/>
      <c r="AB66" s="624"/>
      <c r="AC66" s="624"/>
      <c r="AD66" s="624"/>
    </row>
    <row r="67" spans="1:30" ht="15">
      <c r="A67" s="551" t="s">
        <v>29</v>
      </c>
      <c r="B67" s="551" t="s">
        <v>503</v>
      </c>
      <c r="C67" s="551" t="s">
        <v>497</v>
      </c>
      <c r="D67" s="551">
        <v>2</v>
      </c>
      <c r="E67" s="635">
        <v>2379.0138996400001</v>
      </c>
      <c r="F67" s="635">
        <v>2616.9643314599998</v>
      </c>
      <c r="G67" s="634">
        <f t="shared" ref="G67:G130" si="9">H67-E67</f>
        <v>33832.33696986</v>
      </c>
      <c r="H67" s="635">
        <v>36211.350869499998</v>
      </c>
      <c r="I67" s="641">
        <v>4.0155581103088203</v>
      </c>
      <c r="J67" s="635">
        <v>19.569830192400001</v>
      </c>
      <c r="K67" s="635">
        <v>8.5101573757499995</v>
      </c>
      <c r="L67" s="635">
        <v>1148.7441537100001</v>
      </c>
      <c r="M67" s="551">
        <v>2</v>
      </c>
      <c r="N67" s="645">
        <f t="shared" ref="N67:N74" si="10">F67/$O$297</f>
        <v>19570.345665771059</v>
      </c>
      <c r="O67" s="645">
        <f t="shared" ca="1" si="3"/>
        <v>209.15494112727902</v>
      </c>
      <c r="P67" s="625"/>
      <c r="Q67" s="625"/>
      <c r="R67" s="625"/>
      <c r="S67" s="625"/>
      <c r="T67" s="625"/>
      <c r="U67" s="625"/>
      <c r="V67" s="625"/>
      <c r="W67" s="625"/>
      <c r="X67" s="625"/>
      <c r="Y67" s="625"/>
      <c r="Z67" s="625"/>
      <c r="AA67" s="625"/>
      <c r="AB67" s="624"/>
      <c r="AC67" s="624"/>
      <c r="AD67" s="624"/>
    </row>
    <row r="68" spans="1:30" ht="15">
      <c r="A68" s="551" t="s">
        <v>29</v>
      </c>
      <c r="B68" s="551" t="s">
        <v>503</v>
      </c>
      <c r="C68" s="551" t="s">
        <v>497</v>
      </c>
      <c r="D68" s="551">
        <v>3</v>
      </c>
      <c r="E68" s="635">
        <v>2400.7909323899999</v>
      </c>
      <c r="F68" s="635">
        <v>2603.0652068700001</v>
      </c>
      <c r="G68" s="634">
        <f t="shared" si="9"/>
        <v>33670.456434209998</v>
      </c>
      <c r="H68" s="635">
        <v>36071.247366600001</v>
      </c>
      <c r="I68" s="641">
        <v>3.1975843676614</v>
      </c>
      <c r="J68" s="635">
        <v>19.569830192400001</v>
      </c>
      <c r="K68" s="635">
        <v>10.318424547199999</v>
      </c>
      <c r="L68" s="635">
        <v>1494.3590295700001</v>
      </c>
      <c r="M68" s="551">
        <v>3</v>
      </c>
      <c r="N68" s="645">
        <f t="shared" si="10"/>
        <v>19466.404366530591</v>
      </c>
      <c r="O68" s="645">
        <f t="shared" ca="1" si="3"/>
        <v>313.09624036774767</v>
      </c>
      <c r="P68" s="625"/>
      <c r="Q68" s="625"/>
      <c r="R68" s="625"/>
      <c r="S68" s="625"/>
      <c r="T68" s="625"/>
      <c r="U68" s="625"/>
      <c r="V68" s="625"/>
      <c r="W68" s="625"/>
      <c r="X68" s="625"/>
      <c r="Y68" s="625"/>
      <c r="Z68" s="625"/>
      <c r="AA68" s="625"/>
      <c r="AB68" s="624"/>
      <c r="AC68" s="624"/>
      <c r="AD68" s="624"/>
    </row>
    <row r="69" spans="1:30" ht="15">
      <c r="A69" s="551" t="s">
        <v>29</v>
      </c>
      <c r="B69" s="551" t="s">
        <v>503</v>
      </c>
      <c r="C69" s="551" t="s">
        <v>497</v>
      </c>
      <c r="D69" s="551">
        <v>4</v>
      </c>
      <c r="E69" s="635">
        <v>2431.1787231899998</v>
      </c>
      <c r="F69" s="635">
        <v>2589.2200875399999</v>
      </c>
      <c r="G69" s="634">
        <f t="shared" si="9"/>
        <v>33503.322086209999</v>
      </c>
      <c r="H69" s="635">
        <v>35934.5008094</v>
      </c>
      <c r="I69" s="641">
        <v>2.9209368039314998</v>
      </c>
      <c r="J69" s="635">
        <v>19.569830192400001</v>
      </c>
      <c r="K69" s="635">
        <v>12.132342553599999</v>
      </c>
      <c r="L69" s="635">
        <v>1611.43624993</v>
      </c>
      <c r="M69" s="551">
        <v>4</v>
      </c>
      <c r="N69" s="645">
        <f t="shared" si="10"/>
        <v>19362.866932789268</v>
      </c>
      <c r="O69" s="645">
        <f t="shared" ca="1" si="3"/>
        <v>416.63367410907085</v>
      </c>
      <c r="P69" s="625"/>
      <c r="Q69" s="625"/>
      <c r="R69" s="625"/>
      <c r="S69" s="625"/>
      <c r="T69" s="625"/>
      <c r="U69" s="625"/>
      <c r="V69" s="625"/>
      <c r="W69" s="625"/>
      <c r="X69" s="625"/>
      <c r="Y69" s="625"/>
      <c r="Z69" s="625"/>
      <c r="AA69" s="625"/>
      <c r="AB69" s="624"/>
      <c r="AC69" s="624"/>
      <c r="AD69" s="624"/>
    </row>
    <row r="70" spans="1:30" ht="15">
      <c r="A70" s="551" t="s">
        <v>29</v>
      </c>
      <c r="B70" s="551" t="s">
        <v>503</v>
      </c>
      <c r="C70" s="551" t="s">
        <v>497</v>
      </c>
      <c r="D70" s="551">
        <v>5</v>
      </c>
      <c r="E70" s="635">
        <v>2494.5010485100001</v>
      </c>
      <c r="F70" s="635">
        <v>2578.5475651299998</v>
      </c>
      <c r="G70" s="634">
        <f t="shared" si="9"/>
        <v>33368.210295490004</v>
      </c>
      <c r="H70" s="635">
        <v>35862.711344000003</v>
      </c>
      <c r="I70" s="641">
        <v>3.3752118592539899</v>
      </c>
      <c r="J70" s="635">
        <v>19.569830192400001</v>
      </c>
      <c r="K70" s="635">
        <v>17.0372672562</v>
      </c>
      <c r="L70" s="635">
        <v>1420.8331528599999</v>
      </c>
      <c r="M70" s="551">
        <v>5</v>
      </c>
      <c r="N70" s="645">
        <f t="shared" si="10"/>
        <v>19283.055010945889</v>
      </c>
      <c r="O70" s="645">
        <f t="shared" ca="1" si="3"/>
        <v>496.44559595244937</v>
      </c>
      <c r="P70" s="625"/>
      <c r="Q70" s="625"/>
      <c r="R70" s="625"/>
      <c r="S70" s="625"/>
      <c r="T70" s="625"/>
      <c r="U70" s="625"/>
      <c r="V70" s="625"/>
      <c r="W70" s="625"/>
      <c r="X70" s="625"/>
      <c r="Y70" s="625"/>
      <c r="Z70" s="625"/>
      <c r="AA70" s="625"/>
      <c r="AB70" s="624"/>
      <c r="AC70" s="624"/>
      <c r="AD70" s="624"/>
    </row>
    <row r="71" spans="1:30" ht="15">
      <c r="A71" s="551" t="s">
        <v>29</v>
      </c>
      <c r="B71" s="551" t="s">
        <v>503</v>
      </c>
      <c r="C71" s="551" t="s">
        <v>497</v>
      </c>
      <c r="D71" s="551">
        <v>6</v>
      </c>
      <c r="E71" s="635">
        <v>2676.6487480599999</v>
      </c>
      <c r="F71" s="635">
        <v>2466.5176485100001</v>
      </c>
      <c r="G71" s="634">
        <f t="shared" si="9"/>
        <v>31930.28550324</v>
      </c>
      <c r="H71" s="635">
        <v>34606.934251300001</v>
      </c>
      <c r="I71" s="641">
        <v>2.1973726413047401</v>
      </c>
      <c r="J71" s="635">
        <v>19.569830192400001</v>
      </c>
      <c r="K71" s="635">
        <v>24.250558019900001</v>
      </c>
      <c r="L71" s="635">
        <v>2560.4585837300001</v>
      </c>
      <c r="M71" s="551">
        <v>6</v>
      </c>
      <c r="N71" s="645">
        <f t="shared" si="10"/>
        <v>18445.265910496924</v>
      </c>
      <c r="O71" s="645">
        <f t="shared" ca="1" si="3"/>
        <v>1334.2346964014141</v>
      </c>
      <c r="P71" s="625"/>
      <c r="Q71" s="625"/>
      <c r="R71" s="625"/>
      <c r="S71" s="625"/>
      <c r="T71" s="625"/>
      <c r="U71" s="625"/>
      <c r="V71" s="625"/>
      <c r="W71" s="625"/>
      <c r="X71" s="625"/>
      <c r="Y71" s="625"/>
      <c r="Z71" s="625"/>
      <c r="AA71" s="625"/>
      <c r="AB71" s="624"/>
      <c r="AC71" s="624"/>
      <c r="AD71" s="624"/>
    </row>
    <row r="72" spans="1:30" ht="15">
      <c r="A72" s="551" t="s">
        <v>29</v>
      </c>
      <c r="B72" s="551" t="s">
        <v>503</v>
      </c>
      <c r="C72" s="551" t="s">
        <v>499</v>
      </c>
      <c r="D72" s="551">
        <v>0</v>
      </c>
      <c r="E72" s="635">
        <v>3262.2618590000002</v>
      </c>
      <c r="F72" s="635">
        <v>6558.9681069999997</v>
      </c>
      <c r="G72" s="634">
        <f t="shared" si="9"/>
        <v>90664.671160999991</v>
      </c>
      <c r="H72" s="635">
        <v>93926.933019999997</v>
      </c>
      <c r="I72" s="641" t="s">
        <v>476</v>
      </c>
      <c r="J72" s="635">
        <v>27.40633837</v>
      </c>
      <c r="K72" s="635"/>
      <c r="L72" s="635"/>
      <c r="M72" s="551">
        <v>0</v>
      </c>
      <c r="N72" s="645">
        <f t="shared" si="10"/>
        <v>49049.68383468395</v>
      </c>
      <c r="O72" s="645">
        <f t="shared" ca="1" si="3"/>
        <v>0</v>
      </c>
      <c r="P72" s="625"/>
      <c r="Q72" s="625"/>
      <c r="R72" s="625"/>
      <c r="S72" s="625"/>
      <c r="T72" s="625"/>
      <c r="U72" s="625"/>
      <c r="V72" s="625"/>
      <c r="W72" s="625"/>
      <c r="X72" s="625"/>
      <c r="Y72" s="625"/>
      <c r="Z72" s="625"/>
      <c r="AA72" s="625"/>
      <c r="AB72" s="624"/>
      <c r="AC72" s="624"/>
      <c r="AD72" s="624"/>
    </row>
    <row r="73" spans="1:30" ht="15">
      <c r="A73" s="551" t="s">
        <v>29</v>
      </c>
      <c r="B73" s="551" t="s">
        <v>503</v>
      </c>
      <c r="C73" s="551" t="s">
        <v>499</v>
      </c>
      <c r="D73" s="551">
        <v>1</v>
      </c>
      <c r="E73" s="635">
        <v>3281.3430520000002</v>
      </c>
      <c r="F73" s="635">
        <v>6535.8161110000001</v>
      </c>
      <c r="G73" s="634">
        <f t="shared" si="9"/>
        <v>90333.344228000002</v>
      </c>
      <c r="H73" s="635">
        <v>93614.687279999998</v>
      </c>
      <c r="I73" s="641">
        <v>0.80004351100000004</v>
      </c>
      <c r="J73" s="635">
        <v>27.40633837</v>
      </c>
      <c r="K73" s="635">
        <v>0.85811799122400001</v>
      </c>
      <c r="L73" s="635">
        <v>5148.0386939299997</v>
      </c>
      <c r="M73" s="551">
        <v>1</v>
      </c>
      <c r="N73" s="645">
        <f t="shared" si="10"/>
        <v>48876.547136133784</v>
      </c>
      <c r="O73" s="645">
        <f t="shared" ca="1" si="3"/>
        <v>173.13669855016633</v>
      </c>
      <c r="P73" s="625"/>
      <c r="Q73" s="625"/>
      <c r="R73" s="625"/>
      <c r="S73" s="625"/>
      <c r="T73" s="625"/>
      <c r="U73" s="625"/>
      <c r="V73" s="625"/>
      <c r="W73" s="625"/>
      <c r="X73" s="625"/>
      <c r="Y73" s="625"/>
      <c r="Z73" s="625"/>
      <c r="AA73" s="625"/>
      <c r="AB73" s="624"/>
      <c r="AC73" s="624"/>
      <c r="AD73" s="624"/>
    </row>
    <row r="74" spans="1:30" ht="15">
      <c r="A74" s="551" t="s">
        <v>29</v>
      </c>
      <c r="B74" s="551" t="s">
        <v>503</v>
      </c>
      <c r="C74" s="551" t="s">
        <v>499</v>
      </c>
      <c r="D74" s="551">
        <v>2</v>
      </c>
      <c r="E74" s="635">
        <v>3287.0706359999999</v>
      </c>
      <c r="F74" s="635">
        <v>6527.4637549999998</v>
      </c>
      <c r="G74" s="634">
        <f t="shared" si="9"/>
        <v>90213.15798399999</v>
      </c>
      <c r="H74" s="635">
        <v>93500.228619999994</v>
      </c>
      <c r="I74" s="641">
        <v>0.75817767599999997</v>
      </c>
      <c r="J74" s="635">
        <v>27.40633837</v>
      </c>
      <c r="K74" s="635">
        <v>1.1506582155</v>
      </c>
      <c r="L74" s="635">
        <v>5395.6272300000001</v>
      </c>
      <c r="M74" s="551">
        <v>2</v>
      </c>
      <c r="N74" s="645">
        <f t="shared" si="10"/>
        <v>48814.086027253332</v>
      </c>
      <c r="O74" s="645">
        <f t="shared" ca="1" si="3"/>
        <v>235.59780743061856</v>
      </c>
      <c r="P74" s="625"/>
      <c r="Q74" s="625"/>
      <c r="R74" s="625"/>
      <c r="S74" s="625"/>
      <c r="T74" s="625"/>
      <c r="U74" s="625"/>
      <c r="V74" s="625"/>
      <c r="W74" s="625"/>
      <c r="X74" s="625"/>
      <c r="Y74" s="625"/>
      <c r="Z74" s="625"/>
      <c r="AA74" s="625"/>
      <c r="AB74" s="624"/>
      <c r="AC74" s="624"/>
      <c r="AD74" s="624"/>
    </row>
    <row r="75" spans="1:30" ht="15">
      <c r="A75" s="551" t="s">
        <v>29</v>
      </c>
      <c r="B75" s="551" t="s">
        <v>503</v>
      </c>
      <c r="C75" s="551" t="s">
        <v>499</v>
      </c>
      <c r="D75" s="551">
        <v>3</v>
      </c>
      <c r="E75" s="635">
        <v>3294.8113530000001</v>
      </c>
      <c r="F75" s="635">
        <v>6515.0145730000004</v>
      </c>
      <c r="G75" s="634">
        <f t="shared" si="9"/>
        <v>90022.474606999996</v>
      </c>
      <c r="H75" s="635">
        <v>93317.285959999994</v>
      </c>
      <c r="I75" s="641">
        <v>0.71130855199999998</v>
      </c>
      <c r="J75" s="635">
        <v>27.40633837</v>
      </c>
      <c r="K75" s="635">
        <v>1.7747440272999999</v>
      </c>
      <c r="L75" s="635">
        <v>5642.5366541800004</v>
      </c>
      <c r="M75" s="551">
        <v>3</v>
      </c>
      <c r="N75" s="645">
        <f>F75/$O$297</f>
        <v>48720.98777900164</v>
      </c>
      <c r="O75" s="645">
        <f t="shared" ref="O75:O138" ca="1" si="11">OFFSET(M75,-M75,1)-N75</f>
        <v>328.69605568231054</v>
      </c>
      <c r="P75" s="625"/>
      <c r="Q75" s="625"/>
      <c r="R75" s="625"/>
      <c r="S75" s="625"/>
      <c r="T75" s="625"/>
      <c r="U75" s="625"/>
      <c r="V75" s="625"/>
      <c r="W75" s="625"/>
      <c r="X75" s="625"/>
      <c r="Y75" s="625"/>
      <c r="Z75" s="625"/>
      <c r="AA75" s="625"/>
      <c r="AB75" s="624"/>
      <c r="AC75" s="624"/>
      <c r="AD75" s="624"/>
    </row>
    <row r="76" spans="1:30" ht="15">
      <c r="A76" s="551" t="s">
        <v>29</v>
      </c>
      <c r="B76" s="551" t="s">
        <v>503</v>
      </c>
      <c r="C76" s="551" t="s">
        <v>499</v>
      </c>
      <c r="D76" s="551">
        <v>4</v>
      </c>
      <c r="E76" s="635">
        <v>3311.37338</v>
      </c>
      <c r="F76" s="635">
        <v>6492.4493579999998</v>
      </c>
      <c r="G76" s="634">
        <f t="shared" si="9"/>
        <v>89707.046219999989</v>
      </c>
      <c r="H76" s="635">
        <v>93018.419599999994</v>
      </c>
      <c r="I76" s="641">
        <v>0.70097808800000005</v>
      </c>
      <c r="J76" s="635">
        <v>27.40633837</v>
      </c>
      <c r="K76" s="635">
        <v>2.4183325207199999</v>
      </c>
      <c r="L76" s="635">
        <v>5922.9530378400004</v>
      </c>
      <c r="M76" s="551">
        <v>4</v>
      </c>
      <c r="N76" s="645">
        <f t="shared" ref="N76:N87" si="12">F76/$O$297</f>
        <v>48552.239182674348</v>
      </c>
      <c r="O76" s="645">
        <f t="shared" ca="1" si="11"/>
        <v>497.44465200960258</v>
      </c>
      <c r="P76" s="625"/>
      <c r="Q76" s="625"/>
      <c r="R76" s="625"/>
      <c r="S76" s="625"/>
      <c r="T76" s="625"/>
      <c r="U76" s="625"/>
      <c r="V76" s="625"/>
      <c r="W76" s="625"/>
      <c r="X76" s="625"/>
      <c r="Y76" s="625"/>
      <c r="Z76" s="625"/>
      <c r="AA76" s="625"/>
      <c r="AB76" s="624"/>
      <c r="AC76" s="624"/>
      <c r="AD76" s="624"/>
    </row>
    <row r="77" spans="1:30" ht="15">
      <c r="A77" s="551" t="s">
        <v>29</v>
      </c>
      <c r="B77" s="551" t="s">
        <v>503</v>
      </c>
      <c r="C77" s="551" t="s">
        <v>499</v>
      </c>
      <c r="D77" s="551">
        <v>5</v>
      </c>
      <c r="E77" s="635">
        <v>3342.0625140000002</v>
      </c>
      <c r="F77" s="635">
        <v>6462.772344</v>
      </c>
      <c r="G77" s="634">
        <f t="shared" si="9"/>
        <v>89316.811075999998</v>
      </c>
      <c r="H77" s="635">
        <v>92658.873590000003</v>
      </c>
      <c r="I77" s="641">
        <v>0.79199791500000005</v>
      </c>
      <c r="J77" s="635">
        <v>27.40633837</v>
      </c>
      <c r="K77" s="635">
        <v>2.9156509019999999</v>
      </c>
      <c r="L77" s="635">
        <v>5823.5331493000003</v>
      </c>
      <c r="M77" s="551">
        <v>5</v>
      </c>
      <c r="N77" s="645">
        <f t="shared" si="12"/>
        <v>48330.306688094301</v>
      </c>
      <c r="O77" s="645">
        <f t="shared" ca="1" si="11"/>
        <v>719.37714658964978</v>
      </c>
      <c r="P77" s="625"/>
      <c r="Q77" s="625"/>
      <c r="R77" s="625"/>
      <c r="S77" s="625"/>
      <c r="T77" s="625"/>
      <c r="U77" s="625"/>
      <c r="V77" s="625"/>
      <c r="W77" s="625"/>
      <c r="X77" s="625"/>
      <c r="Y77" s="625"/>
      <c r="Z77" s="625"/>
      <c r="AA77" s="625"/>
      <c r="AB77" s="624"/>
      <c r="AC77" s="624"/>
      <c r="AD77" s="624"/>
    </row>
    <row r="78" spans="1:30" ht="15">
      <c r="A78" s="551" t="s">
        <v>29</v>
      </c>
      <c r="B78" s="551" t="s">
        <v>503</v>
      </c>
      <c r="C78" s="551" t="s">
        <v>499</v>
      </c>
      <c r="D78" s="551">
        <v>6</v>
      </c>
      <c r="E78" s="635">
        <v>3496.4702139999999</v>
      </c>
      <c r="F78" s="635">
        <v>6203.5823479999999</v>
      </c>
      <c r="G78" s="634">
        <f t="shared" si="9"/>
        <v>85661.942066000003</v>
      </c>
      <c r="H78" s="635">
        <v>89158.412280000004</v>
      </c>
      <c r="I78" s="641">
        <v>0.61464638699999996</v>
      </c>
      <c r="J78" s="635">
        <v>27.40633837</v>
      </c>
      <c r="K78" s="635">
        <v>8.2008776206699991</v>
      </c>
      <c r="L78" s="635">
        <v>7427.2752480500003</v>
      </c>
      <c r="M78" s="551">
        <v>6</v>
      </c>
      <c r="N78" s="645">
        <f t="shared" si="12"/>
        <v>46392.01591590028</v>
      </c>
      <c r="O78" s="645">
        <f t="shared" ca="1" si="11"/>
        <v>2657.6679187836708</v>
      </c>
      <c r="P78" s="625"/>
      <c r="Q78" s="625"/>
      <c r="R78" s="625"/>
      <c r="S78" s="625"/>
      <c r="T78" s="625"/>
      <c r="U78" s="625"/>
      <c r="V78" s="625"/>
      <c r="W78" s="625"/>
      <c r="X78" s="625"/>
      <c r="Y78" s="625"/>
      <c r="Z78" s="625"/>
      <c r="AA78" s="625"/>
      <c r="AB78" s="624"/>
      <c r="AC78" s="624"/>
      <c r="AD78" s="624"/>
    </row>
    <row r="79" spans="1:30" s="551" customFormat="1" ht="15">
      <c r="A79" s="551" t="s">
        <v>29</v>
      </c>
      <c r="B79" s="551" t="s">
        <v>503</v>
      </c>
      <c r="C79" s="551" t="s">
        <v>99</v>
      </c>
      <c r="D79" s="551">
        <v>0</v>
      </c>
      <c r="E79" s="635">
        <v>1858.3779099999999</v>
      </c>
      <c r="F79" s="635">
        <v>1048.2093170000001</v>
      </c>
      <c r="G79" s="634">
        <f t="shared" si="9"/>
        <v>11069.775561600001</v>
      </c>
      <c r="H79" s="635">
        <v>12928.153471600001</v>
      </c>
      <c r="I79" s="641" t="s">
        <v>476</v>
      </c>
      <c r="J79" s="635">
        <v>16.385034609000002</v>
      </c>
      <c r="K79" s="635"/>
      <c r="L79" s="635"/>
      <c r="M79" s="551">
        <v>0</v>
      </c>
      <c r="N79" s="645">
        <f t="shared" si="12"/>
        <v>7838.7842039586258</v>
      </c>
      <c r="O79" s="645">
        <f t="shared" ca="1" si="11"/>
        <v>0</v>
      </c>
      <c r="P79" s="625"/>
      <c r="Q79" s="625"/>
      <c r="R79" s="625"/>
      <c r="S79" s="625"/>
      <c r="T79" s="625"/>
      <c r="U79" s="625"/>
      <c r="V79" s="625"/>
      <c r="W79" s="625"/>
      <c r="X79" s="625"/>
      <c r="Y79" s="625"/>
      <c r="Z79" s="625"/>
      <c r="AA79" s="625"/>
      <c r="AB79" s="624"/>
      <c r="AC79" s="624"/>
      <c r="AD79" s="624"/>
    </row>
    <row r="80" spans="1:30" s="551" customFormat="1" ht="15">
      <c r="A80" s="551" t="s">
        <v>29</v>
      </c>
      <c r="B80" s="551" t="s">
        <v>503</v>
      </c>
      <c r="C80" s="551" t="s">
        <v>99</v>
      </c>
      <c r="D80" s="551">
        <v>1</v>
      </c>
      <c r="E80" s="635">
        <v>1982.0438340000001</v>
      </c>
      <c r="F80" s="635">
        <v>1024.250164</v>
      </c>
      <c r="G80" s="634">
        <f t="shared" si="9"/>
        <v>10813.327291699999</v>
      </c>
      <c r="H80" s="635">
        <v>12795.3711257</v>
      </c>
      <c r="I80" s="641">
        <v>5.1615314472544904</v>
      </c>
      <c r="J80" s="635">
        <v>16.385034609000002</v>
      </c>
      <c r="K80" s="635">
        <v>10.183785503999999</v>
      </c>
      <c r="L80" s="635">
        <v>703.15622754200001</v>
      </c>
      <c r="M80" s="551">
        <v>1</v>
      </c>
      <c r="N80" s="645">
        <f t="shared" si="12"/>
        <v>7659.6113736558518</v>
      </c>
      <c r="O80" s="645">
        <f t="shared" ca="1" si="11"/>
        <v>179.17283030277395</v>
      </c>
      <c r="P80" s="625"/>
      <c r="Q80" s="625"/>
      <c r="R80" s="625"/>
      <c r="S80" s="625"/>
      <c r="T80" s="625"/>
      <c r="U80" s="625"/>
      <c r="V80" s="625"/>
      <c r="W80" s="625"/>
      <c r="X80" s="625"/>
      <c r="Y80" s="625"/>
      <c r="Z80" s="625"/>
      <c r="AA80" s="625"/>
      <c r="AB80" s="624"/>
      <c r="AC80" s="624"/>
      <c r="AD80" s="624"/>
    </row>
    <row r="81" spans="1:30" s="551" customFormat="1" ht="15">
      <c r="A81" s="551" t="s">
        <v>29</v>
      </c>
      <c r="B81" s="551" t="s">
        <v>503</v>
      </c>
      <c r="C81" s="551" t="s">
        <v>99</v>
      </c>
      <c r="D81" s="551">
        <v>2</v>
      </c>
      <c r="E81" s="635">
        <v>2008.573856</v>
      </c>
      <c r="F81" s="635">
        <v>1021.683419</v>
      </c>
      <c r="G81" s="634">
        <f t="shared" si="9"/>
        <v>10787.0432057</v>
      </c>
      <c r="H81" s="635">
        <v>12795.617061700001</v>
      </c>
      <c r="I81" s="641">
        <v>5.6622378767892299</v>
      </c>
      <c r="J81" s="635">
        <v>16.385034609000002</v>
      </c>
      <c r="K81" s="635">
        <v>11.5005171454</v>
      </c>
      <c r="L81" s="635">
        <v>565.46168912400003</v>
      </c>
      <c r="M81" s="551">
        <v>2</v>
      </c>
      <c r="N81" s="645">
        <f t="shared" si="12"/>
        <v>7640.4165813226036</v>
      </c>
      <c r="O81" s="645">
        <f t="shared" ca="1" si="11"/>
        <v>198.36762263602213</v>
      </c>
      <c r="P81" s="625"/>
      <c r="Q81" s="625"/>
      <c r="R81" s="625"/>
      <c r="S81" s="625"/>
      <c r="T81" s="625"/>
      <c r="U81" s="625"/>
      <c r="V81" s="625"/>
      <c r="W81" s="625"/>
      <c r="X81" s="625"/>
      <c r="Y81" s="625"/>
      <c r="Z81" s="625"/>
      <c r="AA81" s="625"/>
      <c r="AB81" s="624"/>
      <c r="AC81" s="624"/>
      <c r="AD81" s="624"/>
    </row>
    <row r="82" spans="1:30" s="551" customFormat="1" ht="15">
      <c r="A82" s="551" t="s">
        <v>29</v>
      </c>
      <c r="B82" s="551" t="s">
        <v>503</v>
      </c>
      <c r="C82" s="551" t="s">
        <v>99</v>
      </c>
      <c r="D82" s="551">
        <v>3</v>
      </c>
      <c r="E82" s="635">
        <v>2036.0769769999999</v>
      </c>
      <c r="F82" s="635">
        <v>1007.1927920000001</v>
      </c>
      <c r="G82" s="634">
        <f t="shared" si="9"/>
        <v>10636.4407567</v>
      </c>
      <c r="H82" s="635">
        <v>12672.5177337</v>
      </c>
      <c r="I82" s="641">
        <v>4.3323774788352702</v>
      </c>
      <c r="J82" s="635">
        <v>16.385034609000002</v>
      </c>
      <c r="K82" s="635">
        <v>13.795846924999999</v>
      </c>
      <c r="L82" s="635">
        <v>872.76533743599998</v>
      </c>
      <c r="M82" s="551">
        <v>3</v>
      </c>
      <c r="N82" s="645">
        <f t="shared" si="12"/>
        <v>7532.0518719169013</v>
      </c>
      <c r="O82" s="645">
        <f t="shared" ca="1" si="11"/>
        <v>306.73233204172448</v>
      </c>
      <c r="P82" s="625"/>
      <c r="Q82" s="625"/>
      <c r="R82" s="625"/>
      <c r="S82" s="625"/>
      <c r="T82" s="625"/>
      <c r="U82" s="625"/>
      <c r="V82" s="625"/>
      <c r="W82" s="625"/>
      <c r="X82" s="625"/>
      <c r="Y82" s="625"/>
      <c r="Z82" s="625"/>
      <c r="AA82" s="625"/>
      <c r="AB82" s="624"/>
      <c r="AC82" s="624"/>
      <c r="AD82" s="624"/>
    </row>
    <row r="83" spans="1:30" s="551" customFormat="1" ht="15">
      <c r="A83" s="551" t="s">
        <v>29</v>
      </c>
      <c r="B83" s="551" t="s">
        <v>503</v>
      </c>
      <c r="C83" s="551" t="s">
        <v>99</v>
      </c>
      <c r="D83" s="551">
        <v>4</v>
      </c>
      <c r="E83" s="635">
        <v>2072.1049619999999</v>
      </c>
      <c r="F83" s="635">
        <v>996.9050201</v>
      </c>
      <c r="G83" s="634">
        <f t="shared" si="9"/>
        <v>10528.615016700001</v>
      </c>
      <c r="H83" s="635">
        <v>12600.719978700001</v>
      </c>
      <c r="I83" s="641">
        <v>4.1658704126359503</v>
      </c>
      <c r="J83" s="635">
        <v>16.385034609000002</v>
      </c>
      <c r="K83" s="635">
        <v>16.087198663399999</v>
      </c>
      <c r="L83" s="635">
        <v>886.39060361600002</v>
      </c>
      <c r="M83" s="551">
        <v>4</v>
      </c>
      <c r="N83" s="645">
        <f t="shared" si="12"/>
        <v>7455.1172153022717</v>
      </c>
      <c r="O83" s="645">
        <f t="shared" ca="1" si="11"/>
        <v>383.66698865635408</v>
      </c>
      <c r="P83" s="625"/>
      <c r="Q83" s="625"/>
      <c r="R83" s="625"/>
      <c r="S83" s="625"/>
      <c r="T83" s="625"/>
      <c r="U83" s="625"/>
      <c r="V83" s="625"/>
      <c r="W83" s="625"/>
      <c r="X83" s="625"/>
      <c r="Y83" s="625"/>
      <c r="Z83" s="625"/>
      <c r="AA83" s="625"/>
      <c r="AB83" s="624"/>
      <c r="AC83" s="624"/>
      <c r="AD83" s="624"/>
    </row>
    <row r="84" spans="1:30" s="551" customFormat="1" ht="15">
      <c r="A84" s="551" t="s">
        <v>29</v>
      </c>
      <c r="B84" s="551" t="s">
        <v>503</v>
      </c>
      <c r="C84" s="551" t="s">
        <v>99</v>
      </c>
      <c r="D84" s="551">
        <v>5</v>
      </c>
      <c r="E84" s="635">
        <v>2148.7399369999998</v>
      </c>
      <c r="F84" s="635">
        <v>993.9853445</v>
      </c>
      <c r="G84" s="634">
        <f t="shared" si="9"/>
        <v>10498.291854900001</v>
      </c>
      <c r="H84" s="635">
        <v>12647.031791900001</v>
      </c>
      <c r="I84" s="641">
        <v>5.3548645358706102</v>
      </c>
      <c r="J84" s="635">
        <v>16.385034609000002</v>
      </c>
      <c r="K84" s="635">
        <v>22.7941761477</v>
      </c>
      <c r="L84" s="635">
        <v>595.30256809900004</v>
      </c>
      <c r="M84" s="551">
        <v>5</v>
      </c>
      <c r="N84" s="645">
        <f t="shared" si="12"/>
        <v>7433.2831153731986</v>
      </c>
      <c r="O84" s="645">
        <f t="shared" ca="1" si="11"/>
        <v>405.50108858542717</v>
      </c>
      <c r="P84" s="625"/>
      <c r="Q84" s="625"/>
      <c r="R84" s="625"/>
      <c r="S84" s="625"/>
      <c r="T84" s="625"/>
      <c r="U84" s="625"/>
      <c r="V84" s="625"/>
      <c r="W84" s="625"/>
      <c r="X84" s="625"/>
      <c r="Y84" s="625"/>
      <c r="Z84" s="625"/>
      <c r="AA84" s="625"/>
      <c r="AB84" s="624"/>
      <c r="AC84" s="624"/>
      <c r="AD84" s="624"/>
    </row>
    <row r="85" spans="1:30" s="551" customFormat="1" ht="15">
      <c r="A85" s="551" t="s">
        <v>29</v>
      </c>
      <c r="B85" s="551" t="s">
        <v>503</v>
      </c>
      <c r="C85" s="551" t="s">
        <v>99</v>
      </c>
      <c r="D85" s="551">
        <v>6</v>
      </c>
      <c r="E85" s="635">
        <v>2342.2041170000002</v>
      </c>
      <c r="F85" s="635">
        <v>941.98910650000005</v>
      </c>
      <c r="G85" s="634">
        <f t="shared" si="9"/>
        <v>9952.1433810999988</v>
      </c>
      <c r="H85" s="635">
        <v>12294.3474981</v>
      </c>
      <c r="I85" s="641">
        <v>4.5549355017586901</v>
      </c>
      <c r="J85" s="635">
        <v>16.385034609000002</v>
      </c>
      <c r="K85" s="635">
        <v>30.801973108399999</v>
      </c>
      <c r="L85" s="635">
        <v>856.54612997599997</v>
      </c>
      <c r="M85" s="551">
        <v>6</v>
      </c>
      <c r="N85" s="645">
        <f t="shared" si="12"/>
        <v>7044.4416096840514</v>
      </c>
      <c r="O85" s="645">
        <f t="shared" ca="1" si="11"/>
        <v>794.34259427457437</v>
      </c>
      <c r="P85" s="625"/>
      <c r="Q85" s="625"/>
      <c r="R85" s="625"/>
      <c r="S85" s="625"/>
      <c r="T85" s="625"/>
      <c r="U85" s="625"/>
      <c r="V85" s="625"/>
      <c r="W85" s="625"/>
      <c r="X85" s="625"/>
      <c r="Y85" s="625"/>
      <c r="Z85" s="625"/>
      <c r="AA85" s="625"/>
      <c r="AB85" s="624"/>
      <c r="AC85" s="624"/>
      <c r="AD85" s="624"/>
    </row>
    <row r="86" spans="1:30" ht="15">
      <c r="A86" t="s">
        <v>30</v>
      </c>
      <c r="B86" t="s">
        <v>240</v>
      </c>
      <c r="C86" t="s">
        <v>497</v>
      </c>
      <c r="D86">
        <v>0</v>
      </c>
      <c r="E86" s="634">
        <v>4088.0601699899998</v>
      </c>
      <c r="F86" s="634">
        <v>3098.8854849899999</v>
      </c>
      <c r="G86" s="634">
        <f t="shared" si="9"/>
        <v>36838.965627910002</v>
      </c>
      <c r="H86" s="634">
        <v>40927.025797900002</v>
      </c>
      <c r="I86" s="640" t="s">
        <v>476</v>
      </c>
      <c r="J86" s="634">
        <v>19.042185262699999</v>
      </c>
      <c r="M86">
        <v>0</v>
      </c>
      <c r="N86" s="645">
        <f t="shared" si="12"/>
        <v>23174.278453409584</v>
      </c>
      <c r="O86" s="645">
        <f t="shared" ca="1" si="11"/>
        <v>0</v>
      </c>
      <c r="P86" s="624"/>
      <c r="Q86" s="624"/>
      <c r="AA86" s="624"/>
      <c r="AB86" s="624"/>
      <c r="AC86" s="624"/>
      <c r="AD86" s="624"/>
    </row>
    <row r="87" spans="1:30" ht="15">
      <c r="A87" t="s">
        <v>30</v>
      </c>
      <c r="B87" t="s">
        <v>240</v>
      </c>
      <c r="C87" t="s">
        <v>497</v>
      </c>
      <c r="D87">
        <v>1</v>
      </c>
      <c r="E87" s="634">
        <v>4114.2158952899999</v>
      </c>
      <c r="F87" s="634">
        <v>3091.22253744</v>
      </c>
      <c r="G87" s="634">
        <f t="shared" si="9"/>
        <v>36751.968883109999</v>
      </c>
      <c r="H87" s="634">
        <v>40866.184778399998</v>
      </c>
      <c r="I87" s="640">
        <v>3.4107264655310399</v>
      </c>
      <c r="J87" s="634">
        <v>19.042185262699999</v>
      </c>
      <c r="K87" s="634">
        <v>0.56173587399500002</v>
      </c>
      <c r="L87" s="634">
        <v>3634.0501032000002</v>
      </c>
      <c r="M87">
        <v>1</v>
      </c>
      <c r="N87" s="645">
        <f t="shared" si="12"/>
        <v>23116.972921740948</v>
      </c>
      <c r="O87" s="645">
        <f t="shared" ca="1" si="11"/>
        <v>57.305531668636831</v>
      </c>
      <c r="P87" s="624"/>
      <c r="Q87" s="624"/>
      <c r="AA87" s="624"/>
      <c r="AB87" s="624"/>
      <c r="AC87" s="624"/>
      <c r="AD87" s="624"/>
    </row>
    <row r="88" spans="1:30" ht="15">
      <c r="A88" t="s">
        <v>30</v>
      </c>
      <c r="B88" t="s">
        <v>240</v>
      </c>
      <c r="C88" t="s">
        <v>497</v>
      </c>
      <c r="D88">
        <v>2</v>
      </c>
      <c r="E88" s="634">
        <v>4123.6306616000002</v>
      </c>
      <c r="F88" s="634">
        <v>3088.9198185599998</v>
      </c>
      <c r="G88" s="634">
        <f t="shared" si="9"/>
        <v>36727.096095499997</v>
      </c>
      <c r="H88" s="634">
        <v>40850.726757099997</v>
      </c>
      <c r="I88" s="640">
        <v>3.5668633182912499</v>
      </c>
      <c r="J88" s="634">
        <v>19.042185262699999</v>
      </c>
      <c r="K88" s="634">
        <v>0.95825531446199996</v>
      </c>
      <c r="L88" s="634">
        <v>2657.4897360099999</v>
      </c>
      <c r="M88">
        <v>2</v>
      </c>
      <c r="N88" s="645">
        <f>F88/$O$297</f>
        <v>23099.752585983617</v>
      </c>
      <c r="O88" s="645">
        <f t="shared" ca="1" si="11"/>
        <v>74.52586742596759</v>
      </c>
      <c r="P88" s="624"/>
      <c r="Q88" s="624"/>
      <c r="AA88" s="624"/>
      <c r="AB88" s="624"/>
      <c r="AC88" s="624"/>
      <c r="AD88" s="624"/>
    </row>
    <row r="89" spans="1:30" ht="15">
      <c r="A89" t="s">
        <v>30</v>
      </c>
      <c r="B89" t="s">
        <v>240</v>
      </c>
      <c r="C89" t="s">
        <v>497</v>
      </c>
      <c r="D89">
        <v>3</v>
      </c>
      <c r="E89" s="634">
        <v>4133.5907544900001</v>
      </c>
      <c r="F89" s="634">
        <v>3084.43561292</v>
      </c>
      <c r="G89" s="634">
        <f t="shared" si="9"/>
        <v>36679.172181810005</v>
      </c>
      <c r="H89" s="634">
        <v>40812.762936300001</v>
      </c>
      <c r="I89" s="640">
        <v>3.1443687604027999</v>
      </c>
      <c r="J89" s="634">
        <v>19.042185262699999</v>
      </c>
      <c r="K89" s="634">
        <v>1.6117780959700001</v>
      </c>
      <c r="L89" s="634">
        <v>2218.2306209499998</v>
      </c>
      <c r="M89">
        <v>3</v>
      </c>
      <c r="N89" s="645">
        <f t="shared" ref="N89:N99" si="13">F89/$O$297</f>
        <v>23066.218520059901</v>
      </c>
      <c r="O89" s="645">
        <f t="shared" ca="1" si="11"/>
        <v>108.05993334968298</v>
      </c>
      <c r="P89" s="624"/>
      <c r="Q89" s="624"/>
      <c r="AA89" s="624"/>
      <c r="AB89" s="624"/>
      <c r="AC89" s="624"/>
      <c r="AD89" s="624"/>
    </row>
    <row r="90" spans="1:30" ht="15">
      <c r="A90" t="s">
        <v>30</v>
      </c>
      <c r="B90" t="s">
        <v>240</v>
      </c>
      <c r="C90" t="s">
        <v>497</v>
      </c>
      <c r="D90">
        <v>4</v>
      </c>
      <c r="E90" s="634">
        <v>4150.8805331000003</v>
      </c>
      <c r="F90" s="634">
        <v>3075.9189297500002</v>
      </c>
      <c r="G90" s="634">
        <f t="shared" si="9"/>
        <v>36580.359497600002</v>
      </c>
      <c r="H90" s="634">
        <v>40731.240030699999</v>
      </c>
      <c r="I90" s="640">
        <v>2.7640064624899598</v>
      </c>
      <c r="J90" s="634">
        <v>19.042185262699999</v>
      </c>
      <c r="K90" s="634">
        <v>2.6838491757499998</v>
      </c>
      <c r="L90" s="634">
        <v>2125.3953522299998</v>
      </c>
      <c r="M90">
        <v>4</v>
      </c>
      <c r="N90" s="645">
        <f t="shared" si="13"/>
        <v>23002.528529501349</v>
      </c>
      <c r="O90" s="645">
        <f t="shared" ca="1" si="11"/>
        <v>171.74992390823536</v>
      </c>
      <c r="P90" s="624"/>
      <c r="Q90" s="624"/>
      <c r="AA90" s="624"/>
      <c r="AB90" s="624"/>
      <c r="AC90" s="624"/>
      <c r="AD90" s="624"/>
    </row>
    <row r="91" spans="1:30" ht="15">
      <c r="A91" t="s">
        <v>30</v>
      </c>
      <c r="B91" t="s">
        <v>240</v>
      </c>
      <c r="C91" t="s">
        <v>497</v>
      </c>
      <c r="D91">
        <v>5</v>
      </c>
      <c r="E91" s="634">
        <v>4170.5909119899998</v>
      </c>
      <c r="F91" s="634">
        <v>3066.7184807899998</v>
      </c>
      <c r="G91" s="634">
        <f t="shared" si="9"/>
        <v>36470.609230509996</v>
      </c>
      <c r="H91" s="634">
        <v>40641.200142499998</v>
      </c>
      <c r="I91" s="640">
        <v>2.58057331456672</v>
      </c>
      <c r="J91" s="634">
        <v>19.042185262699999</v>
      </c>
      <c r="K91" s="634">
        <v>4.86103462202</v>
      </c>
      <c r="L91" s="634">
        <v>1772.54858281</v>
      </c>
      <c r="M91">
        <v>5</v>
      </c>
      <c r="N91" s="645">
        <f t="shared" si="13"/>
        <v>22933.725159022455</v>
      </c>
      <c r="O91" s="645">
        <f t="shared" ca="1" si="11"/>
        <v>240.55329438712943</v>
      </c>
      <c r="P91" s="624"/>
      <c r="Q91" s="624"/>
      <c r="AA91" s="624"/>
      <c r="AB91" s="624"/>
      <c r="AC91" s="624"/>
      <c r="AD91" s="624"/>
    </row>
    <row r="92" spans="1:30" ht="15">
      <c r="A92" t="s">
        <v>30</v>
      </c>
      <c r="B92" t="s">
        <v>240</v>
      </c>
      <c r="C92" t="s">
        <v>497</v>
      </c>
      <c r="D92">
        <v>6</v>
      </c>
      <c r="E92" s="634">
        <v>4322.5284969000004</v>
      </c>
      <c r="F92" s="634">
        <v>2886.01526423</v>
      </c>
      <c r="G92" s="634">
        <f t="shared" si="9"/>
        <v>34355.3280256</v>
      </c>
      <c r="H92" s="634">
        <v>38677.856522499998</v>
      </c>
      <c r="I92" s="640">
        <v>1.0792564853656701</v>
      </c>
      <c r="J92" s="634">
        <v>19.042185262699999</v>
      </c>
      <c r="K92" s="634">
        <v>17.8323603921</v>
      </c>
      <c r="L92" s="634">
        <v>3067.1718597099998</v>
      </c>
      <c r="M92">
        <v>6</v>
      </c>
      <c r="N92" s="645">
        <f t="shared" si="13"/>
        <v>21582.379109524365</v>
      </c>
      <c r="O92" s="645">
        <f t="shared" ca="1" si="11"/>
        <v>1591.8993438852194</v>
      </c>
      <c r="P92" s="624"/>
      <c r="Q92" s="624"/>
      <c r="AA92" s="624"/>
      <c r="AB92" s="624"/>
      <c r="AC92" s="624"/>
      <c r="AD92" s="624"/>
    </row>
    <row r="93" spans="1:30" ht="15">
      <c r="A93" t="s">
        <v>30</v>
      </c>
      <c r="B93" t="s">
        <v>240</v>
      </c>
      <c r="C93" t="s">
        <v>499</v>
      </c>
      <c r="D93">
        <v>0</v>
      </c>
      <c r="E93" s="634">
        <v>2793.784326</v>
      </c>
      <c r="F93" s="634">
        <v>5132.7177279999996</v>
      </c>
      <c r="G93" s="634">
        <f t="shared" si="9"/>
        <v>70941.235014000005</v>
      </c>
      <c r="H93" s="634">
        <v>73735.019339999999</v>
      </c>
      <c r="I93" s="640" t="s">
        <v>476</v>
      </c>
      <c r="J93" s="634">
        <v>27.20649251</v>
      </c>
      <c r="M93">
        <v>0</v>
      </c>
      <c r="N93" s="645">
        <f t="shared" si="13"/>
        <v>38383.809413921481</v>
      </c>
      <c r="O93" s="645">
        <f t="shared" ca="1" si="11"/>
        <v>0</v>
      </c>
      <c r="P93" s="624"/>
      <c r="Q93" s="624" t="s">
        <v>643</v>
      </c>
      <c r="AA93" s="624"/>
      <c r="AB93" s="624"/>
      <c r="AC93" s="624"/>
      <c r="AD93" s="624"/>
    </row>
    <row r="94" spans="1:30" ht="15">
      <c r="A94" t="s">
        <v>30</v>
      </c>
      <c r="B94" t="s">
        <v>240</v>
      </c>
      <c r="C94" t="s">
        <v>499</v>
      </c>
      <c r="D94">
        <v>1</v>
      </c>
      <c r="E94" s="634">
        <v>2816.6535399999998</v>
      </c>
      <c r="F94" s="634">
        <v>5122.6171599999998</v>
      </c>
      <c r="G94" s="634">
        <f t="shared" si="9"/>
        <v>70800.104779999994</v>
      </c>
      <c r="H94" s="634">
        <v>73616.758319999994</v>
      </c>
      <c r="I94" s="640">
        <v>2.2648378679999999</v>
      </c>
      <c r="J94" s="634">
        <v>27.20649251</v>
      </c>
      <c r="K94" s="634">
        <v>0.36496350365000002</v>
      </c>
      <c r="L94" s="634">
        <v>7793.2516830799996</v>
      </c>
      <c r="M94">
        <v>1</v>
      </c>
      <c r="N94" s="645">
        <f t="shared" si="13"/>
        <v>38308.274717172157</v>
      </c>
      <c r="O94" s="645">
        <f t="shared" ca="1" si="11"/>
        <v>75.534696749324212</v>
      </c>
      <c r="P94" s="624"/>
      <c r="Q94" s="634">
        <f>-(H$93-H94)</f>
        <v>-118.26102000000537</v>
      </c>
      <c r="R94" s="634"/>
      <c r="S94" s="634"/>
      <c r="T94" s="634"/>
      <c r="U94" s="634"/>
      <c r="V94" s="634"/>
      <c r="W94" s="634"/>
      <c r="X94" s="634"/>
      <c r="Y94" s="634"/>
      <c r="Z94" s="634"/>
      <c r="AA94" s="624"/>
      <c r="AB94" s="624"/>
      <c r="AC94" s="624"/>
      <c r="AD94" s="624"/>
    </row>
    <row r="95" spans="1:30" ht="15">
      <c r="A95" t="s">
        <v>30</v>
      </c>
      <c r="B95" t="s">
        <v>240</v>
      </c>
      <c r="C95" t="s">
        <v>499</v>
      </c>
      <c r="D95">
        <v>2</v>
      </c>
      <c r="E95" s="634">
        <v>2829.2701729999999</v>
      </c>
      <c r="F95" s="634">
        <v>5122.477707</v>
      </c>
      <c r="G95" s="634">
        <f t="shared" si="9"/>
        <v>70802.209906999997</v>
      </c>
      <c r="H95" s="634">
        <v>73631.480079999994</v>
      </c>
      <c r="I95" s="640">
        <v>3.4551570009999999</v>
      </c>
      <c r="J95" s="634">
        <v>27.20649251</v>
      </c>
      <c r="K95" s="634">
        <v>0.88359585094100002</v>
      </c>
      <c r="L95" s="634">
        <v>3691.95489443</v>
      </c>
      <c r="M95">
        <v>2</v>
      </c>
      <c r="N95" s="645">
        <f t="shared" si="13"/>
        <v>38307.231851061479</v>
      </c>
      <c r="O95" s="645">
        <f t="shared" ca="1" si="11"/>
        <v>76.577562860002217</v>
      </c>
      <c r="P95" s="624"/>
      <c r="Q95" s="634">
        <f t="shared" ref="Q95:Q99" si="14">-(H$93-H95)</f>
        <v>-103.53926000000502</v>
      </c>
      <c r="R95" s="634"/>
      <c r="S95" s="634"/>
      <c r="T95" s="634"/>
      <c r="U95" s="634"/>
      <c r="V95" s="634"/>
      <c r="W95" s="634"/>
      <c r="X95" s="634"/>
      <c r="Y95" s="634"/>
      <c r="Z95" s="634"/>
      <c r="AA95" s="624"/>
      <c r="AB95" s="624"/>
      <c r="AC95" s="624"/>
      <c r="AD95" s="624"/>
    </row>
    <row r="96" spans="1:30" ht="15">
      <c r="A96" t="s">
        <v>30</v>
      </c>
      <c r="B96" t="s">
        <v>240</v>
      </c>
      <c r="C96" t="s">
        <v>499</v>
      </c>
      <c r="D96">
        <v>3</v>
      </c>
      <c r="E96" s="634">
        <v>2832.794864</v>
      </c>
      <c r="F96" s="634">
        <v>5119.3553449999999</v>
      </c>
      <c r="G96" s="634">
        <f t="shared" si="9"/>
        <v>70770.607606000005</v>
      </c>
      <c r="H96" s="634">
        <v>73603.402470000001</v>
      </c>
      <c r="I96" s="640">
        <v>2.8831149919999999</v>
      </c>
      <c r="J96" s="634">
        <v>27.20649251</v>
      </c>
      <c r="K96" s="634">
        <v>1.24855935459</v>
      </c>
      <c r="L96" s="634">
        <v>2854.9892762700001</v>
      </c>
      <c r="M96">
        <v>3</v>
      </c>
      <c r="N96" s="645">
        <f t="shared" si="13"/>
        <v>38283.882009071247</v>
      </c>
      <c r="O96" s="645">
        <f t="shared" ca="1" si="11"/>
        <v>99.92740485023387</v>
      </c>
      <c r="P96" s="624"/>
      <c r="Q96" s="634">
        <f t="shared" si="14"/>
        <v>-131.61686999999802</v>
      </c>
      <c r="R96" s="634"/>
      <c r="S96" s="634"/>
      <c r="T96" s="634"/>
      <c r="U96" s="634"/>
      <c r="V96" s="634"/>
      <c r="W96" s="634"/>
      <c r="X96" s="634"/>
      <c r="Y96" s="634"/>
      <c r="Z96" s="634"/>
      <c r="AA96" s="624"/>
      <c r="AB96" s="624"/>
      <c r="AC96" s="624"/>
      <c r="AD96" s="624"/>
    </row>
    <row r="97" spans="1:30" ht="15">
      <c r="A97" t="s">
        <v>30</v>
      </c>
      <c r="B97" t="s">
        <v>240</v>
      </c>
      <c r="C97" t="s">
        <v>499</v>
      </c>
      <c r="D97">
        <v>4</v>
      </c>
      <c r="E97" s="634">
        <v>2844.3595740000001</v>
      </c>
      <c r="F97" s="634">
        <v>5116.7116159999996</v>
      </c>
      <c r="G97" s="634">
        <f t="shared" si="9"/>
        <v>70722.585475999993</v>
      </c>
      <c r="H97" s="634">
        <v>73566.945049999995</v>
      </c>
      <c r="I97" s="640">
        <v>3.4038224339999998</v>
      </c>
      <c r="J97" s="634">
        <v>27.20649251</v>
      </c>
      <c r="K97" s="634">
        <v>2.3050326546300002</v>
      </c>
      <c r="L97" s="634">
        <v>2171.2028521000002</v>
      </c>
      <c r="M97">
        <v>4</v>
      </c>
      <c r="N97" s="645">
        <f t="shared" si="13"/>
        <v>38264.11151019411</v>
      </c>
      <c r="O97" s="645">
        <f t="shared" ca="1" si="11"/>
        <v>119.69790372737043</v>
      </c>
      <c r="P97" s="624"/>
      <c r="Q97" s="634">
        <f t="shared" si="14"/>
        <v>-168.07429000000411</v>
      </c>
      <c r="R97" s="634"/>
      <c r="S97" s="634"/>
      <c r="T97" s="634"/>
      <c r="U97" s="634"/>
      <c r="V97" s="634"/>
      <c r="W97" s="634"/>
      <c r="X97" s="634"/>
      <c r="Y97" s="634"/>
      <c r="Z97" s="634"/>
      <c r="AA97" s="624"/>
      <c r="AB97" s="624"/>
      <c r="AC97" s="624"/>
      <c r="AD97" s="624"/>
    </row>
    <row r="98" spans="1:30" ht="15">
      <c r="A98" t="s">
        <v>30</v>
      </c>
      <c r="B98" t="s">
        <v>240</v>
      </c>
      <c r="C98" t="s">
        <v>499</v>
      </c>
      <c r="D98">
        <v>5</v>
      </c>
      <c r="E98" s="634">
        <v>2853.8206530000002</v>
      </c>
      <c r="F98" s="634">
        <v>5106.3069569999998</v>
      </c>
      <c r="G98" s="634">
        <f t="shared" si="9"/>
        <v>70571.348056999996</v>
      </c>
      <c r="H98" s="634">
        <v>73425.168709999998</v>
      </c>
      <c r="I98" s="640">
        <v>2.3524273529999999</v>
      </c>
      <c r="J98" s="634">
        <v>27.20649251</v>
      </c>
      <c r="K98" s="634">
        <v>4.1106415674200001</v>
      </c>
      <c r="L98" s="634">
        <v>2337.80056689</v>
      </c>
      <c r="M98">
        <v>5</v>
      </c>
      <c r="N98" s="645">
        <f t="shared" si="13"/>
        <v>38186.302741187748</v>
      </c>
      <c r="O98" s="645">
        <f t="shared" ca="1" si="11"/>
        <v>197.50667273373256</v>
      </c>
      <c r="P98" s="624"/>
      <c r="Q98" s="634">
        <f t="shared" si="14"/>
        <v>-309.85063000000082</v>
      </c>
      <c r="R98" s="634"/>
      <c r="S98" s="634"/>
      <c r="T98" s="634"/>
      <c r="U98" s="634"/>
      <c r="V98" s="634"/>
      <c r="W98" s="634"/>
      <c r="X98" s="634"/>
      <c r="Y98" s="634"/>
      <c r="Z98" s="634"/>
      <c r="AA98" s="624"/>
      <c r="AB98" s="624"/>
      <c r="AC98" s="624"/>
      <c r="AD98" s="624"/>
    </row>
    <row r="99" spans="1:30" ht="15">
      <c r="A99" t="s">
        <v>30</v>
      </c>
      <c r="B99" t="s">
        <v>240</v>
      </c>
      <c r="C99" t="s">
        <v>499</v>
      </c>
      <c r="D99">
        <v>6</v>
      </c>
      <c r="E99" s="634">
        <v>2949.71117</v>
      </c>
      <c r="F99" s="634">
        <v>4846.3775009999999</v>
      </c>
      <c r="G99" s="634">
        <f t="shared" si="9"/>
        <v>67028.129870000004</v>
      </c>
      <c r="H99" s="634">
        <v>69977.841039999999</v>
      </c>
      <c r="I99" s="640">
        <v>0.50620568099999996</v>
      </c>
      <c r="J99" s="634">
        <v>27.20649251</v>
      </c>
      <c r="K99" s="634">
        <v>16.404149058800002</v>
      </c>
      <c r="L99" s="634">
        <v>5761.3756144299996</v>
      </c>
      <c r="M99">
        <v>6</v>
      </c>
      <c r="N99" s="645">
        <f t="shared" si="13"/>
        <v>36242.482093163155</v>
      </c>
      <c r="O99" s="645">
        <f t="shared" ca="1" si="11"/>
        <v>2141.3273207583261</v>
      </c>
      <c r="P99" s="624"/>
      <c r="Q99" s="634">
        <f t="shared" si="14"/>
        <v>-3757.1782999999996</v>
      </c>
      <c r="R99" s="634"/>
      <c r="S99" s="634"/>
      <c r="T99" s="634"/>
      <c r="U99" s="634"/>
      <c r="V99" s="634"/>
      <c r="W99" s="634"/>
      <c r="X99" s="634"/>
      <c r="Y99" s="634"/>
      <c r="Z99" s="634"/>
      <c r="AA99" s="624"/>
      <c r="AB99" s="624"/>
      <c r="AC99" s="624"/>
      <c r="AD99" s="624"/>
    </row>
    <row r="100" spans="1:30" ht="15">
      <c r="A100" t="s">
        <v>30</v>
      </c>
      <c r="B100" t="s">
        <v>240</v>
      </c>
      <c r="C100" t="s">
        <v>99</v>
      </c>
      <c r="D100">
        <v>0</v>
      </c>
      <c r="E100" s="634">
        <v>4393.9019399999997</v>
      </c>
      <c r="F100" s="634">
        <v>2618.2840299999998</v>
      </c>
      <c r="G100" s="634">
        <f t="shared" si="9"/>
        <v>28780.48374</v>
      </c>
      <c r="H100" s="634">
        <v>33174.385679999999</v>
      </c>
      <c r="I100" s="640" t="s">
        <v>476</v>
      </c>
      <c r="J100" s="634">
        <v>17.11293178</v>
      </c>
      <c r="M100">
        <v>0</v>
      </c>
      <c r="N100" s="645">
        <f>F100/$O$297</f>
        <v>19580.21471759264</v>
      </c>
      <c r="O100" s="645">
        <f t="shared" ca="1" si="11"/>
        <v>0</v>
      </c>
      <c r="P100" s="624"/>
      <c r="Q100" s="624" t="s">
        <v>643</v>
      </c>
      <c r="AA100" s="624"/>
      <c r="AB100" s="624"/>
      <c r="AC100" s="624"/>
      <c r="AD100" s="624"/>
    </row>
    <row r="101" spans="1:30" ht="15">
      <c r="A101" t="s">
        <v>30</v>
      </c>
      <c r="B101" t="s">
        <v>240</v>
      </c>
      <c r="C101" t="s">
        <v>99</v>
      </c>
      <c r="D101">
        <v>1</v>
      </c>
      <c r="E101" s="634">
        <v>4420.8342789999997</v>
      </c>
      <c r="F101" s="634">
        <v>2611.1970999999999</v>
      </c>
      <c r="G101" s="634">
        <f t="shared" si="9"/>
        <v>28706.278921000001</v>
      </c>
      <c r="H101" s="634">
        <v>33127.1132</v>
      </c>
      <c r="I101" s="640">
        <v>3.8002831459999999</v>
      </c>
      <c r="J101" s="634">
        <v>17.11293178</v>
      </c>
      <c r="K101" s="637">
        <v>0.60823385229899996</v>
      </c>
      <c r="L101" s="634">
        <v>2762.4932734700001</v>
      </c>
      <c r="M101">
        <v>1</v>
      </c>
      <c r="N101" s="645">
        <f t="shared" ref="N101:N117" si="15">F101/$O$297</f>
        <v>19527.216796244687</v>
      </c>
      <c r="O101" s="645">
        <f t="shared" ca="1" si="11"/>
        <v>52.997921347952797</v>
      </c>
      <c r="P101" s="624"/>
      <c r="Q101" s="634">
        <f>(H101-H$100)</f>
        <v>-47.272479999999632</v>
      </c>
      <c r="R101" s="634"/>
      <c r="S101" s="634"/>
      <c r="T101" s="634"/>
      <c r="U101" s="634"/>
      <c r="V101" s="634"/>
      <c r="W101" s="634"/>
      <c r="X101" s="634"/>
      <c r="Y101" s="634"/>
      <c r="Z101" s="634"/>
      <c r="AA101" s="624"/>
      <c r="AB101" s="624"/>
      <c r="AC101" s="624"/>
      <c r="AD101" s="624"/>
    </row>
    <row r="102" spans="1:30" ht="15">
      <c r="A102" t="s">
        <v>30</v>
      </c>
      <c r="B102" t="s">
        <v>240</v>
      </c>
      <c r="C102" t="s">
        <v>99</v>
      </c>
      <c r="D102">
        <v>2</v>
      </c>
      <c r="E102" s="634">
        <v>4429.4924339999998</v>
      </c>
      <c r="F102" s="634">
        <v>2608.383194</v>
      </c>
      <c r="G102" s="634">
        <f t="shared" si="9"/>
        <v>28675.031166000001</v>
      </c>
      <c r="H102" s="634">
        <v>33104.5236</v>
      </c>
      <c r="I102" s="640">
        <v>3.5946959359999999</v>
      </c>
      <c r="J102" s="634">
        <v>17.11293178</v>
      </c>
      <c r="K102" s="637">
        <v>0.97589759883799998</v>
      </c>
      <c r="L102" s="634">
        <v>2420.0181744800002</v>
      </c>
      <c r="M102">
        <v>2</v>
      </c>
      <c r="N102" s="645">
        <f t="shared" si="15"/>
        <v>19506.17366912638</v>
      </c>
      <c r="O102" s="645">
        <f t="shared" ca="1" si="11"/>
        <v>74.04104846626069</v>
      </c>
      <c r="P102" s="624"/>
      <c r="Q102" s="634">
        <f t="shared" ref="Q102:Q106" si="16">(H102-H$100)</f>
        <v>-69.862079999998969</v>
      </c>
      <c r="R102" s="634"/>
      <c r="S102" s="634"/>
      <c r="T102" s="634"/>
      <c r="U102" s="634"/>
      <c r="V102" s="634"/>
      <c r="W102" s="634"/>
      <c r="X102" s="634"/>
      <c r="Y102" s="634"/>
      <c r="Z102" s="634"/>
      <c r="AA102" s="624"/>
      <c r="AB102" s="624"/>
      <c r="AC102" s="624"/>
      <c r="AD102" s="624"/>
    </row>
    <row r="103" spans="1:30" ht="15">
      <c r="A103" t="s">
        <v>30</v>
      </c>
      <c r="B103" t="s">
        <v>240</v>
      </c>
      <c r="C103" t="s">
        <v>99</v>
      </c>
      <c r="D103">
        <v>3</v>
      </c>
      <c r="E103" s="634">
        <v>4440.973234</v>
      </c>
      <c r="F103" s="634">
        <v>2603.5771800000002</v>
      </c>
      <c r="G103" s="634">
        <f t="shared" si="9"/>
        <v>28623.250395999999</v>
      </c>
      <c r="H103" s="634">
        <v>33064.22363</v>
      </c>
      <c r="I103" s="640">
        <v>3.2006374609999999</v>
      </c>
      <c r="J103" s="634">
        <v>17.11293178</v>
      </c>
      <c r="K103" s="637">
        <v>1.6976079161199999</v>
      </c>
      <c r="L103" s="634">
        <v>2086.82728709</v>
      </c>
      <c r="M103">
        <v>3</v>
      </c>
      <c r="N103" s="645">
        <f t="shared" si="15"/>
        <v>19470.233035880508</v>
      </c>
      <c r="O103" s="645">
        <f t="shared" ca="1" si="11"/>
        <v>109.98168171213183</v>
      </c>
      <c r="P103" s="624"/>
      <c r="Q103" s="634">
        <f t="shared" si="16"/>
        <v>-110.162049999999</v>
      </c>
      <c r="R103" s="634"/>
      <c r="S103" s="634"/>
      <c r="T103" s="634"/>
      <c r="U103" s="634"/>
      <c r="V103" s="634"/>
      <c r="W103" s="634"/>
      <c r="X103" s="634"/>
      <c r="Y103" s="634"/>
      <c r="Z103" s="634"/>
      <c r="AA103" s="624"/>
      <c r="AB103" s="624"/>
      <c r="AC103" s="624"/>
      <c r="AD103" s="624"/>
    </row>
    <row r="104" spans="1:30" ht="15">
      <c r="A104" t="s">
        <v>30</v>
      </c>
      <c r="B104" t="s">
        <v>240</v>
      </c>
      <c r="C104" t="s">
        <v>99</v>
      </c>
      <c r="D104">
        <v>4</v>
      </c>
      <c r="E104" s="634">
        <v>4459.6158660000001</v>
      </c>
      <c r="F104" s="634">
        <v>2593.6726979999999</v>
      </c>
      <c r="G104" s="634">
        <f t="shared" si="9"/>
        <v>28512.435733999999</v>
      </c>
      <c r="H104" s="634">
        <v>32972.051599999999</v>
      </c>
      <c r="I104" s="640">
        <v>2.6700678550000001</v>
      </c>
      <c r="J104" s="634">
        <v>17.11293178</v>
      </c>
      <c r="K104" s="637">
        <v>2.7733648041399999</v>
      </c>
      <c r="L104" s="634">
        <v>2116.6297195400002</v>
      </c>
      <c r="M104">
        <v>4</v>
      </c>
      <c r="N104" s="645">
        <f t="shared" si="15"/>
        <v>19396.164721669946</v>
      </c>
      <c r="O104" s="645">
        <f t="shared" ca="1" si="11"/>
        <v>184.04999592269451</v>
      </c>
      <c r="P104" s="624"/>
      <c r="Q104" s="634">
        <f t="shared" si="16"/>
        <v>-202.33408000000054</v>
      </c>
      <c r="R104" s="634"/>
      <c r="S104" s="634"/>
      <c r="T104" s="634"/>
      <c r="U104" s="634"/>
      <c r="V104" s="634"/>
      <c r="W104" s="634"/>
      <c r="X104" s="634"/>
      <c r="Y104" s="634"/>
      <c r="Z104" s="634"/>
      <c r="AA104" s="624"/>
      <c r="AB104" s="624"/>
      <c r="AC104" s="624"/>
      <c r="AD104" s="624"/>
    </row>
    <row r="105" spans="1:30" ht="15">
      <c r="A105" t="s">
        <v>30</v>
      </c>
      <c r="B105" t="s">
        <v>240</v>
      </c>
      <c r="C105" t="s">
        <v>99</v>
      </c>
      <c r="D105">
        <v>5</v>
      </c>
      <c r="E105" s="634">
        <v>4481.7481889999999</v>
      </c>
      <c r="F105" s="634">
        <v>2584.7568080000001</v>
      </c>
      <c r="G105" s="634">
        <f t="shared" si="9"/>
        <v>28412.489021000001</v>
      </c>
      <c r="H105" s="634">
        <v>32894.237209999999</v>
      </c>
      <c r="I105" s="640">
        <v>2.6201469689999999</v>
      </c>
      <c r="J105" s="634">
        <v>17.11293178</v>
      </c>
      <c r="K105" s="637">
        <v>5.0383550451600003</v>
      </c>
      <c r="L105" s="634">
        <v>1667.19367491</v>
      </c>
      <c r="M105">
        <v>5</v>
      </c>
      <c r="N105" s="645">
        <f t="shared" si="15"/>
        <v>19329.489357729988</v>
      </c>
      <c r="O105" s="645">
        <f t="shared" ca="1" si="11"/>
        <v>250.72535986265211</v>
      </c>
      <c r="P105" s="624"/>
      <c r="Q105" s="634">
        <f t="shared" si="16"/>
        <v>-280.14847000000009</v>
      </c>
      <c r="R105" s="634"/>
      <c r="S105" s="634"/>
      <c r="T105" s="634"/>
      <c r="U105" s="634"/>
      <c r="V105" s="634"/>
      <c r="W105" s="634"/>
      <c r="X105" s="634"/>
      <c r="Y105" s="634"/>
      <c r="Z105" s="634"/>
      <c r="AA105" s="624"/>
      <c r="AB105" s="624"/>
      <c r="AC105" s="624"/>
      <c r="AD105" s="624"/>
    </row>
    <row r="106" spans="1:30" ht="15">
      <c r="A106" t="s">
        <v>30</v>
      </c>
      <c r="B106" t="s">
        <v>240</v>
      </c>
      <c r="C106" t="s">
        <v>99</v>
      </c>
      <c r="D106">
        <v>6</v>
      </c>
      <c r="E106" s="634">
        <v>4646.9298859999999</v>
      </c>
      <c r="F106" s="634">
        <v>2422.7750209999999</v>
      </c>
      <c r="G106" s="634">
        <f t="shared" si="9"/>
        <v>26634.634164000003</v>
      </c>
      <c r="H106" s="634">
        <v>31281.564050000001</v>
      </c>
      <c r="I106" s="640">
        <v>1.29420095</v>
      </c>
      <c r="J106" s="634">
        <v>17.11293178</v>
      </c>
      <c r="K106" s="637">
        <v>18.169851572799999</v>
      </c>
      <c r="L106" s="634">
        <v>2515.4272736799999</v>
      </c>
      <c r="M106">
        <v>6</v>
      </c>
      <c r="N106" s="645">
        <f t="shared" si="15"/>
        <v>18118.147068864804</v>
      </c>
      <c r="O106" s="645">
        <f t="shared" ca="1" si="11"/>
        <v>1462.0676487278361</v>
      </c>
      <c r="P106" s="624"/>
      <c r="Q106" s="634">
        <f t="shared" si="16"/>
        <v>-1892.8216299999985</v>
      </c>
      <c r="R106" s="634"/>
      <c r="S106" s="634"/>
      <c r="T106" s="634"/>
      <c r="U106" s="634"/>
      <c r="V106" s="634"/>
      <c r="W106" s="634"/>
      <c r="X106" s="634"/>
      <c r="Y106" s="634"/>
      <c r="Z106" s="634"/>
      <c r="AA106" s="624"/>
      <c r="AB106" s="624"/>
      <c r="AC106" s="624"/>
      <c r="AD106" s="624"/>
    </row>
    <row r="107" spans="1:30" ht="15">
      <c r="A107" s="551" t="s">
        <v>30</v>
      </c>
      <c r="B107" s="551" t="s">
        <v>503</v>
      </c>
      <c r="C107" s="551" t="s">
        <v>497</v>
      </c>
      <c r="D107" s="551">
        <v>0</v>
      </c>
      <c r="E107" s="635">
        <v>4088.0601699899998</v>
      </c>
      <c r="F107" s="635">
        <v>3098.8854849899999</v>
      </c>
      <c r="G107" s="634">
        <f t="shared" si="9"/>
        <v>35430.338220910002</v>
      </c>
      <c r="H107" s="635">
        <v>39518.398390900002</v>
      </c>
      <c r="I107" s="641" t="s">
        <v>476</v>
      </c>
      <c r="J107" s="635">
        <v>17.852039505099999</v>
      </c>
      <c r="K107" s="635"/>
      <c r="L107" s="635"/>
      <c r="M107" s="551">
        <v>0</v>
      </c>
      <c r="N107" s="645">
        <f t="shared" si="15"/>
        <v>23174.278453409584</v>
      </c>
      <c r="O107" s="645">
        <f t="shared" ca="1" si="11"/>
        <v>0</v>
      </c>
      <c r="P107" s="625"/>
      <c r="Q107" s="625"/>
      <c r="R107" s="625"/>
      <c r="S107" s="625"/>
      <c r="T107" s="625"/>
      <c r="U107" s="625"/>
      <c r="V107" s="625"/>
      <c r="W107" s="625"/>
      <c r="X107" s="625"/>
      <c r="Y107" s="625"/>
      <c r="Z107" s="625"/>
      <c r="AA107" s="625"/>
      <c r="AB107" s="624"/>
      <c r="AC107" s="624"/>
      <c r="AD107" s="624"/>
    </row>
    <row r="108" spans="1:30" ht="15">
      <c r="A108" s="551" t="s">
        <v>30</v>
      </c>
      <c r="B108" s="551" t="s">
        <v>503</v>
      </c>
      <c r="C108" s="551" t="s">
        <v>497</v>
      </c>
      <c r="D108" s="551">
        <v>1</v>
      </c>
      <c r="E108" s="635">
        <v>4114.2158952899999</v>
      </c>
      <c r="F108" s="635">
        <v>3091.22253744</v>
      </c>
      <c r="G108" s="634">
        <f t="shared" si="9"/>
        <v>35341.977734510001</v>
      </c>
      <c r="H108" s="635">
        <v>39456.1936298</v>
      </c>
      <c r="I108" s="641">
        <v>3.4107264655310399</v>
      </c>
      <c r="J108" s="635">
        <v>17.852039505099999</v>
      </c>
      <c r="K108" s="635">
        <v>0.58009325549799995</v>
      </c>
      <c r="L108" s="635">
        <v>3715.50675047</v>
      </c>
      <c r="M108" s="551">
        <v>1</v>
      </c>
      <c r="N108" s="645">
        <f t="shared" si="15"/>
        <v>23116.972921740948</v>
      </c>
      <c r="O108" s="645">
        <f t="shared" ca="1" si="11"/>
        <v>57.305531668636831</v>
      </c>
      <c r="P108" s="625"/>
      <c r="Q108" s="625"/>
      <c r="R108" s="625"/>
      <c r="S108" s="625"/>
      <c r="T108" s="625"/>
      <c r="U108" s="625"/>
      <c r="V108" s="625"/>
      <c r="W108" s="625"/>
      <c r="X108" s="625"/>
      <c r="Y108" s="625"/>
      <c r="Z108" s="625"/>
      <c r="AA108" s="625"/>
      <c r="AB108" s="624"/>
      <c r="AC108" s="624"/>
      <c r="AD108" s="624"/>
    </row>
    <row r="109" spans="1:30" ht="15">
      <c r="A109" s="551" t="s">
        <v>30</v>
      </c>
      <c r="B109" s="551" t="s">
        <v>503</v>
      </c>
      <c r="C109" s="551" t="s">
        <v>497</v>
      </c>
      <c r="D109" s="551">
        <v>2</v>
      </c>
      <c r="E109" s="635">
        <v>4123.6306616000002</v>
      </c>
      <c r="F109" s="635">
        <v>3088.9198185599998</v>
      </c>
      <c r="G109" s="634">
        <f t="shared" si="9"/>
        <v>35320.5232731</v>
      </c>
      <c r="H109" s="635">
        <v>39444.1539347</v>
      </c>
      <c r="I109" s="641">
        <v>3.5668633182912499</v>
      </c>
      <c r="J109" s="635">
        <v>17.852039505099999</v>
      </c>
      <c r="K109" s="635">
        <v>0.99129860116799995</v>
      </c>
      <c r="L109" s="635">
        <v>2585.9287143000001</v>
      </c>
      <c r="M109" s="551">
        <v>2</v>
      </c>
      <c r="N109" s="645">
        <f t="shared" si="15"/>
        <v>23099.752585983617</v>
      </c>
      <c r="O109" s="645">
        <f t="shared" ca="1" si="11"/>
        <v>74.52586742596759</v>
      </c>
      <c r="P109" s="625"/>
      <c r="Q109" s="625"/>
      <c r="R109" s="625"/>
      <c r="S109" s="625"/>
      <c r="T109" s="625"/>
      <c r="U109" s="625"/>
      <c r="V109" s="625"/>
      <c r="W109" s="625"/>
      <c r="X109" s="625"/>
      <c r="Y109" s="625"/>
      <c r="Z109" s="625"/>
      <c r="AA109" s="625"/>
      <c r="AB109" s="624"/>
      <c r="AC109" s="624"/>
      <c r="AD109" s="624"/>
    </row>
    <row r="110" spans="1:30" ht="15">
      <c r="A110" s="551" t="s">
        <v>30</v>
      </c>
      <c r="B110" s="551" t="s">
        <v>503</v>
      </c>
      <c r="C110" s="551" t="s">
        <v>497</v>
      </c>
      <c r="D110" s="551">
        <v>3</v>
      </c>
      <c r="E110" s="635">
        <v>4133.5907544900001</v>
      </c>
      <c r="F110" s="635">
        <v>3084.43561292</v>
      </c>
      <c r="G110" s="634">
        <f t="shared" si="9"/>
        <v>35274.716415710005</v>
      </c>
      <c r="H110" s="635">
        <v>39408.307170200002</v>
      </c>
      <c r="I110" s="641">
        <v>3.1443687604027999</v>
      </c>
      <c r="J110" s="635">
        <v>17.852039505099999</v>
      </c>
      <c r="K110" s="635">
        <v>1.6191210485700001</v>
      </c>
      <c r="L110" s="635">
        <v>2137.24488819</v>
      </c>
      <c r="M110" s="551">
        <v>3</v>
      </c>
      <c r="N110" s="645">
        <f t="shared" si="15"/>
        <v>23066.218520059901</v>
      </c>
      <c r="O110" s="645">
        <f t="shared" ca="1" si="11"/>
        <v>108.05993334968298</v>
      </c>
      <c r="P110" s="625"/>
      <c r="Q110" s="625"/>
      <c r="R110" s="625"/>
      <c r="S110" s="625"/>
      <c r="T110" s="625"/>
      <c r="U110" s="625"/>
      <c r="V110" s="625"/>
      <c r="W110" s="625"/>
      <c r="X110" s="625"/>
      <c r="Y110" s="625"/>
      <c r="Z110" s="625"/>
      <c r="AA110" s="625"/>
      <c r="AB110" s="624"/>
      <c r="AC110" s="624"/>
      <c r="AD110" s="624"/>
    </row>
    <row r="111" spans="1:30" ht="15">
      <c r="A111" s="551" t="s">
        <v>30</v>
      </c>
      <c r="B111" s="551" t="s">
        <v>503</v>
      </c>
      <c r="C111" s="551" t="s">
        <v>497</v>
      </c>
      <c r="D111" s="551">
        <v>4</v>
      </c>
      <c r="E111" s="635">
        <v>4150.8805331000003</v>
      </c>
      <c r="F111" s="635">
        <v>3075.9189297500002</v>
      </c>
      <c r="G111" s="634">
        <f t="shared" si="9"/>
        <v>35179.951316799998</v>
      </c>
      <c r="H111" s="635">
        <v>39330.831849900002</v>
      </c>
      <c r="I111" s="641">
        <v>2.7640064624899598</v>
      </c>
      <c r="J111" s="635">
        <v>17.852039505099999</v>
      </c>
      <c r="K111" s="635">
        <v>2.6875206520499999</v>
      </c>
      <c r="L111" s="635">
        <v>2036.1697398700001</v>
      </c>
      <c r="M111" s="551">
        <v>4</v>
      </c>
      <c r="N111" s="645">
        <f t="shared" si="15"/>
        <v>23002.528529501349</v>
      </c>
      <c r="O111" s="645">
        <f t="shared" ca="1" si="11"/>
        <v>171.74992390823536</v>
      </c>
      <c r="P111" s="625"/>
      <c r="Q111" s="625"/>
      <c r="R111" s="625"/>
      <c r="S111" s="625"/>
      <c r="T111" s="625"/>
      <c r="U111" s="625"/>
      <c r="V111" s="625"/>
      <c r="W111" s="625"/>
      <c r="X111" s="625"/>
      <c r="Y111" s="625"/>
      <c r="Z111" s="625"/>
      <c r="AA111" s="625"/>
      <c r="AB111" s="624"/>
      <c r="AC111" s="624"/>
      <c r="AD111" s="624"/>
    </row>
    <row r="112" spans="1:30" ht="15">
      <c r="A112" s="551" t="s">
        <v>30</v>
      </c>
      <c r="B112" s="551" t="s">
        <v>503</v>
      </c>
      <c r="C112" s="551" t="s">
        <v>497</v>
      </c>
      <c r="D112" s="551">
        <v>5</v>
      </c>
      <c r="E112" s="635">
        <v>4170.5909119899998</v>
      </c>
      <c r="F112" s="635">
        <v>3066.7184807899998</v>
      </c>
      <c r="G112" s="634">
        <f t="shared" si="9"/>
        <v>35072.14999641</v>
      </c>
      <c r="H112" s="635">
        <v>39242.740908400003</v>
      </c>
      <c r="I112" s="641">
        <v>2.58057331456672</v>
      </c>
      <c r="J112" s="635">
        <v>17.852039505099999</v>
      </c>
      <c r="K112" s="635">
        <v>4.89774938503</v>
      </c>
      <c r="L112" s="635">
        <v>1709.49063123</v>
      </c>
      <c r="M112" s="551">
        <v>5</v>
      </c>
      <c r="N112" s="645">
        <f t="shared" si="15"/>
        <v>22933.725159022455</v>
      </c>
      <c r="O112" s="645">
        <f t="shared" ca="1" si="11"/>
        <v>240.55329438712943</v>
      </c>
      <c r="P112" s="625"/>
      <c r="Q112" s="625"/>
      <c r="R112" s="625"/>
      <c r="S112" s="625"/>
      <c r="T112" s="625"/>
      <c r="U112" s="625"/>
      <c r="V112" s="625"/>
      <c r="W112" s="625"/>
      <c r="X112" s="625"/>
      <c r="Y112" s="625"/>
      <c r="Z112" s="625"/>
      <c r="AA112" s="625"/>
      <c r="AB112" s="624"/>
      <c r="AC112" s="624"/>
      <c r="AD112" s="624"/>
    </row>
    <row r="113" spans="1:30" ht="15">
      <c r="A113" s="551" t="s">
        <v>30</v>
      </c>
      <c r="B113" s="551" t="s">
        <v>503</v>
      </c>
      <c r="C113" s="551" t="s">
        <v>497</v>
      </c>
      <c r="D113" s="551">
        <v>6</v>
      </c>
      <c r="E113" s="635">
        <v>4322.5284969000004</v>
      </c>
      <c r="F113" s="635">
        <v>2886.01526423</v>
      </c>
      <c r="G113" s="634">
        <f t="shared" si="9"/>
        <v>33045.911954100004</v>
      </c>
      <c r="H113" s="635">
        <v>37368.440451000002</v>
      </c>
      <c r="I113" s="641">
        <v>1.0792564853656701</v>
      </c>
      <c r="J113" s="635">
        <v>17.852039505099999</v>
      </c>
      <c r="K113" s="635">
        <v>18.0526489702</v>
      </c>
      <c r="L113" s="635">
        <v>2931.8782561500002</v>
      </c>
      <c r="M113" s="551">
        <v>6</v>
      </c>
      <c r="N113" s="645">
        <f t="shared" si="15"/>
        <v>21582.379109524365</v>
      </c>
      <c r="O113" s="645">
        <f t="shared" ca="1" si="11"/>
        <v>1591.8993438852194</v>
      </c>
      <c r="P113" s="625"/>
      <c r="Q113" s="625"/>
      <c r="R113" s="625"/>
      <c r="S113" s="625"/>
      <c r="T113" s="625"/>
      <c r="U113" s="625"/>
      <c r="V113" s="625"/>
      <c r="W113" s="625"/>
      <c r="X113" s="625"/>
      <c r="Y113" s="625"/>
      <c r="Z113" s="625"/>
      <c r="AA113" s="625"/>
      <c r="AB113" s="624"/>
      <c r="AC113" s="624"/>
      <c r="AD113" s="624"/>
    </row>
    <row r="114" spans="1:30" ht="15">
      <c r="A114" s="551" t="s">
        <v>30</v>
      </c>
      <c r="B114" s="551" t="s">
        <v>503</v>
      </c>
      <c r="C114" s="551" t="s">
        <v>499</v>
      </c>
      <c r="D114" s="551">
        <v>0</v>
      </c>
      <c r="E114" s="635">
        <v>2793.784326</v>
      </c>
      <c r="F114" s="635">
        <v>5132.7177279999996</v>
      </c>
      <c r="G114" s="634">
        <f t="shared" si="9"/>
        <v>70941.235014000005</v>
      </c>
      <c r="H114" s="635">
        <v>73735.019339999999</v>
      </c>
      <c r="I114" s="641" t="s">
        <v>476</v>
      </c>
      <c r="J114" s="635">
        <v>27.20649251</v>
      </c>
      <c r="K114" s="635"/>
      <c r="L114" s="635"/>
      <c r="M114" s="551">
        <v>0</v>
      </c>
      <c r="N114" s="645">
        <f t="shared" si="15"/>
        <v>38383.809413921481</v>
      </c>
      <c r="O114" s="645">
        <f t="shared" ca="1" si="11"/>
        <v>0</v>
      </c>
      <c r="P114" s="625"/>
      <c r="Q114" s="625"/>
      <c r="R114" s="625"/>
      <c r="S114" s="625"/>
      <c r="T114" s="625"/>
      <c r="U114" s="625"/>
      <c r="V114" s="625"/>
      <c r="W114" s="625"/>
      <c r="X114" s="625"/>
      <c r="Y114" s="625"/>
      <c r="Z114" s="625"/>
      <c r="AA114" s="625"/>
      <c r="AB114" s="624"/>
      <c r="AC114" s="624"/>
      <c r="AD114" s="624"/>
    </row>
    <row r="115" spans="1:30" ht="15">
      <c r="A115" s="551" t="s">
        <v>30</v>
      </c>
      <c r="B115" s="551" t="s">
        <v>503</v>
      </c>
      <c r="C115" s="551" t="s">
        <v>499</v>
      </c>
      <c r="D115" s="551">
        <v>1</v>
      </c>
      <c r="E115" s="635">
        <v>2816.6535399999998</v>
      </c>
      <c r="F115" s="635">
        <v>5122.6171599999998</v>
      </c>
      <c r="G115" s="634">
        <f t="shared" si="9"/>
        <v>70800.104779999994</v>
      </c>
      <c r="H115" s="635">
        <v>73616.758319999994</v>
      </c>
      <c r="I115" s="641">
        <v>2.2648378679999999</v>
      </c>
      <c r="J115" s="635">
        <v>27.20649251</v>
      </c>
      <c r="K115" s="635">
        <v>0.36496350365000002</v>
      </c>
      <c r="L115" s="635">
        <v>7793.2516830799996</v>
      </c>
      <c r="M115" s="551">
        <v>1</v>
      </c>
      <c r="N115" s="645">
        <f t="shared" si="15"/>
        <v>38308.274717172157</v>
      </c>
      <c r="O115" s="645">
        <f t="shared" ca="1" si="11"/>
        <v>75.534696749324212</v>
      </c>
      <c r="P115" s="625"/>
      <c r="Q115" s="625"/>
      <c r="R115" s="625"/>
      <c r="S115" s="625"/>
      <c r="T115" s="625"/>
      <c r="U115" s="625"/>
      <c r="V115" s="625"/>
      <c r="W115" s="625"/>
      <c r="X115" s="625"/>
      <c r="Y115" s="625"/>
      <c r="Z115" s="625"/>
      <c r="AA115" s="625"/>
      <c r="AB115" s="624"/>
      <c r="AC115" s="624"/>
      <c r="AD115" s="624"/>
    </row>
    <row r="116" spans="1:30" ht="15">
      <c r="A116" s="551" t="s">
        <v>30</v>
      </c>
      <c r="B116" s="551" t="s">
        <v>503</v>
      </c>
      <c r="C116" s="551" t="s">
        <v>499</v>
      </c>
      <c r="D116" s="551">
        <v>2</v>
      </c>
      <c r="E116" s="635">
        <v>2829.2701729999999</v>
      </c>
      <c r="F116" s="635">
        <v>5122.477707</v>
      </c>
      <c r="G116" s="634">
        <f t="shared" si="9"/>
        <v>70802.209906999997</v>
      </c>
      <c r="H116" s="635">
        <v>73631.480079999994</v>
      </c>
      <c r="I116" s="641">
        <v>3.4551570009999999</v>
      </c>
      <c r="J116" s="635">
        <v>27.20649251</v>
      </c>
      <c r="K116" s="635">
        <v>0.88359585094100002</v>
      </c>
      <c r="L116" s="635">
        <v>3691.95489443</v>
      </c>
      <c r="M116" s="551">
        <v>2</v>
      </c>
      <c r="N116" s="645">
        <f t="shared" si="15"/>
        <v>38307.231851061479</v>
      </c>
      <c r="O116" s="645">
        <f t="shared" ca="1" si="11"/>
        <v>76.577562860002217</v>
      </c>
      <c r="P116" s="625"/>
      <c r="Q116" s="625"/>
      <c r="R116" s="625"/>
      <c r="S116" s="625"/>
      <c r="T116" s="625"/>
      <c r="U116" s="625"/>
      <c r="V116" s="625"/>
      <c r="W116" s="625"/>
      <c r="X116" s="625"/>
      <c r="Y116" s="625"/>
      <c r="Z116" s="625"/>
      <c r="AA116" s="625"/>
      <c r="AB116" s="624"/>
      <c r="AC116" s="624"/>
      <c r="AD116" s="624"/>
    </row>
    <row r="117" spans="1:30" ht="15">
      <c r="A117" s="551" t="s">
        <v>30</v>
      </c>
      <c r="B117" s="551" t="s">
        <v>503</v>
      </c>
      <c r="C117" s="551" t="s">
        <v>499</v>
      </c>
      <c r="D117" s="551">
        <v>3</v>
      </c>
      <c r="E117" s="635">
        <v>2832.794864</v>
      </c>
      <c r="F117" s="635">
        <v>5119.3553449999999</v>
      </c>
      <c r="G117" s="634">
        <f t="shared" si="9"/>
        <v>70770.607606000005</v>
      </c>
      <c r="H117" s="635">
        <v>73603.402470000001</v>
      </c>
      <c r="I117" s="641">
        <v>2.8831149919999999</v>
      </c>
      <c r="J117" s="635">
        <v>27.20649251</v>
      </c>
      <c r="K117" s="635">
        <v>1.24855935459</v>
      </c>
      <c r="L117" s="635">
        <v>2854.9892762700001</v>
      </c>
      <c r="M117" s="551">
        <v>3</v>
      </c>
      <c r="N117" s="645">
        <f t="shared" si="15"/>
        <v>38283.882009071247</v>
      </c>
      <c r="O117" s="645">
        <f t="shared" ca="1" si="11"/>
        <v>99.92740485023387</v>
      </c>
      <c r="P117" s="625"/>
      <c r="Q117" s="625"/>
      <c r="R117" s="625"/>
      <c r="S117" s="625"/>
      <c r="T117" s="625"/>
      <c r="U117" s="625"/>
      <c r="V117" s="625"/>
      <c r="W117" s="625"/>
      <c r="X117" s="625"/>
      <c r="Y117" s="625"/>
      <c r="Z117" s="625"/>
      <c r="AA117" s="625"/>
      <c r="AB117" s="624"/>
      <c r="AC117" s="624"/>
      <c r="AD117" s="624"/>
    </row>
    <row r="118" spans="1:30" ht="15">
      <c r="A118" s="551" t="s">
        <v>30</v>
      </c>
      <c r="B118" s="551" t="s">
        <v>503</v>
      </c>
      <c r="C118" s="551" t="s">
        <v>499</v>
      </c>
      <c r="D118" s="551">
        <v>4</v>
      </c>
      <c r="E118" s="635">
        <v>2844.3595740000001</v>
      </c>
      <c r="F118" s="635">
        <v>5116.7116159999996</v>
      </c>
      <c r="G118" s="634">
        <f t="shared" si="9"/>
        <v>70722.585475999993</v>
      </c>
      <c r="H118" s="635">
        <v>73566.945049999995</v>
      </c>
      <c r="I118" s="641">
        <v>3.4038224339999998</v>
      </c>
      <c r="J118" s="635">
        <v>27.20649251</v>
      </c>
      <c r="K118" s="635">
        <v>2.3050326546300002</v>
      </c>
      <c r="L118" s="635">
        <v>2171.2028521000002</v>
      </c>
      <c r="M118" s="551">
        <v>4</v>
      </c>
      <c r="N118" s="645">
        <f>F118/$O$297</f>
        <v>38264.11151019411</v>
      </c>
      <c r="O118" s="645">
        <f t="shared" ca="1" si="11"/>
        <v>119.69790372737043</v>
      </c>
      <c r="P118" s="625"/>
      <c r="Q118" s="625"/>
      <c r="R118" s="625"/>
      <c r="S118" s="625"/>
      <c r="T118" s="625"/>
      <c r="U118" s="625"/>
      <c r="V118" s="625"/>
      <c r="W118" s="625"/>
      <c r="X118" s="625"/>
      <c r="Y118" s="625"/>
      <c r="Z118" s="625"/>
      <c r="AA118" s="625"/>
      <c r="AB118" s="624"/>
      <c r="AC118" s="624"/>
      <c r="AD118" s="624"/>
    </row>
    <row r="119" spans="1:30" ht="15">
      <c r="A119" s="551" t="s">
        <v>30</v>
      </c>
      <c r="B119" s="551" t="s">
        <v>503</v>
      </c>
      <c r="C119" s="551" t="s">
        <v>499</v>
      </c>
      <c r="D119" s="551">
        <v>5</v>
      </c>
      <c r="E119" s="635">
        <v>2853.8206530000002</v>
      </c>
      <c r="F119" s="635">
        <v>5106.3069569999998</v>
      </c>
      <c r="G119" s="634">
        <f t="shared" si="9"/>
        <v>70571.348056999996</v>
      </c>
      <c r="H119" s="635">
        <v>73425.168709999998</v>
      </c>
      <c r="I119" s="641">
        <v>2.3524273529999999</v>
      </c>
      <c r="J119" s="635">
        <v>27.20649251</v>
      </c>
      <c r="K119" s="635">
        <v>4.1106415674200001</v>
      </c>
      <c r="L119" s="635">
        <v>2337.80056689</v>
      </c>
      <c r="M119" s="551">
        <v>5</v>
      </c>
      <c r="N119" s="645">
        <f t="shared" ref="N119:N132" si="17">F119/$O$297</f>
        <v>38186.302741187748</v>
      </c>
      <c r="O119" s="645">
        <f t="shared" ca="1" si="11"/>
        <v>197.50667273373256</v>
      </c>
      <c r="P119" s="625"/>
      <c r="Q119" s="625"/>
      <c r="R119" s="625"/>
      <c r="S119" s="625"/>
      <c r="T119" s="625"/>
      <c r="U119" s="625"/>
      <c r="V119" s="625"/>
      <c r="W119" s="625"/>
      <c r="X119" s="625"/>
      <c r="Y119" s="625"/>
      <c r="Z119" s="625"/>
      <c r="AA119" s="625"/>
      <c r="AB119" s="624"/>
      <c r="AC119" s="624"/>
      <c r="AD119" s="624"/>
    </row>
    <row r="120" spans="1:30" ht="15">
      <c r="A120" s="551" t="s">
        <v>30</v>
      </c>
      <c r="B120" s="551" t="s">
        <v>503</v>
      </c>
      <c r="C120" s="551" t="s">
        <v>499</v>
      </c>
      <c r="D120" s="551">
        <v>6</v>
      </c>
      <c r="E120" s="635">
        <v>2949.71117</v>
      </c>
      <c r="F120" s="635">
        <v>4846.3775009999999</v>
      </c>
      <c r="G120" s="634">
        <f t="shared" si="9"/>
        <v>67028.129870000004</v>
      </c>
      <c r="H120" s="635">
        <v>69977.841039999999</v>
      </c>
      <c r="I120" s="641">
        <v>0.50620568099999996</v>
      </c>
      <c r="J120" s="635">
        <v>27.20649251</v>
      </c>
      <c r="K120" s="635">
        <v>16.404149058800002</v>
      </c>
      <c r="L120" s="635">
        <v>5761.3756144299996</v>
      </c>
      <c r="M120" s="551">
        <v>6</v>
      </c>
      <c r="N120" s="645">
        <f t="shared" si="17"/>
        <v>36242.482093163155</v>
      </c>
      <c r="O120" s="645">
        <f t="shared" ca="1" si="11"/>
        <v>2141.3273207583261</v>
      </c>
      <c r="P120" s="625"/>
      <c r="Q120" s="625"/>
      <c r="R120" s="625"/>
      <c r="S120" s="625"/>
      <c r="T120" s="625"/>
      <c r="U120" s="625"/>
      <c r="V120" s="625"/>
      <c r="W120" s="625"/>
      <c r="X120" s="625"/>
      <c r="Y120" s="625"/>
      <c r="Z120" s="625"/>
      <c r="AA120" s="625"/>
      <c r="AB120" s="624"/>
      <c r="AC120" s="624"/>
      <c r="AD120" s="624"/>
    </row>
    <row r="121" spans="1:30" s="551" customFormat="1" ht="15">
      <c r="A121" s="551" t="s">
        <v>30</v>
      </c>
      <c r="B121" s="551" t="s">
        <v>503</v>
      </c>
      <c r="C121" s="551" t="s">
        <v>99</v>
      </c>
      <c r="D121" s="551">
        <v>0</v>
      </c>
      <c r="E121" s="635">
        <v>4393.9019399999997</v>
      </c>
      <c r="F121" s="635">
        <v>2618.2840299999998</v>
      </c>
      <c r="G121" s="634">
        <f t="shared" si="9"/>
        <v>27038.992902900001</v>
      </c>
      <c r="H121" s="635">
        <v>31432.894842900001</v>
      </c>
      <c r="I121" s="641" t="s">
        <v>476</v>
      </c>
      <c r="J121" s="635">
        <v>15.641550542399999</v>
      </c>
      <c r="K121" s="635"/>
      <c r="L121" s="635"/>
      <c r="M121" s="551">
        <v>0</v>
      </c>
      <c r="N121" s="645">
        <f t="shared" si="17"/>
        <v>19580.21471759264</v>
      </c>
      <c r="O121" s="645">
        <f t="shared" ca="1" si="11"/>
        <v>0</v>
      </c>
      <c r="P121" s="625"/>
      <c r="Q121" s="625"/>
      <c r="R121" s="625"/>
      <c r="S121" s="625"/>
      <c r="T121" s="625"/>
      <c r="U121" s="625"/>
      <c r="V121" s="625"/>
      <c r="W121" s="625"/>
      <c r="X121" s="625"/>
      <c r="Y121" s="625"/>
      <c r="Z121" s="625"/>
      <c r="AA121" s="625"/>
      <c r="AB121" s="624"/>
      <c r="AC121" s="624"/>
      <c r="AD121" s="624"/>
    </row>
    <row r="122" spans="1:30" s="551" customFormat="1" ht="15">
      <c r="A122" s="551" t="s">
        <v>30</v>
      </c>
      <c r="B122" s="551" t="s">
        <v>503</v>
      </c>
      <c r="C122" s="551" t="s">
        <v>99</v>
      </c>
      <c r="D122" s="551">
        <v>1</v>
      </c>
      <c r="E122" s="635">
        <v>4420.8342789999997</v>
      </c>
      <c r="F122" s="635">
        <v>2611.1970999999999</v>
      </c>
      <c r="G122" s="634">
        <f t="shared" si="9"/>
        <v>26963.102087400002</v>
      </c>
      <c r="H122" s="635">
        <v>31383.936366400001</v>
      </c>
      <c r="I122" s="641">
        <v>3.80028314642917</v>
      </c>
      <c r="J122" s="635">
        <v>15.641550542399999</v>
      </c>
      <c r="K122" s="635">
        <v>0.63092914529499999</v>
      </c>
      <c r="L122" s="635">
        <v>2861.0190855400001</v>
      </c>
      <c r="M122" s="551">
        <v>1</v>
      </c>
      <c r="N122" s="645">
        <f t="shared" si="17"/>
        <v>19527.216796244687</v>
      </c>
      <c r="O122" s="645">
        <f t="shared" ca="1" si="11"/>
        <v>52.997921347952797</v>
      </c>
      <c r="P122" s="625"/>
      <c r="Q122" s="625"/>
      <c r="R122" s="625"/>
      <c r="S122" s="625"/>
      <c r="T122" s="625"/>
      <c r="U122" s="625"/>
      <c r="V122" s="625"/>
      <c r="W122" s="625"/>
      <c r="X122" s="625"/>
      <c r="Y122" s="625"/>
      <c r="Z122" s="625"/>
      <c r="AA122" s="625"/>
      <c r="AB122" s="624"/>
      <c r="AC122" s="624"/>
      <c r="AD122" s="624"/>
    </row>
    <row r="123" spans="1:30" s="551" customFormat="1" ht="15">
      <c r="A123" s="551" t="s">
        <v>30</v>
      </c>
      <c r="B123" s="551" t="s">
        <v>503</v>
      </c>
      <c r="C123" s="551" t="s">
        <v>99</v>
      </c>
      <c r="D123" s="551">
        <v>2</v>
      </c>
      <c r="E123" s="635">
        <v>4429.4924339999998</v>
      </c>
      <c r="F123" s="635">
        <v>2608.383194</v>
      </c>
      <c r="G123" s="634">
        <f t="shared" si="9"/>
        <v>26936.080415299999</v>
      </c>
      <c r="H123" s="635">
        <v>31365.572849299999</v>
      </c>
      <c r="I123" s="641">
        <v>3.59469593554988</v>
      </c>
      <c r="J123" s="635">
        <v>15.641550542399999</v>
      </c>
      <c r="K123" s="635">
        <v>1.0167491262299999</v>
      </c>
      <c r="L123" s="635">
        <v>2332.0296226400001</v>
      </c>
      <c r="M123" s="551">
        <v>2</v>
      </c>
      <c r="N123" s="645">
        <f t="shared" si="17"/>
        <v>19506.17366912638</v>
      </c>
      <c r="O123" s="645">
        <f t="shared" ca="1" si="11"/>
        <v>74.04104846626069</v>
      </c>
      <c r="P123" s="625"/>
      <c r="Q123" s="625"/>
      <c r="R123" s="625"/>
      <c r="S123" s="625"/>
      <c r="T123" s="625"/>
      <c r="U123" s="625"/>
      <c r="V123" s="625"/>
      <c r="W123" s="625"/>
      <c r="X123" s="625"/>
      <c r="Y123" s="625"/>
      <c r="Z123" s="625"/>
      <c r="AA123" s="625"/>
      <c r="AB123" s="624"/>
      <c r="AC123" s="624"/>
      <c r="AD123" s="624"/>
    </row>
    <row r="124" spans="1:30" s="551" customFormat="1" ht="15">
      <c r="A124" s="551" t="s">
        <v>30</v>
      </c>
      <c r="B124" s="551" t="s">
        <v>503</v>
      </c>
      <c r="C124" s="551" t="s">
        <v>99</v>
      </c>
      <c r="D124" s="551">
        <v>3</v>
      </c>
      <c r="E124" s="635">
        <v>4440.973234</v>
      </c>
      <c r="F124" s="635">
        <v>2603.5771800000002</v>
      </c>
      <c r="G124" s="634">
        <f t="shared" si="9"/>
        <v>26886.916972200001</v>
      </c>
      <c r="H124" s="635">
        <v>31327.890206200002</v>
      </c>
      <c r="I124" s="641">
        <v>3.2006374614952802</v>
      </c>
      <c r="J124" s="635">
        <v>15.641550542399999</v>
      </c>
      <c r="K124" s="635">
        <v>1.70668603332</v>
      </c>
      <c r="L124" s="635">
        <v>1989.1291073299999</v>
      </c>
      <c r="M124" s="551">
        <v>3</v>
      </c>
      <c r="N124" s="645">
        <f t="shared" si="17"/>
        <v>19470.233035880508</v>
      </c>
      <c r="O124" s="645">
        <f t="shared" ca="1" si="11"/>
        <v>109.98168171213183</v>
      </c>
      <c r="P124" s="625"/>
      <c r="Q124" s="625"/>
      <c r="R124" s="625"/>
      <c r="S124" s="625"/>
      <c r="T124" s="625"/>
      <c r="U124" s="625"/>
      <c r="V124" s="625"/>
      <c r="W124" s="625"/>
      <c r="X124" s="625"/>
      <c r="Y124" s="625"/>
      <c r="Z124" s="625"/>
      <c r="AA124" s="625"/>
      <c r="AB124" s="624"/>
      <c r="AC124" s="624"/>
      <c r="AD124" s="624"/>
    </row>
    <row r="125" spans="1:30" s="551" customFormat="1" ht="15">
      <c r="A125" s="551" t="s">
        <v>30</v>
      </c>
      <c r="B125" s="551" t="s">
        <v>503</v>
      </c>
      <c r="C125" s="551" t="s">
        <v>99</v>
      </c>
      <c r="D125" s="551">
        <v>4</v>
      </c>
      <c r="E125" s="635">
        <v>4459.6158660000001</v>
      </c>
      <c r="F125" s="635">
        <v>2593.6726979999999</v>
      </c>
      <c r="G125" s="634">
        <f t="shared" si="9"/>
        <v>26781.1063507</v>
      </c>
      <c r="H125" s="635">
        <v>31240.7222167</v>
      </c>
      <c r="I125" s="641">
        <v>2.6700678550322601</v>
      </c>
      <c r="J125" s="635">
        <v>15.641550542399999</v>
      </c>
      <c r="K125" s="635">
        <v>2.7779038627400001</v>
      </c>
      <c r="L125" s="635">
        <v>2010.3300702500001</v>
      </c>
      <c r="M125" s="551">
        <v>4</v>
      </c>
      <c r="N125" s="645">
        <f t="shared" si="17"/>
        <v>19396.164721669946</v>
      </c>
      <c r="O125" s="645">
        <f t="shared" ca="1" si="11"/>
        <v>184.04999592269451</v>
      </c>
      <c r="P125" s="625"/>
      <c r="Q125" s="625"/>
      <c r="R125" s="625"/>
      <c r="S125" s="625"/>
      <c r="T125" s="625"/>
      <c r="U125" s="625"/>
      <c r="V125" s="625"/>
      <c r="W125" s="625"/>
      <c r="X125" s="625"/>
      <c r="Y125" s="625"/>
      <c r="Z125" s="625"/>
      <c r="AA125" s="625"/>
      <c r="AB125" s="624"/>
      <c r="AC125" s="624"/>
      <c r="AD125" s="624"/>
    </row>
    <row r="126" spans="1:30" s="551" customFormat="1" ht="15">
      <c r="A126" s="551" t="s">
        <v>30</v>
      </c>
      <c r="B126" s="551" t="s">
        <v>503</v>
      </c>
      <c r="C126" s="551" t="s">
        <v>99</v>
      </c>
      <c r="D126" s="551">
        <v>5</v>
      </c>
      <c r="E126" s="635">
        <v>4481.7481889999999</v>
      </c>
      <c r="F126" s="635">
        <v>2584.7568080000001</v>
      </c>
      <c r="G126" s="634">
        <f t="shared" si="9"/>
        <v>26683.569128499999</v>
      </c>
      <c r="H126" s="635">
        <v>31165.317317500001</v>
      </c>
      <c r="I126" s="641">
        <v>2.6201469685411301</v>
      </c>
      <c r="J126" s="635">
        <v>15.641550542399999</v>
      </c>
      <c r="K126" s="635">
        <v>5.0837456311600002</v>
      </c>
      <c r="L126" s="635">
        <v>1592.3826205299999</v>
      </c>
      <c r="M126" s="551">
        <v>5</v>
      </c>
      <c r="N126" s="645">
        <f t="shared" si="17"/>
        <v>19329.489357729988</v>
      </c>
      <c r="O126" s="645">
        <f t="shared" ca="1" si="11"/>
        <v>250.72535986265211</v>
      </c>
      <c r="P126" s="625"/>
      <c r="Q126" s="625"/>
      <c r="R126" s="625"/>
      <c r="S126" s="625"/>
      <c r="T126" s="625"/>
      <c r="U126" s="625"/>
      <c r="V126" s="625"/>
      <c r="W126" s="625"/>
      <c r="X126" s="625"/>
      <c r="Y126" s="625"/>
      <c r="Z126" s="625"/>
      <c r="AA126" s="625"/>
      <c r="AB126" s="624"/>
      <c r="AC126" s="624"/>
      <c r="AD126" s="624"/>
    </row>
    <row r="127" spans="1:30" s="551" customFormat="1" ht="15">
      <c r="A127" s="551" t="s">
        <v>30</v>
      </c>
      <c r="B127" s="551" t="s">
        <v>503</v>
      </c>
      <c r="C127" s="551" t="s">
        <v>99</v>
      </c>
      <c r="D127" s="551">
        <v>6</v>
      </c>
      <c r="E127" s="635">
        <v>4646.9298859999999</v>
      </c>
      <c r="F127" s="635">
        <v>2422.7750209999999</v>
      </c>
      <c r="G127" s="634">
        <f t="shared" si="9"/>
        <v>25015.798636699998</v>
      </c>
      <c r="H127" s="635">
        <v>29662.728522699999</v>
      </c>
      <c r="I127" s="641">
        <v>1.2942009498462099</v>
      </c>
      <c r="J127" s="635">
        <v>15.641550542399999</v>
      </c>
      <c r="K127" s="635">
        <v>18.4421950887</v>
      </c>
      <c r="L127" s="635">
        <v>2352.4269633899999</v>
      </c>
      <c r="M127" s="551">
        <v>6</v>
      </c>
      <c r="N127" s="645">
        <f t="shared" si="17"/>
        <v>18118.147068864804</v>
      </c>
      <c r="O127" s="645">
        <f t="shared" ca="1" si="11"/>
        <v>1462.0676487278361</v>
      </c>
      <c r="P127" s="625"/>
      <c r="Q127" s="625"/>
      <c r="R127" s="625"/>
      <c r="S127" s="625"/>
      <c r="T127" s="625"/>
      <c r="U127" s="625"/>
      <c r="V127" s="625"/>
      <c r="W127" s="625"/>
      <c r="X127" s="625"/>
      <c r="Y127" s="625"/>
      <c r="Z127" s="625"/>
      <c r="AA127" s="625"/>
      <c r="AB127" s="624"/>
      <c r="AC127" s="624"/>
      <c r="AD127" s="624"/>
    </row>
    <row r="128" spans="1:30" ht="15">
      <c r="A128" t="s">
        <v>83</v>
      </c>
      <c r="B128" t="s">
        <v>240</v>
      </c>
      <c r="C128" t="s">
        <v>497</v>
      </c>
      <c r="D128">
        <v>0</v>
      </c>
      <c r="E128" s="634">
        <v>3609.6550070899998</v>
      </c>
      <c r="F128" s="634">
        <v>2209.4900978400001</v>
      </c>
      <c r="G128" s="634">
        <f t="shared" si="9"/>
        <v>30664.542524510001</v>
      </c>
      <c r="H128" s="634">
        <v>34274.197531600003</v>
      </c>
      <c r="I128" s="640" t="s">
        <v>476</v>
      </c>
      <c r="J128" s="634">
        <v>27.189125295499998</v>
      </c>
      <c r="M128">
        <v>0</v>
      </c>
      <c r="N128" s="645">
        <f t="shared" si="17"/>
        <v>16523.146471661435</v>
      </c>
      <c r="O128" s="645">
        <f t="shared" ca="1" si="11"/>
        <v>0</v>
      </c>
      <c r="P128" s="624"/>
      <c r="Q128" s="624"/>
      <c r="AA128" s="624"/>
      <c r="AB128" s="624"/>
      <c r="AC128" s="624"/>
      <c r="AD128" s="624"/>
    </row>
    <row r="129" spans="1:30">
      <c r="A129" t="s">
        <v>83</v>
      </c>
      <c r="B129" t="s">
        <v>240</v>
      </c>
      <c r="C129" t="s">
        <v>497</v>
      </c>
      <c r="D129">
        <v>1</v>
      </c>
      <c r="E129" s="634">
        <v>4074.3987174899999</v>
      </c>
      <c r="F129" s="634">
        <v>2142.6120710499999</v>
      </c>
      <c r="G129" s="634">
        <f t="shared" si="9"/>
        <v>29726.781242710003</v>
      </c>
      <c r="H129" s="634">
        <v>33801.179960200003</v>
      </c>
      <c r="I129" s="640">
        <v>6.9238147367612797</v>
      </c>
      <c r="J129" s="634">
        <v>27.189125295499998</v>
      </c>
      <c r="K129" s="634">
        <v>5.68557919622</v>
      </c>
      <c r="L129" s="634">
        <v>2150.3109370100001</v>
      </c>
      <c r="M129">
        <v>1</v>
      </c>
      <c r="N129" s="645">
        <f t="shared" si="17"/>
        <v>16023.0150461044</v>
      </c>
      <c r="O129" s="645">
        <f t="shared" ca="1" si="11"/>
        <v>500.13142555703598</v>
      </c>
      <c r="P129" s="624"/>
      <c r="Q129" s="624"/>
      <c r="AA129" s="624"/>
      <c r="AB129" s="624"/>
      <c r="AC129" s="624"/>
      <c r="AD129" s="624"/>
    </row>
    <row r="130" spans="1:30">
      <c r="A130" t="s">
        <v>83</v>
      </c>
      <c r="B130" t="s">
        <v>240</v>
      </c>
      <c r="C130" t="s">
        <v>497</v>
      </c>
      <c r="D130">
        <v>2</v>
      </c>
      <c r="E130" s="634">
        <v>4158.36568558</v>
      </c>
      <c r="F130" s="634">
        <v>2122.2636302199999</v>
      </c>
      <c r="G130" s="634">
        <f t="shared" si="9"/>
        <v>29439.228391520002</v>
      </c>
      <c r="H130" s="634">
        <v>33597.594077100002</v>
      </c>
      <c r="I130" s="640">
        <v>6.2532244850854699</v>
      </c>
      <c r="J130" s="634">
        <v>27.189125295499998</v>
      </c>
      <c r="K130" s="634">
        <v>7.83687943262</v>
      </c>
      <c r="L130" s="634">
        <v>2251.7959185700001</v>
      </c>
      <c r="M130">
        <v>2</v>
      </c>
      <c r="N130" s="645">
        <f t="shared" si="17"/>
        <v>15870.844068450906</v>
      </c>
      <c r="O130" s="645">
        <f t="shared" ca="1" si="11"/>
        <v>652.30240321052952</v>
      </c>
      <c r="P130" s="624"/>
      <c r="Q130" s="624"/>
      <c r="AA130" s="624"/>
      <c r="AB130" s="624"/>
      <c r="AC130" s="624"/>
      <c r="AD130" s="624"/>
    </row>
    <row r="131" spans="1:30">
      <c r="A131" t="s">
        <v>83</v>
      </c>
      <c r="B131" t="s">
        <v>240</v>
      </c>
      <c r="C131" t="s">
        <v>497</v>
      </c>
      <c r="D131">
        <v>3</v>
      </c>
      <c r="E131" s="634">
        <v>4298.1986122899998</v>
      </c>
      <c r="F131" s="634">
        <v>2087.1811686599999</v>
      </c>
      <c r="G131" s="634">
        <f t="shared" ref="G131:G194" si="18">H131-E131</f>
        <v>28944.799909610003</v>
      </c>
      <c r="H131" s="634">
        <v>33242.998521900001</v>
      </c>
      <c r="I131" s="640">
        <v>5.5897782873330897</v>
      </c>
      <c r="J131" s="634">
        <v>27.189125295499998</v>
      </c>
      <c r="K131" s="634">
        <v>9.7044917257699996</v>
      </c>
      <c r="L131" s="634">
        <v>2539.7215784700002</v>
      </c>
      <c r="M131">
        <v>3</v>
      </c>
      <c r="N131" s="645">
        <f t="shared" si="17"/>
        <v>15608.488219239814</v>
      </c>
      <c r="O131" s="645">
        <f t="shared" ca="1" si="11"/>
        <v>914.658252421621</v>
      </c>
      <c r="P131" s="624"/>
      <c r="Q131" s="624"/>
      <c r="AA131" s="624"/>
      <c r="AB131" s="624"/>
      <c r="AC131" s="624"/>
      <c r="AD131" s="624"/>
    </row>
    <row r="132" spans="1:30">
      <c r="A132" t="s">
        <v>83</v>
      </c>
      <c r="B132" t="s">
        <v>240</v>
      </c>
      <c r="C132" t="s">
        <v>497</v>
      </c>
      <c r="D132">
        <v>4</v>
      </c>
      <c r="E132" s="634">
        <v>4448.8487434999997</v>
      </c>
      <c r="F132" s="634">
        <v>2050.0858176800002</v>
      </c>
      <c r="G132" s="634">
        <f t="shared" si="18"/>
        <v>28428.084781600002</v>
      </c>
      <c r="H132" s="634">
        <v>32876.933525100001</v>
      </c>
      <c r="I132" s="640">
        <v>5.2221379969793</v>
      </c>
      <c r="J132" s="634">
        <v>27.189125295499998</v>
      </c>
      <c r="K132" s="634">
        <v>11.9976359338</v>
      </c>
      <c r="L132" s="634">
        <v>2708.7198659300002</v>
      </c>
      <c r="M132">
        <v>4</v>
      </c>
      <c r="N132" s="645">
        <f t="shared" si="17"/>
        <v>15331.079454991706</v>
      </c>
      <c r="O132" s="645">
        <f t="shared" ca="1" si="11"/>
        <v>1192.0670166697291</v>
      </c>
      <c r="P132" s="624"/>
      <c r="Q132" s="624"/>
      <c r="AA132" s="624"/>
      <c r="AB132" s="624"/>
      <c r="AC132" s="624"/>
      <c r="AD132" s="624"/>
    </row>
    <row r="133" spans="1:30">
      <c r="A133" t="s">
        <v>83</v>
      </c>
      <c r="B133" t="s">
        <v>240</v>
      </c>
      <c r="C133" t="s">
        <v>497</v>
      </c>
      <c r="D133">
        <v>5</v>
      </c>
      <c r="E133" s="634">
        <v>4628.2925472799998</v>
      </c>
      <c r="F133" s="634">
        <v>2015.80853783</v>
      </c>
      <c r="G133" s="634">
        <f t="shared" si="18"/>
        <v>27945.558026220002</v>
      </c>
      <c r="H133" s="634">
        <v>32573.8505735</v>
      </c>
      <c r="I133" s="640">
        <v>5.21264344382912</v>
      </c>
      <c r="J133" s="634">
        <v>27.189125295499998</v>
      </c>
      <c r="K133" s="634">
        <v>14.0661938534</v>
      </c>
      <c r="L133" s="634">
        <v>2785.0794317099999</v>
      </c>
      <c r="M133">
        <v>5</v>
      </c>
      <c r="N133" s="645">
        <f>F133/$O$297</f>
        <v>15074.744965796501</v>
      </c>
      <c r="O133" s="645">
        <f t="shared" ca="1" si="11"/>
        <v>1448.4015058649347</v>
      </c>
      <c r="P133" s="624"/>
      <c r="Q133" s="624"/>
      <c r="AA133" s="624"/>
      <c r="AB133" s="624"/>
      <c r="AC133" s="624"/>
      <c r="AD133" s="624"/>
    </row>
    <row r="134" spans="1:30">
      <c r="A134" t="s">
        <v>83</v>
      </c>
      <c r="B134" t="s">
        <v>240</v>
      </c>
      <c r="C134" t="s">
        <v>497</v>
      </c>
      <c r="D134">
        <v>6</v>
      </c>
      <c r="E134" s="634">
        <v>5181.5610567399999</v>
      </c>
      <c r="F134" s="634">
        <v>1873.7412052300001</v>
      </c>
      <c r="G134" s="634">
        <f t="shared" si="18"/>
        <v>25983.35162836</v>
      </c>
      <c r="H134" s="634">
        <v>31164.9126851</v>
      </c>
      <c r="I134" s="640">
        <v>4.5775297680942098</v>
      </c>
      <c r="J134" s="634">
        <v>27.189125295499998</v>
      </c>
      <c r="K134" s="634">
        <v>19.361702127699999</v>
      </c>
      <c r="L134" s="634">
        <v>3666.13934509</v>
      </c>
      <c r="M134">
        <v>6</v>
      </c>
      <c r="N134" s="645">
        <f t="shared" ref="N134:N197" si="19">F134/$O$297</f>
        <v>14012.328190232374</v>
      </c>
      <c r="O134" s="645">
        <f t="shared" ca="1" si="11"/>
        <v>2510.8182814290612</v>
      </c>
      <c r="P134" s="624"/>
      <c r="Q134" s="624"/>
      <c r="AA134" s="624"/>
      <c r="AB134" s="624"/>
      <c r="AC134" s="624"/>
      <c r="AD134" s="624"/>
    </row>
    <row r="135" spans="1:30">
      <c r="A135" t="s">
        <v>83</v>
      </c>
      <c r="B135" t="s">
        <v>240</v>
      </c>
      <c r="C135" t="s">
        <v>499</v>
      </c>
      <c r="D135">
        <v>0</v>
      </c>
      <c r="E135" s="634">
        <v>3609.6550069999998</v>
      </c>
      <c r="F135" s="634">
        <v>2209.4900980000002</v>
      </c>
      <c r="G135" s="634">
        <f t="shared" si="18"/>
        <v>30664.542522999996</v>
      </c>
      <c r="H135" s="634">
        <v>34274.197529999998</v>
      </c>
      <c r="I135" s="640" t="s">
        <v>476</v>
      </c>
      <c r="J135" s="634">
        <v>27.189125300000001</v>
      </c>
      <c r="M135">
        <v>0</v>
      </c>
      <c r="N135" s="645">
        <f t="shared" si="19"/>
        <v>16523.146472857956</v>
      </c>
      <c r="O135" s="645">
        <f t="shared" ca="1" si="11"/>
        <v>0</v>
      </c>
      <c r="P135" s="624"/>
      <c r="Q135" s="624"/>
      <c r="AA135" s="624"/>
      <c r="AB135" s="624"/>
      <c r="AC135" s="624"/>
      <c r="AD135" s="624"/>
    </row>
    <row r="136" spans="1:30">
      <c r="A136" t="s">
        <v>83</v>
      </c>
      <c r="B136" t="s">
        <v>240</v>
      </c>
      <c r="C136" t="s">
        <v>499</v>
      </c>
      <c r="D136">
        <v>1</v>
      </c>
      <c r="E136" s="634">
        <v>4074.398717</v>
      </c>
      <c r="F136" s="634">
        <v>2142.612071</v>
      </c>
      <c r="G136" s="634">
        <f t="shared" si="18"/>
        <v>29726.781243000001</v>
      </c>
      <c r="H136" s="634">
        <v>33801.179960000001</v>
      </c>
      <c r="I136" s="640">
        <v>6.9238147369999998</v>
      </c>
      <c r="J136" s="634">
        <v>27.189125300000001</v>
      </c>
      <c r="K136" s="634">
        <v>5.68557919622</v>
      </c>
      <c r="L136" s="634">
        <v>2150.3109370100001</v>
      </c>
      <c r="M136">
        <v>1</v>
      </c>
      <c r="N136" s="645">
        <f t="shared" si="19"/>
        <v>16023.015045730486</v>
      </c>
      <c r="O136" s="645">
        <f t="shared" ca="1" si="11"/>
        <v>500.13142712746958</v>
      </c>
      <c r="P136" s="624"/>
      <c r="Q136" s="624"/>
      <c r="AA136" s="624"/>
      <c r="AB136" s="624"/>
      <c r="AC136" s="624"/>
      <c r="AD136" s="624"/>
    </row>
    <row r="137" spans="1:30">
      <c r="A137" t="s">
        <v>83</v>
      </c>
      <c r="B137" t="s">
        <v>240</v>
      </c>
      <c r="C137" t="s">
        <v>499</v>
      </c>
      <c r="D137">
        <v>2</v>
      </c>
      <c r="E137" s="634">
        <v>4158.3656860000001</v>
      </c>
      <c r="F137" s="634">
        <v>2122.2636299999999</v>
      </c>
      <c r="G137" s="634">
        <f t="shared" si="18"/>
        <v>29439.228394000002</v>
      </c>
      <c r="H137" s="634">
        <v>33597.594080000003</v>
      </c>
      <c r="I137" s="640">
        <v>6.2532244849999996</v>
      </c>
      <c r="J137" s="634">
        <v>27.189125300000001</v>
      </c>
      <c r="K137" s="634">
        <v>7.83687943262</v>
      </c>
      <c r="L137" s="634">
        <v>2251.7959185700001</v>
      </c>
      <c r="M137">
        <v>2</v>
      </c>
      <c r="N137" s="645">
        <f t="shared" si="19"/>
        <v>15870.844066805688</v>
      </c>
      <c r="O137" s="645">
        <f t="shared" ca="1" si="11"/>
        <v>652.30240605226754</v>
      </c>
      <c r="P137" s="624"/>
      <c r="Q137" s="624"/>
      <c r="AA137" s="624"/>
      <c r="AB137" s="624"/>
      <c r="AC137" s="624"/>
      <c r="AD137" s="624"/>
    </row>
    <row r="138" spans="1:30">
      <c r="A138" t="s">
        <v>83</v>
      </c>
      <c r="B138" t="s">
        <v>240</v>
      </c>
      <c r="C138" t="s">
        <v>499</v>
      </c>
      <c r="D138">
        <v>3</v>
      </c>
      <c r="E138" s="634">
        <v>4298.1986120000001</v>
      </c>
      <c r="F138" s="634">
        <v>2087.181169</v>
      </c>
      <c r="G138" s="634">
        <f t="shared" si="18"/>
        <v>28944.799908000001</v>
      </c>
      <c r="H138" s="634">
        <v>33242.998520000001</v>
      </c>
      <c r="I138" s="640">
        <v>5.5897782869999997</v>
      </c>
      <c r="J138" s="634">
        <v>27.189125300000001</v>
      </c>
      <c r="K138" s="634">
        <v>9.7044917257699996</v>
      </c>
      <c r="L138" s="634">
        <v>2539.7215784700002</v>
      </c>
      <c r="M138">
        <v>3</v>
      </c>
      <c r="N138" s="645">
        <f t="shared" si="19"/>
        <v>15608.488221782423</v>
      </c>
      <c r="O138" s="645">
        <f t="shared" ca="1" si="11"/>
        <v>914.65825107553246</v>
      </c>
      <c r="P138" s="624"/>
      <c r="Q138" s="624"/>
      <c r="AA138" s="624"/>
      <c r="AB138" s="624"/>
      <c r="AC138" s="624"/>
      <c r="AD138" s="624"/>
    </row>
    <row r="139" spans="1:30">
      <c r="A139" t="s">
        <v>83</v>
      </c>
      <c r="B139" t="s">
        <v>240</v>
      </c>
      <c r="C139" t="s">
        <v>499</v>
      </c>
      <c r="D139">
        <v>4</v>
      </c>
      <c r="E139" s="634">
        <v>4448.8487439999999</v>
      </c>
      <c r="F139" s="634">
        <v>2050.085818</v>
      </c>
      <c r="G139" s="634">
        <f t="shared" si="18"/>
        <v>28428.084786000003</v>
      </c>
      <c r="H139" s="634">
        <v>32876.933530000002</v>
      </c>
      <c r="I139" s="640">
        <v>5.2221379969999999</v>
      </c>
      <c r="J139" s="634">
        <v>27.189125300000001</v>
      </c>
      <c r="K139" s="634">
        <v>11.9976359338</v>
      </c>
      <c r="L139" s="634">
        <v>2708.7198659300002</v>
      </c>
      <c r="M139">
        <v>4</v>
      </c>
      <c r="N139" s="645">
        <f t="shared" si="19"/>
        <v>15331.079457384749</v>
      </c>
      <c r="O139" s="645">
        <f t="shared" ref="O139:O202" ca="1" si="20">OFFSET(M139,-M139,1)-N139</f>
        <v>1192.067015473207</v>
      </c>
      <c r="P139" s="624"/>
      <c r="Q139" s="624"/>
      <c r="AA139" s="624"/>
      <c r="AB139" s="624"/>
      <c r="AC139" s="624"/>
      <c r="AD139" s="624"/>
    </row>
    <row r="140" spans="1:30">
      <c r="A140" t="s">
        <v>83</v>
      </c>
      <c r="B140" t="s">
        <v>240</v>
      </c>
      <c r="C140" t="s">
        <v>499</v>
      </c>
      <c r="D140">
        <v>5</v>
      </c>
      <c r="E140" s="634">
        <v>4628.292547</v>
      </c>
      <c r="F140" s="634">
        <v>2015.808538</v>
      </c>
      <c r="G140" s="634">
        <f t="shared" si="18"/>
        <v>27945.558022999998</v>
      </c>
      <c r="H140" s="634">
        <v>32573.850569999999</v>
      </c>
      <c r="I140" s="640">
        <v>5.2126434440000002</v>
      </c>
      <c r="J140" s="634">
        <v>27.189125300000001</v>
      </c>
      <c r="K140" s="634">
        <v>14.0661938534</v>
      </c>
      <c r="L140" s="634">
        <v>2785.0794317099999</v>
      </c>
      <c r="M140">
        <v>5</v>
      </c>
      <c r="N140" s="645">
        <f t="shared" si="19"/>
        <v>15074.744967067805</v>
      </c>
      <c r="O140" s="645">
        <f t="shared" ca="1" si="20"/>
        <v>1448.4015057901506</v>
      </c>
      <c r="P140" s="624"/>
      <c r="Q140" s="624"/>
      <c r="AA140" s="624"/>
      <c r="AB140" s="624"/>
      <c r="AC140" s="624"/>
      <c r="AD140" s="624"/>
    </row>
    <row r="141" spans="1:30">
      <c r="A141" t="s">
        <v>83</v>
      </c>
      <c r="B141" t="s">
        <v>240</v>
      </c>
      <c r="C141" t="s">
        <v>499</v>
      </c>
      <c r="D141">
        <v>6</v>
      </c>
      <c r="E141" s="634">
        <v>5181.5610569999999</v>
      </c>
      <c r="F141" s="634">
        <v>1873.741205</v>
      </c>
      <c r="G141" s="634">
        <f t="shared" si="18"/>
        <v>25983.351633000002</v>
      </c>
      <c r="H141" s="634">
        <v>31164.912690000001</v>
      </c>
      <c r="I141" s="640">
        <v>4.5775297679999998</v>
      </c>
      <c r="J141" s="634">
        <v>27.189125300000001</v>
      </c>
      <c r="K141" s="634">
        <v>19.361702127699999</v>
      </c>
      <c r="L141" s="634">
        <v>3666.13934509</v>
      </c>
      <c r="M141">
        <v>6</v>
      </c>
      <c r="N141" s="645">
        <f t="shared" si="19"/>
        <v>14012.328188512372</v>
      </c>
      <c r="O141" s="645">
        <f t="shared" ca="1" si="20"/>
        <v>2510.8182843455834</v>
      </c>
      <c r="P141" s="624"/>
      <c r="Q141" s="624"/>
      <c r="AA141" s="624"/>
      <c r="AB141" s="624"/>
      <c r="AC141" s="624"/>
      <c r="AD141" s="624"/>
    </row>
    <row r="142" spans="1:30" s="559" customFormat="1">
      <c r="A142" s="560" t="s">
        <v>83</v>
      </c>
      <c r="B142" s="560" t="s">
        <v>240</v>
      </c>
      <c r="C142" s="560" t="s">
        <v>99</v>
      </c>
      <c r="D142" s="560">
        <v>0</v>
      </c>
      <c r="E142" s="638" t="s">
        <v>69</v>
      </c>
      <c r="F142" s="638" t="s">
        <v>69</v>
      </c>
      <c r="G142" s="638" t="s">
        <v>69</v>
      </c>
      <c r="H142" s="638" t="s">
        <v>69</v>
      </c>
      <c r="I142" s="643" t="s">
        <v>69</v>
      </c>
      <c r="J142" s="638" t="s">
        <v>69</v>
      </c>
      <c r="K142" s="638" t="s">
        <v>69</v>
      </c>
      <c r="L142" s="638" t="s">
        <v>69</v>
      </c>
      <c r="M142" s="560">
        <v>0</v>
      </c>
      <c r="N142" s="645"/>
      <c r="O142" s="645"/>
      <c r="P142" s="627"/>
      <c r="Q142" s="627"/>
      <c r="R142" s="627"/>
      <c r="S142" s="627"/>
      <c r="T142" s="627"/>
      <c r="U142" s="627"/>
      <c r="V142" s="627"/>
      <c r="W142" s="627"/>
      <c r="X142" s="627"/>
      <c r="Y142" s="627"/>
      <c r="Z142" s="627"/>
      <c r="AA142" s="627"/>
      <c r="AB142" s="624"/>
      <c r="AC142" s="624"/>
      <c r="AD142" s="624"/>
    </row>
    <row r="143" spans="1:30" s="559" customFormat="1">
      <c r="A143" s="560" t="s">
        <v>83</v>
      </c>
      <c r="B143" s="560" t="s">
        <v>240</v>
      </c>
      <c r="C143" s="560" t="s">
        <v>99</v>
      </c>
      <c r="D143" s="560">
        <v>1</v>
      </c>
      <c r="E143" s="638" t="s">
        <v>69</v>
      </c>
      <c r="F143" s="638" t="s">
        <v>69</v>
      </c>
      <c r="G143" s="638" t="s">
        <v>69</v>
      </c>
      <c r="H143" s="638" t="s">
        <v>69</v>
      </c>
      <c r="I143" s="643" t="s">
        <v>69</v>
      </c>
      <c r="J143" s="638" t="s">
        <v>69</v>
      </c>
      <c r="K143" s="638" t="s">
        <v>69</v>
      </c>
      <c r="L143" s="638" t="s">
        <v>69</v>
      </c>
      <c r="M143" s="560">
        <v>1</v>
      </c>
      <c r="N143" s="645"/>
      <c r="O143" s="645"/>
      <c r="P143" s="627"/>
      <c r="Q143" s="627"/>
      <c r="R143" s="627"/>
      <c r="S143" s="627"/>
      <c r="T143" s="627"/>
      <c r="U143" s="627"/>
      <c r="V143" s="627"/>
      <c r="W143" s="627"/>
      <c r="X143" s="627"/>
      <c r="Y143" s="627"/>
      <c r="Z143" s="627"/>
      <c r="AA143" s="627"/>
      <c r="AB143" s="624"/>
      <c r="AC143" s="624"/>
      <c r="AD143" s="624"/>
    </row>
    <row r="144" spans="1:30" s="559" customFormat="1">
      <c r="A144" s="560" t="s">
        <v>83</v>
      </c>
      <c r="B144" s="560" t="s">
        <v>240</v>
      </c>
      <c r="C144" s="560" t="s">
        <v>99</v>
      </c>
      <c r="D144" s="560">
        <v>2</v>
      </c>
      <c r="E144" s="638" t="s">
        <v>69</v>
      </c>
      <c r="F144" s="638" t="s">
        <v>69</v>
      </c>
      <c r="G144" s="638" t="s">
        <v>69</v>
      </c>
      <c r="H144" s="638" t="s">
        <v>69</v>
      </c>
      <c r="I144" s="643" t="s">
        <v>69</v>
      </c>
      <c r="J144" s="638" t="s">
        <v>69</v>
      </c>
      <c r="K144" s="638" t="s">
        <v>69</v>
      </c>
      <c r="L144" s="638" t="s">
        <v>69</v>
      </c>
      <c r="M144" s="560">
        <v>2</v>
      </c>
      <c r="N144" s="645"/>
      <c r="O144" s="645"/>
      <c r="P144" s="627"/>
      <c r="Q144" s="627"/>
      <c r="R144" s="627"/>
      <c r="S144" s="627"/>
      <c r="T144" s="627"/>
      <c r="U144" s="627"/>
      <c r="V144" s="627"/>
      <c r="W144" s="627"/>
      <c r="X144" s="627"/>
      <c r="Y144" s="627"/>
      <c r="Z144" s="627"/>
      <c r="AA144" s="627"/>
      <c r="AB144" s="624"/>
      <c r="AC144" s="624"/>
      <c r="AD144" s="624"/>
    </row>
    <row r="145" spans="1:30" s="559" customFormat="1">
      <c r="A145" s="560" t="s">
        <v>83</v>
      </c>
      <c r="B145" s="560" t="s">
        <v>240</v>
      </c>
      <c r="C145" s="560" t="s">
        <v>99</v>
      </c>
      <c r="D145" s="560">
        <v>3</v>
      </c>
      <c r="E145" s="638" t="s">
        <v>69</v>
      </c>
      <c r="F145" s="638" t="s">
        <v>69</v>
      </c>
      <c r="G145" s="638" t="s">
        <v>69</v>
      </c>
      <c r="H145" s="638" t="s">
        <v>69</v>
      </c>
      <c r="I145" s="643" t="s">
        <v>69</v>
      </c>
      <c r="J145" s="638" t="s">
        <v>69</v>
      </c>
      <c r="K145" s="638" t="s">
        <v>69</v>
      </c>
      <c r="L145" s="638" t="s">
        <v>69</v>
      </c>
      <c r="M145" s="560">
        <v>3</v>
      </c>
      <c r="N145" s="645"/>
      <c r="O145" s="645"/>
      <c r="P145" s="627"/>
      <c r="Q145" s="627"/>
      <c r="R145" s="627"/>
      <c r="S145" s="627"/>
      <c r="T145" s="627"/>
      <c r="U145" s="627"/>
      <c r="V145" s="627"/>
      <c r="W145" s="627"/>
      <c r="X145" s="627"/>
      <c r="Y145" s="627"/>
      <c r="Z145" s="627"/>
      <c r="AA145" s="627"/>
      <c r="AB145" s="624"/>
      <c r="AC145" s="624"/>
      <c r="AD145" s="624"/>
    </row>
    <row r="146" spans="1:30" s="559" customFormat="1">
      <c r="A146" s="560" t="s">
        <v>83</v>
      </c>
      <c r="B146" s="560" t="s">
        <v>240</v>
      </c>
      <c r="C146" s="560" t="s">
        <v>99</v>
      </c>
      <c r="D146" s="560">
        <v>4</v>
      </c>
      <c r="E146" s="638" t="s">
        <v>69</v>
      </c>
      <c r="F146" s="638" t="s">
        <v>69</v>
      </c>
      <c r="G146" s="638" t="s">
        <v>69</v>
      </c>
      <c r="H146" s="638" t="s">
        <v>69</v>
      </c>
      <c r="I146" s="643" t="s">
        <v>69</v>
      </c>
      <c r="J146" s="638" t="s">
        <v>69</v>
      </c>
      <c r="K146" s="638" t="s">
        <v>69</v>
      </c>
      <c r="L146" s="638" t="s">
        <v>69</v>
      </c>
      <c r="M146" s="560">
        <v>4</v>
      </c>
      <c r="N146" s="645"/>
      <c r="O146" s="645"/>
      <c r="P146" s="627"/>
      <c r="Q146" s="627"/>
      <c r="R146" s="627"/>
      <c r="S146" s="627"/>
      <c r="T146" s="627"/>
      <c r="U146" s="627"/>
      <c r="V146" s="627"/>
      <c r="W146" s="627"/>
      <c r="X146" s="627"/>
      <c r="Y146" s="627"/>
      <c r="Z146" s="627"/>
      <c r="AA146" s="627"/>
      <c r="AB146" s="624"/>
      <c r="AC146" s="624"/>
      <c r="AD146" s="624"/>
    </row>
    <row r="147" spans="1:30" s="559" customFormat="1">
      <c r="A147" s="560" t="s">
        <v>83</v>
      </c>
      <c r="B147" s="560" t="s">
        <v>240</v>
      </c>
      <c r="C147" s="560" t="s">
        <v>99</v>
      </c>
      <c r="D147" s="560">
        <v>5</v>
      </c>
      <c r="E147" s="638" t="s">
        <v>69</v>
      </c>
      <c r="F147" s="638" t="s">
        <v>69</v>
      </c>
      <c r="G147" s="638" t="s">
        <v>69</v>
      </c>
      <c r="H147" s="638" t="s">
        <v>69</v>
      </c>
      <c r="I147" s="643" t="s">
        <v>69</v>
      </c>
      <c r="J147" s="638" t="s">
        <v>69</v>
      </c>
      <c r="K147" s="638" t="s">
        <v>69</v>
      </c>
      <c r="L147" s="638" t="s">
        <v>69</v>
      </c>
      <c r="M147" s="560">
        <v>5</v>
      </c>
      <c r="N147" s="645"/>
      <c r="O147" s="645"/>
      <c r="P147" s="627"/>
      <c r="Q147" s="627"/>
      <c r="R147" s="627"/>
      <c r="S147" s="627"/>
      <c r="T147" s="627"/>
      <c r="U147" s="627"/>
      <c r="V147" s="627"/>
      <c r="W147" s="627"/>
      <c r="X147" s="627"/>
      <c r="Y147" s="627"/>
      <c r="Z147" s="627"/>
      <c r="AA147" s="627"/>
      <c r="AB147" s="624"/>
      <c r="AC147" s="624"/>
      <c r="AD147" s="624"/>
    </row>
    <row r="148" spans="1:30" s="559" customFormat="1">
      <c r="A148" s="560" t="s">
        <v>83</v>
      </c>
      <c r="B148" s="560" t="s">
        <v>240</v>
      </c>
      <c r="C148" s="560" t="s">
        <v>99</v>
      </c>
      <c r="D148" s="560">
        <v>6</v>
      </c>
      <c r="E148" s="638" t="s">
        <v>69</v>
      </c>
      <c r="F148" s="638" t="s">
        <v>69</v>
      </c>
      <c r="G148" s="638" t="s">
        <v>69</v>
      </c>
      <c r="H148" s="638" t="s">
        <v>69</v>
      </c>
      <c r="I148" s="643" t="s">
        <v>69</v>
      </c>
      <c r="J148" s="638" t="s">
        <v>69</v>
      </c>
      <c r="K148" s="638" t="s">
        <v>69</v>
      </c>
      <c r="L148" s="638" t="s">
        <v>69</v>
      </c>
      <c r="M148" s="560">
        <v>6</v>
      </c>
      <c r="N148" s="645"/>
      <c r="O148" s="645"/>
      <c r="P148" s="627"/>
      <c r="Q148" s="627"/>
      <c r="R148" s="627"/>
      <c r="S148" s="627"/>
      <c r="T148" s="627"/>
      <c r="U148" s="627"/>
      <c r="V148" s="627"/>
      <c r="W148" s="627"/>
      <c r="X148" s="627"/>
      <c r="Y148" s="627"/>
      <c r="Z148" s="627"/>
      <c r="AA148" s="627"/>
      <c r="AB148" s="624"/>
      <c r="AC148" s="624"/>
      <c r="AD148" s="624"/>
    </row>
    <row r="149" spans="1:30">
      <c r="A149" s="551" t="s">
        <v>83</v>
      </c>
      <c r="B149" s="551" t="s">
        <v>503</v>
      </c>
      <c r="C149" s="551" t="s">
        <v>497</v>
      </c>
      <c r="D149" s="551">
        <v>0</v>
      </c>
      <c r="E149" s="635">
        <v>3609.6550070899998</v>
      </c>
      <c r="F149" s="635">
        <v>2209.4900978400001</v>
      </c>
      <c r="G149" s="634">
        <f t="shared" si="18"/>
        <v>30664.542524510001</v>
      </c>
      <c r="H149" s="635">
        <v>34274.197531600003</v>
      </c>
      <c r="I149" s="641" t="s">
        <v>476</v>
      </c>
      <c r="J149" s="635">
        <v>27.189125295499998</v>
      </c>
      <c r="K149" s="635"/>
      <c r="L149" s="635"/>
      <c r="M149" s="551">
        <v>0</v>
      </c>
      <c r="N149" s="645">
        <f t="shared" si="19"/>
        <v>16523.146471661435</v>
      </c>
      <c r="O149" s="645">
        <f t="shared" ca="1" si="20"/>
        <v>0</v>
      </c>
      <c r="P149" s="625"/>
      <c r="Q149" s="625"/>
      <c r="R149" s="625"/>
      <c r="S149" s="625"/>
      <c r="T149" s="625"/>
      <c r="U149" s="625"/>
      <c r="V149" s="625"/>
      <c r="W149" s="625"/>
      <c r="X149" s="625"/>
      <c r="Y149" s="625"/>
      <c r="Z149" s="625"/>
      <c r="AA149" s="625"/>
      <c r="AB149" s="624"/>
      <c r="AC149" s="624"/>
      <c r="AD149" s="624"/>
    </row>
    <row r="150" spans="1:30">
      <c r="A150" s="551" t="s">
        <v>83</v>
      </c>
      <c r="B150" s="551" t="s">
        <v>503</v>
      </c>
      <c r="C150" s="551" t="s">
        <v>497</v>
      </c>
      <c r="D150" s="551">
        <v>1</v>
      </c>
      <c r="E150" s="635">
        <v>4074.3987174899999</v>
      </c>
      <c r="F150" s="635">
        <v>2142.6120710499999</v>
      </c>
      <c r="G150" s="634">
        <f t="shared" si="18"/>
        <v>29726.781242710003</v>
      </c>
      <c r="H150" s="635">
        <v>33801.179960200003</v>
      </c>
      <c r="I150" s="641">
        <v>6.9238147367612797</v>
      </c>
      <c r="J150" s="635">
        <v>27.189125295499998</v>
      </c>
      <c r="K150" s="635">
        <v>5.68557919622</v>
      </c>
      <c r="L150" s="635">
        <v>2150.3109370100001</v>
      </c>
      <c r="M150" s="551">
        <v>1</v>
      </c>
      <c r="N150" s="645">
        <f t="shared" si="19"/>
        <v>16023.0150461044</v>
      </c>
      <c r="O150" s="645">
        <f t="shared" ca="1" si="20"/>
        <v>500.13142555703598</v>
      </c>
      <c r="P150" s="625"/>
      <c r="Q150" s="625"/>
      <c r="R150" s="625"/>
      <c r="S150" s="625"/>
      <c r="T150" s="625"/>
      <c r="U150" s="625"/>
      <c r="V150" s="625"/>
      <c r="W150" s="625"/>
      <c r="X150" s="625"/>
      <c r="Y150" s="625"/>
      <c r="Z150" s="625"/>
      <c r="AA150" s="625"/>
      <c r="AB150" s="624"/>
      <c r="AC150" s="624"/>
      <c r="AD150" s="624"/>
    </row>
    <row r="151" spans="1:30">
      <c r="A151" s="551" t="s">
        <v>83</v>
      </c>
      <c r="B151" s="551" t="s">
        <v>503</v>
      </c>
      <c r="C151" s="551" t="s">
        <v>497</v>
      </c>
      <c r="D151" s="551">
        <v>2</v>
      </c>
      <c r="E151" s="635">
        <v>4158.36568558</v>
      </c>
      <c r="F151" s="635">
        <v>2122.2636302199999</v>
      </c>
      <c r="G151" s="634">
        <f t="shared" si="18"/>
        <v>29439.228391520002</v>
      </c>
      <c r="H151" s="635">
        <v>33597.594077100002</v>
      </c>
      <c r="I151" s="641">
        <v>6.2532244850854699</v>
      </c>
      <c r="J151" s="635">
        <v>27.189125295499998</v>
      </c>
      <c r="K151" s="635">
        <v>7.83687943262</v>
      </c>
      <c r="L151" s="635">
        <v>2251.7959185700001</v>
      </c>
      <c r="M151" s="551">
        <v>2</v>
      </c>
      <c r="N151" s="645">
        <f t="shared" si="19"/>
        <v>15870.844068450906</v>
      </c>
      <c r="O151" s="645">
        <f t="shared" ca="1" si="20"/>
        <v>652.30240321052952</v>
      </c>
      <c r="P151" s="625"/>
      <c r="Q151" s="625"/>
      <c r="R151" s="625"/>
      <c r="S151" s="625"/>
      <c r="T151" s="625"/>
      <c r="U151" s="625"/>
      <c r="V151" s="625"/>
      <c r="W151" s="625"/>
      <c r="X151" s="625"/>
      <c r="Y151" s="625"/>
      <c r="Z151" s="625"/>
      <c r="AA151" s="625"/>
      <c r="AB151" s="624"/>
      <c r="AC151" s="624"/>
      <c r="AD151" s="624"/>
    </row>
    <row r="152" spans="1:30">
      <c r="A152" s="551" t="s">
        <v>83</v>
      </c>
      <c r="B152" s="551" t="s">
        <v>503</v>
      </c>
      <c r="C152" s="551" t="s">
        <v>497</v>
      </c>
      <c r="D152" s="551">
        <v>3</v>
      </c>
      <c r="E152" s="635">
        <v>4298.1986122899998</v>
      </c>
      <c r="F152" s="635">
        <v>2087.1811686599999</v>
      </c>
      <c r="G152" s="634">
        <f t="shared" si="18"/>
        <v>28944.799909610003</v>
      </c>
      <c r="H152" s="635">
        <v>33242.998521900001</v>
      </c>
      <c r="I152" s="641">
        <v>5.5897782873330897</v>
      </c>
      <c r="J152" s="635">
        <v>27.189125295499998</v>
      </c>
      <c r="K152" s="635">
        <v>9.6926713947999996</v>
      </c>
      <c r="L152" s="635">
        <v>2539.7215784700002</v>
      </c>
      <c r="M152" s="551">
        <v>3</v>
      </c>
      <c r="N152" s="645">
        <f t="shared" si="19"/>
        <v>15608.488219239814</v>
      </c>
      <c r="O152" s="645">
        <f t="shared" ca="1" si="20"/>
        <v>914.658252421621</v>
      </c>
      <c r="P152" s="625"/>
      <c r="Q152" s="625"/>
      <c r="R152" s="625"/>
      <c r="S152" s="625"/>
      <c r="T152" s="625"/>
      <c r="U152" s="625"/>
      <c r="V152" s="625"/>
      <c r="W152" s="625"/>
      <c r="X152" s="625"/>
      <c r="Y152" s="625"/>
      <c r="Z152" s="625"/>
      <c r="AA152" s="625"/>
      <c r="AB152" s="624"/>
      <c r="AC152" s="624"/>
      <c r="AD152" s="624"/>
    </row>
    <row r="153" spans="1:30">
      <c r="A153" s="551" t="s">
        <v>83</v>
      </c>
      <c r="B153" s="551" t="s">
        <v>503</v>
      </c>
      <c r="C153" s="551" t="s">
        <v>497</v>
      </c>
      <c r="D153" s="551">
        <v>4</v>
      </c>
      <c r="E153" s="635">
        <v>4448.8487434999997</v>
      </c>
      <c r="F153" s="635">
        <v>2050.0858176800002</v>
      </c>
      <c r="G153" s="634">
        <f t="shared" si="18"/>
        <v>28428.084781600002</v>
      </c>
      <c r="H153" s="635">
        <v>32876.933525100001</v>
      </c>
      <c r="I153" s="641">
        <v>5.2221379969793</v>
      </c>
      <c r="J153" s="635">
        <v>27.189125295499998</v>
      </c>
      <c r="K153" s="635">
        <v>11.985815602800001</v>
      </c>
      <c r="L153" s="635">
        <v>2708.7198659300002</v>
      </c>
      <c r="M153" s="551">
        <v>4</v>
      </c>
      <c r="N153" s="645">
        <f t="shared" si="19"/>
        <v>15331.079454991706</v>
      </c>
      <c r="O153" s="645">
        <f t="shared" ca="1" si="20"/>
        <v>1192.0670166697291</v>
      </c>
      <c r="P153" s="625"/>
      <c r="Q153" s="625"/>
      <c r="R153" s="625"/>
      <c r="S153" s="625"/>
      <c r="T153" s="625"/>
      <c r="U153" s="625"/>
      <c r="V153" s="625"/>
      <c r="W153" s="625"/>
      <c r="X153" s="625"/>
      <c r="Y153" s="625"/>
      <c r="Z153" s="625"/>
      <c r="AA153" s="625"/>
      <c r="AB153" s="624"/>
      <c r="AC153" s="624"/>
      <c r="AD153" s="624"/>
    </row>
    <row r="154" spans="1:30">
      <c r="A154" s="551" t="s">
        <v>83</v>
      </c>
      <c r="B154" s="551" t="s">
        <v>503</v>
      </c>
      <c r="C154" s="551" t="s">
        <v>497</v>
      </c>
      <c r="D154" s="551">
        <v>5</v>
      </c>
      <c r="E154" s="635">
        <v>4628.2925472799998</v>
      </c>
      <c r="F154" s="635">
        <v>2015.80853783</v>
      </c>
      <c r="G154" s="634">
        <f t="shared" si="18"/>
        <v>27945.558026220002</v>
      </c>
      <c r="H154" s="635">
        <v>32573.8505735</v>
      </c>
      <c r="I154" s="641">
        <v>5.21264344382912</v>
      </c>
      <c r="J154" s="635">
        <v>27.189125295499998</v>
      </c>
      <c r="K154" s="635">
        <v>14.054373522500001</v>
      </c>
      <c r="L154" s="635">
        <v>2785.0794317099999</v>
      </c>
      <c r="M154" s="551">
        <v>5</v>
      </c>
      <c r="N154" s="645">
        <f t="shared" si="19"/>
        <v>15074.744965796501</v>
      </c>
      <c r="O154" s="645">
        <f t="shared" ca="1" si="20"/>
        <v>1448.4015058649347</v>
      </c>
      <c r="P154" s="625"/>
      <c r="Q154" s="625"/>
      <c r="R154" s="625"/>
      <c r="S154" s="625"/>
      <c r="T154" s="625"/>
      <c r="U154" s="625"/>
      <c r="V154" s="625"/>
      <c r="W154" s="625"/>
      <c r="X154" s="625"/>
      <c r="Y154" s="625"/>
      <c r="Z154" s="625"/>
      <c r="AA154" s="625"/>
      <c r="AB154" s="624"/>
      <c r="AC154" s="624"/>
      <c r="AD154" s="624"/>
    </row>
    <row r="155" spans="1:30">
      <c r="A155" s="551" t="s">
        <v>83</v>
      </c>
      <c r="B155" s="551" t="s">
        <v>503</v>
      </c>
      <c r="C155" s="551" t="s">
        <v>497</v>
      </c>
      <c r="D155" s="551">
        <v>6</v>
      </c>
      <c r="E155" s="635">
        <v>5181.5610567399999</v>
      </c>
      <c r="F155" s="635">
        <v>1873.7412052300001</v>
      </c>
      <c r="G155" s="634">
        <f t="shared" si="18"/>
        <v>25983.35162836</v>
      </c>
      <c r="H155" s="635">
        <v>31164.9126851</v>
      </c>
      <c r="I155" s="641">
        <v>4.5775297680942098</v>
      </c>
      <c r="J155" s="635">
        <v>27.189125295499998</v>
      </c>
      <c r="K155" s="635">
        <v>19.3735224586</v>
      </c>
      <c r="L155" s="635">
        <v>3666.13934509</v>
      </c>
      <c r="M155" s="551">
        <v>6</v>
      </c>
      <c r="N155" s="645">
        <f t="shared" si="19"/>
        <v>14012.328190232374</v>
      </c>
      <c r="O155" s="645">
        <f t="shared" ca="1" si="20"/>
        <v>2510.8182814290612</v>
      </c>
      <c r="P155" s="625"/>
      <c r="Q155" s="625"/>
      <c r="R155" s="625"/>
      <c r="S155" s="625"/>
      <c r="T155" s="625"/>
      <c r="U155" s="625"/>
      <c r="V155" s="625"/>
      <c r="W155" s="625"/>
      <c r="X155" s="625"/>
      <c r="Y155" s="625"/>
      <c r="Z155" s="625"/>
      <c r="AA155" s="625"/>
      <c r="AB155" s="624"/>
      <c r="AC155" s="624"/>
      <c r="AD155" s="624"/>
    </row>
    <row r="156" spans="1:30">
      <c r="A156" s="551" t="s">
        <v>83</v>
      </c>
      <c r="B156" s="551" t="s">
        <v>503</v>
      </c>
      <c r="C156" s="551" t="s">
        <v>499</v>
      </c>
      <c r="D156" s="551">
        <v>0</v>
      </c>
      <c r="E156" s="635">
        <v>3609.6550069999998</v>
      </c>
      <c r="F156" s="635">
        <v>2209.4900980000002</v>
      </c>
      <c r="G156" s="634">
        <f t="shared" si="18"/>
        <v>30664.542522999996</v>
      </c>
      <c r="H156" s="635">
        <v>34274.197529999998</v>
      </c>
      <c r="I156" s="641" t="s">
        <v>476</v>
      </c>
      <c r="J156" s="635">
        <v>27.189125300000001</v>
      </c>
      <c r="K156" s="635"/>
      <c r="L156" s="635"/>
      <c r="M156" s="551">
        <v>0</v>
      </c>
      <c r="N156" s="645">
        <f t="shared" si="19"/>
        <v>16523.146472857956</v>
      </c>
      <c r="O156" s="645">
        <f t="shared" ca="1" si="20"/>
        <v>0</v>
      </c>
      <c r="P156" s="625"/>
      <c r="Q156" s="625"/>
      <c r="R156" s="625"/>
      <c r="S156" s="625"/>
      <c r="T156" s="625"/>
      <c r="U156" s="625"/>
      <c r="V156" s="625"/>
      <c r="W156" s="625"/>
      <c r="X156" s="625"/>
      <c r="Y156" s="625"/>
      <c r="Z156" s="625"/>
      <c r="AA156" s="625"/>
      <c r="AB156" s="624"/>
      <c r="AC156" s="624"/>
      <c r="AD156" s="624"/>
    </row>
    <row r="157" spans="1:30">
      <c r="A157" s="551" t="s">
        <v>83</v>
      </c>
      <c r="B157" s="551" t="s">
        <v>503</v>
      </c>
      <c r="C157" s="551" t="s">
        <v>499</v>
      </c>
      <c r="D157" s="551">
        <v>1</v>
      </c>
      <c r="E157" s="635">
        <v>4074.398717</v>
      </c>
      <c r="F157" s="635">
        <v>2142.612071</v>
      </c>
      <c r="G157" s="634">
        <f t="shared" si="18"/>
        <v>29726.781243000001</v>
      </c>
      <c r="H157" s="635">
        <v>33801.179960000001</v>
      </c>
      <c r="I157" s="641">
        <v>6.9238147369999998</v>
      </c>
      <c r="J157" s="635">
        <v>27.189125300000001</v>
      </c>
      <c r="K157" s="635">
        <v>5.68557919622</v>
      </c>
      <c r="L157" s="635">
        <v>2150.3109370100001</v>
      </c>
      <c r="M157" s="551">
        <v>1</v>
      </c>
      <c r="N157" s="645">
        <f t="shared" si="19"/>
        <v>16023.015045730486</v>
      </c>
      <c r="O157" s="645">
        <f t="shared" ca="1" si="20"/>
        <v>500.13142712746958</v>
      </c>
      <c r="P157" s="625"/>
      <c r="Q157" s="625"/>
      <c r="R157" s="625"/>
      <c r="S157" s="625"/>
      <c r="T157" s="625"/>
      <c r="U157" s="625"/>
      <c r="V157" s="625"/>
      <c r="W157" s="625"/>
      <c r="X157" s="625"/>
      <c r="Y157" s="625"/>
      <c r="Z157" s="625"/>
      <c r="AA157" s="625"/>
      <c r="AB157" s="624"/>
      <c r="AC157" s="624"/>
      <c r="AD157" s="624"/>
    </row>
    <row r="158" spans="1:30">
      <c r="A158" s="551" t="s">
        <v>83</v>
      </c>
      <c r="B158" s="551" t="s">
        <v>503</v>
      </c>
      <c r="C158" s="551" t="s">
        <v>499</v>
      </c>
      <c r="D158" s="551">
        <v>2</v>
      </c>
      <c r="E158" s="635">
        <v>4158.3656860000001</v>
      </c>
      <c r="F158" s="635">
        <v>2122.2636299999999</v>
      </c>
      <c r="G158" s="634">
        <f t="shared" si="18"/>
        <v>29439.228394000002</v>
      </c>
      <c r="H158" s="635">
        <v>33597.594080000003</v>
      </c>
      <c r="I158" s="641">
        <v>6.2532244849999996</v>
      </c>
      <c r="J158" s="635">
        <v>27.189125300000001</v>
      </c>
      <c r="K158" s="635">
        <v>7.83687943262</v>
      </c>
      <c r="L158" s="635">
        <v>2251.7959185700001</v>
      </c>
      <c r="M158" s="551">
        <v>2</v>
      </c>
      <c r="N158" s="645">
        <f t="shared" si="19"/>
        <v>15870.844066805688</v>
      </c>
      <c r="O158" s="645">
        <f t="shared" ca="1" si="20"/>
        <v>652.30240605226754</v>
      </c>
      <c r="P158" s="625"/>
      <c r="Q158" s="625"/>
      <c r="R158" s="625"/>
      <c r="S158" s="625"/>
      <c r="T158" s="625"/>
      <c r="U158" s="625"/>
      <c r="V158" s="625"/>
      <c r="W158" s="625"/>
      <c r="X158" s="625"/>
      <c r="Y158" s="625"/>
      <c r="Z158" s="625"/>
      <c r="AA158" s="625"/>
      <c r="AB158" s="624"/>
      <c r="AC158" s="624"/>
      <c r="AD158" s="624"/>
    </row>
    <row r="159" spans="1:30">
      <c r="A159" s="551" t="s">
        <v>83</v>
      </c>
      <c r="B159" s="551" t="s">
        <v>503</v>
      </c>
      <c r="C159" s="551" t="s">
        <v>499</v>
      </c>
      <c r="D159" s="551">
        <v>3</v>
      </c>
      <c r="E159" s="635">
        <v>4298.1986120000001</v>
      </c>
      <c r="F159" s="635">
        <v>2087.181169</v>
      </c>
      <c r="G159" s="634">
        <f t="shared" si="18"/>
        <v>28944.799908000001</v>
      </c>
      <c r="H159" s="635">
        <v>33242.998520000001</v>
      </c>
      <c r="I159" s="641">
        <v>5.5897782869999997</v>
      </c>
      <c r="J159" s="635">
        <v>27.189125300000001</v>
      </c>
      <c r="K159" s="635">
        <v>9.7044917257699996</v>
      </c>
      <c r="L159" s="635">
        <v>2539.7215784700002</v>
      </c>
      <c r="M159" s="551">
        <v>3</v>
      </c>
      <c r="N159" s="645">
        <f t="shared" si="19"/>
        <v>15608.488221782423</v>
      </c>
      <c r="O159" s="645">
        <f t="shared" ca="1" si="20"/>
        <v>914.65825107553246</v>
      </c>
      <c r="P159" s="625"/>
      <c r="Q159" s="625"/>
      <c r="R159" s="625"/>
      <c r="S159" s="625"/>
      <c r="T159" s="625"/>
      <c r="U159" s="625"/>
      <c r="V159" s="625"/>
      <c r="W159" s="625"/>
      <c r="X159" s="625"/>
      <c r="Y159" s="625"/>
      <c r="Z159" s="625"/>
      <c r="AA159" s="625"/>
      <c r="AB159" s="624"/>
      <c r="AC159" s="624"/>
      <c r="AD159" s="624"/>
    </row>
    <row r="160" spans="1:30">
      <c r="A160" s="551" t="s">
        <v>83</v>
      </c>
      <c r="B160" s="551" t="s">
        <v>503</v>
      </c>
      <c r="C160" s="551" t="s">
        <v>499</v>
      </c>
      <c r="D160" s="551">
        <v>4</v>
      </c>
      <c r="E160" s="635">
        <v>4448.8487439999999</v>
      </c>
      <c r="F160" s="635">
        <v>2050.085818</v>
      </c>
      <c r="G160" s="634">
        <f t="shared" si="18"/>
        <v>28428.084786000003</v>
      </c>
      <c r="H160" s="635">
        <v>32876.933530000002</v>
      </c>
      <c r="I160" s="641">
        <v>5.2221379969999999</v>
      </c>
      <c r="J160" s="635">
        <v>27.189125300000001</v>
      </c>
      <c r="K160" s="635">
        <v>11.9976359338</v>
      </c>
      <c r="L160" s="635">
        <v>2708.7198659300002</v>
      </c>
      <c r="M160" s="551">
        <v>4</v>
      </c>
      <c r="N160" s="645">
        <f t="shared" si="19"/>
        <v>15331.079457384749</v>
      </c>
      <c r="O160" s="645">
        <f t="shared" ca="1" si="20"/>
        <v>1192.067015473207</v>
      </c>
      <c r="P160" s="625"/>
      <c r="Q160" s="625"/>
      <c r="R160" s="625"/>
      <c r="S160" s="625"/>
      <c r="T160" s="625"/>
      <c r="U160" s="625"/>
      <c r="V160" s="625"/>
      <c r="W160" s="625"/>
      <c r="X160" s="625"/>
      <c r="Y160" s="625"/>
      <c r="Z160" s="625"/>
      <c r="AA160" s="625"/>
      <c r="AB160" s="624"/>
      <c r="AC160" s="624"/>
      <c r="AD160" s="624"/>
    </row>
    <row r="161" spans="1:30">
      <c r="A161" s="551" t="s">
        <v>83</v>
      </c>
      <c r="B161" s="551" t="s">
        <v>503</v>
      </c>
      <c r="C161" s="551" t="s">
        <v>499</v>
      </c>
      <c r="D161" s="551">
        <v>5</v>
      </c>
      <c r="E161" s="635">
        <v>4628.292547</v>
      </c>
      <c r="F161" s="635">
        <v>2015.808538</v>
      </c>
      <c r="G161" s="634">
        <f t="shared" si="18"/>
        <v>27945.558022999998</v>
      </c>
      <c r="H161" s="635">
        <v>32573.850569999999</v>
      </c>
      <c r="I161" s="641">
        <v>5.2126434440000002</v>
      </c>
      <c r="J161" s="635">
        <v>27.189125300000001</v>
      </c>
      <c r="K161" s="635">
        <v>14.0661938534</v>
      </c>
      <c r="L161" s="635">
        <v>2785.0794317099999</v>
      </c>
      <c r="M161" s="551">
        <v>5</v>
      </c>
      <c r="N161" s="645">
        <f t="shared" si="19"/>
        <v>15074.744967067805</v>
      </c>
      <c r="O161" s="645">
        <f t="shared" ca="1" si="20"/>
        <v>1448.4015057901506</v>
      </c>
      <c r="P161" s="625"/>
      <c r="Q161" s="625"/>
      <c r="R161" s="625"/>
      <c r="S161" s="625"/>
      <c r="T161" s="625"/>
      <c r="U161" s="625"/>
      <c r="V161" s="625"/>
      <c r="W161" s="625"/>
      <c r="X161" s="625"/>
      <c r="Y161" s="625"/>
      <c r="Z161" s="625"/>
      <c r="AA161" s="625"/>
      <c r="AB161" s="624"/>
      <c r="AC161" s="624"/>
      <c r="AD161" s="624"/>
    </row>
    <row r="162" spans="1:30">
      <c r="A162" s="551" t="s">
        <v>83</v>
      </c>
      <c r="B162" s="551" t="s">
        <v>503</v>
      </c>
      <c r="C162" s="551" t="s">
        <v>499</v>
      </c>
      <c r="D162" s="551">
        <v>6</v>
      </c>
      <c r="E162" s="635">
        <v>5181.5610569999999</v>
      </c>
      <c r="F162" s="635">
        <v>1873.741205</v>
      </c>
      <c r="G162" s="634">
        <f t="shared" si="18"/>
        <v>25983.351633000002</v>
      </c>
      <c r="H162" s="635">
        <v>31164.912690000001</v>
      </c>
      <c r="I162" s="641">
        <v>4.5775297679999998</v>
      </c>
      <c r="J162" s="635">
        <v>27.189125300000001</v>
      </c>
      <c r="K162" s="635">
        <v>19.361702127699999</v>
      </c>
      <c r="L162" s="635">
        <v>3666.13934509</v>
      </c>
      <c r="M162" s="551">
        <v>6</v>
      </c>
      <c r="N162" s="645">
        <f t="shared" si="19"/>
        <v>14012.328188512372</v>
      </c>
      <c r="O162" s="645">
        <f t="shared" ca="1" si="20"/>
        <v>2510.8182843455834</v>
      </c>
      <c r="P162" s="625"/>
      <c r="Q162" s="625"/>
      <c r="R162" s="625"/>
      <c r="S162" s="625"/>
      <c r="T162" s="625"/>
      <c r="U162" s="625"/>
      <c r="V162" s="625"/>
      <c r="W162" s="625"/>
      <c r="X162" s="625"/>
      <c r="Y162" s="625"/>
      <c r="Z162" s="625"/>
      <c r="AA162" s="625"/>
      <c r="AB162" s="624"/>
      <c r="AC162" s="624"/>
      <c r="AD162" s="624"/>
    </row>
    <row r="163" spans="1:30">
      <c r="A163" s="560" t="s">
        <v>83</v>
      </c>
      <c r="B163" s="560" t="s">
        <v>503</v>
      </c>
      <c r="C163" s="560" t="s">
        <v>99</v>
      </c>
      <c r="D163" s="560">
        <v>0</v>
      </c>
      <c r="E163" s="638" t="s">
        <v>69</v>
      </c>
      <c r="F163" s="638" t="s">
        <v>69</v>
      </c>
      <c r="G163" s="638" t="s">
        <v>69</v>
      </c>
      <c r="H163" s="638" t="s">
        <v>69</v>
      </c>
      <c r="I163" s="643" t="s">
        <v>69</v>
      </c>
      <c r="J163" s="638" t="s">
        <v>69</v>
      </c>
      <c r="K163" s="638" t="s">
        <v>69</v>
      </c>
      <c r="L163" s="638" t="s">
        <v>69</v>
      </c>
      <c r="M163" s="560">
        <v>0</v>
      </c>
      <c r="O163" s="645"/>
      <c r="P163" s="627"/>
      <c r="Q163" s="627"/>
      <c r="R163" s="627"/>
      <c r="S163" s="627"/>
      <c r="T163" s="627"/>
      <c r="U163" s="627"/>
      <c r="V163" s="627"/>
      <c r="W163" s="627"/>
      <c r="X163" s="627"/>
      <c r="Y163" s="627"/>
      <c r="Z163" s="627"/>
      <c r="AA163" s="627"/>
      <c r="AB163" s="624"/>
      <c r="AC163" s="624"/>
      <c r="AD163" s="624"/>
    </row>
    <row r="164" spans="1:30">
      <c r="A164" s="560" t="s">
        <v>83</v>
      </c>
      <c r="B164" s="560" t="s">
        <v>503</v>
      </c>
      <c r="C164" s="560" t="s">
        <v>99</v>
      </c>
      <c r="D164" s="560">
        <v>1</v>
      </c>
      <c r="E164" s="638" t="s">
        <v>69</v>
      </c>
      <c r="F164" s="638" t="s">
        <v>69</v>
      </c>
      <c r="G164" s="638" t="s">
        <v>69</v>
      </c>
      <c r="H164" s="638" t="s">
        <v>69</v>
      </c>
      <c r="I164" s="643" t="s">
        <v>69</v>
      </c>
      <c r="J164" s="638" t="s">
        <v>69</v>
      </c>
      <c r="K164" s="638" t="s">
        <v>69</v>
      </c>
      <c r="L164" s="638" t="s">
        <v>69</v>
      </c>
      <c r="M164" s="560">
        <v>1</v>
      </c>
      <c r="O164" s="645"/>
      <c r="P164" s="627"/>
      <c r="Q164" s="627"/>
      <c r="R164" s="627"/>
      <c r="S164" s="627"/>
      <c r="T164" s="627"/>
      <c r="U164" s="627"/>
      <c r="V164" s="627"/>
      <c r="W164" s="627"/>
      <c r="X164" s="627"/>
      <c r="Y164" s="627"/>
      <c r="Z164" s="627"/>
      <c r="AA164" s="627"/>
      <c r="AB164" s="624"/>
      <c r="AC164" s="624"/>
      <c r="AD164" s="624"/>
    </row>
    <row r="165" spans="1:30">
      <c r="A165" s="560" t="s">
        <v>83</v>
      </c>
      <c r="B165" s="560" t="s">
        <v>503</v>
      </c>
      <c r="C165" s="560" t="s">
        <v>99</v>
      </c>
      <c r="D165" s="560">
        <v>2</v>
      </c>
      <c r="E165" s="638" t="s">
        <v>69</v>
      </c>
      <c r="F165" s="638" t="s">
        <v>69</v>
      </c>
      <c r="G165" s="638" t="s">
        <v>69</v>
      </c>
      <c r="H165" s="638" t="s">
        <v>69</v>
      </c>
      <c r="I165" s="643" t="s">
        <v>69</v>
      </c>
      <c r="J165" s="638" t="s">
        <v>69</v>
      </c>
      <c r="K165" s="638" t="s">
        <v>69</v>
      </c>
      <c r="L165" s="638" t="s">
        <v>69</v>
      </c>
      <c r="M165" s="560">
        <v>2</v>
      </c>
      <c r="O165" s="645"/>
      <c r="P165" s="627"/>
      <c r="Q165" s="627"/>
      <c r="R165" s="627"/>
      <c r="S165" s="627"/>
      <c r="T165" s="627"/>
      <c r="U165" s="627"/>
      <c r="V165" s="627"/>
      <c r="W165" s="627"/>
      <c r="X165" s="627"/>
      <c r="Y165" s="627"/>
      <c r="Z165" s="627"/>
      <c r="AA165" s="627"/>
      <c r="AB165" s="624"/>
      <c r="AC165" s="624"/>
      <c r="AD165" s="624"/>
    </row>
    <row r="166" spans="1:30">
      <c r="A166" s="560" t="s">
        <v>83</v>
      </c>
      <c r="B166" s="560" t="s">
        <v>503</v>
      </c>
      <c r="C166" s="560" t="s">
        <v>99</v>
      </c>
      <c r="D166" s="560">
        <v>3</v>
      </c>
      <c r="E166" s="638" t="s">
        <v>69</v>
      </c>
      <c r="F166" s="638" t="s">
        <v>69</v>
      </c>
      <c r="G166" s="638" t="s">
        <v>69</v>
      </c>
      <c r="H166" s="638" t="s">
        <v>69</v>
      </c>
      <c r="I166" s="643" t="s">
        <v>69</v>
      </c>
      <c r="J166" s="638" t="s">
        <v>69</v>
      </c>
      <c r="K166" s="638" t="s">
        <v>69</v>
      </c>
      <c r="L166" s="638" t="s">
        <v>69</v>
      </c>
      <c r="M166" s="560">
        <v>3</v>
      </c>
      <c r="O166" s="645"/>
      <c r="P166" s="627"/>
      <c r="Q166" s="627"/>
      <c r="R166" s="627"/>
      <c r="S166" s="627"/>
      <c r="T166" s="627"/>
      <c r="U166" s="627"/>
      <c r="V166" s="627"/>
      <c r="W166" s="627"/>
      <c r="X166" s="627"/>
      <c r="Y166" s="627"/>
      <c r="Z166" s="627"/>
      <c r="AA166" s="627"/>
      <c r="AB166" s="624"/>
      <c r="AC166" s="624"/>
      <c r="AD166" s="624"/>
    </row>
    <row r="167" spans="1:30">
      <c r="A167" s="560" t="s">
        <v>83</v>
      </c>
      <c r="B167" s="560" t="s">
        <v>503</v>
      </c>
      <c r="C167" s="560" t="s">
        <v>99</v>
      </c>
      <c r="D167" s="560">
        <v>4</v>
      </c>
      <c r="E167" s="638" t="s">
        <v>69</v>
      </c>
      <c r="F167" s="638" t="s">
        <v>69</v>
      </c>
      <c r="G167" s="638" t="s">
        <v>69</v>
      </c>
      <c r="H167" s="638" t="s">
        <v>69</v>
      </c>
      <c r="I167" s="643" t="s">
        <v>69</v>
      </c>
      <c r="J167" s="638" t="s">
        <v>69</v>
      </c>
      <c r="K167" s="638" t="s">
        <v>69</v>
      </c>
      <c r="L167" s="638" t="s">
        <v>69</v>
      </c>
      <c r="M167" s="560">
        <v>4</v>
      </c>
      <c r="O167" s="645"/>
      <c r="P167" s="627"/>
      <c r="Q167" s="627"/>
      <c r="R167" s="627"/>
      <c r="S167" s="627"/>
      <c r="T167" s="627"/>
      <c r="U167" s="627"/>
      <c r="V167" s="627"/>
      <c r="W167" s="627"/>
      <c r="X167" s="627"/>
      <c r="Y167" s="627"/>
      <c r="Z167" s="627"/>
      <c r="AA167" s="627"/>
      <c r="AB167" s="624"/>
      <c r="AC167" s="624"/>
      <c r="AD167" s="624"/>
    </row>
    <row r="168" spans="1:30">
      <c r="A168" s="560" t="s">
        <v>83</v>
      </c>
      <c r="B168" s="560" t="s">
        <v>503</v>
      </c>
      <c r="C168" s="560" t="s">
        <v>99</v>
      </c>
      <c r="D168" s="560">
        <v>5</v>
      </c>
      <c r="E168" s="638" t="s">
        <v>69</v>
      </c>
      <c r="F168" s="638" t="s">
        <v>69</v>
      </c>
      <c r="G168" s="638" t="s">
        <v>69</v>
      </c>
      <c r="H168" s="638" t="s">
        <v>69</v>
      </c>
      <c r="I168" s="643" t="s">
        <v>69</v>
      </c>
      <c r="J168" s="638" t="s">
        <v>69</v>
      </c>
      <c r="K168" s="638" t="s">
        <v>69</v>
      </c>
      <c r="L168" s="638" t="s">
        <v>69</v>
      </c>
      <c r="M168" s="560">
        <v>5</v>
      </c>
      <c r="O168" s="645"/>
      <c r="P168" s="627"/>
      <c r="Q168" s="627"/>
      <c r="R168" s="627"/>
      <c r="S168" s="627"/>
      <c r="T168" s="627"/>
      <c r="U168" s="627"/>
      <c r="V168" s="627"/>
      <c r="W168" s="627"/>
      <c r="X168" s="627"/>
      <c r="Y168" s="627"/>
      <c r="Z168" s="627"/>
      <c r="AA168" s="627"/>
      <c r="AB168" s="624"/>
      <c r="AC168" s="624"/>
      <c r="AD168" s="624"/>
    </row>
    <row r="169" spans="1:30">
      <c r="A169" s="560" t="s">
        <v>83</v>
      </c>
      <c r="B169" s="560" t="s">
        <v>503</v>
      </c>
      <c r="C169" s="560" t="s">
        <v>99</v>
      </c>
      <c r="D169" s="560">
        <v>6</v>
      </c>
      <c r="E169" s="638" t="s">
        <v>69</v>
      </c>
      <c r="F169" s="638" t="s">
        <v>69</v>
      </c>
      <c r="G169" s="638" t="s">
        <v>69</v>
      </c>
      <c r="H169" s="638" t="s">
        <v>69</v>
      </c>
      <c r="I169" s="643" t="s">
        <v>69</v>
      </c>
      <c r="J169" s="638" t="s">
        <v>69</v>
      </c>
      <c r="K169" s="638" t="s">
        <v>69</v>
      </c>
      <c r="L169" s="638" t="s">
        <v>69</v>
      </c>
      <c r="M169" s="560">
        <v>6</v>
      </c>
      <c r="O169" s="645"/>
      <c r="P169" s="627"/>
      <c r="Q169" s="627"/>
      <c r="R169" s="627"/>
      <c r="S169" s="627"/>
      <c r="T169" s="627"/>
      <c r="U169" s="627"/>
      <c r="V169" s="627"/>
      <c r="W169" s="627"/>
      <c r="X169" s="627"/>
      <c r="Y169" s="627"/>
      <c r="Z169" s="627"/>
      <c r="AA169" s="627"/>
      <c r="AB169" s="624"/>
      <c r="AC169" s="624"/>
      <c r="AD169" s="624"/>
    </row>
    <row r="170" spans="1:30">
      <c r="A170" t="s">
        <v>384</v>
      </c>
      <c r="B170" t="s">
        <v>240</v>
      </c>
      <c r="C170" t="s">
        <v>497</v>
      </c>
      <c r="D170">
        <v>0</v>
      </c>
      <c r="E170" s="634">
        <v>1770.2423853499999</v>
      </c>
      <c r="F170" s="634">
        <v>852.52235780399997</v>
      </c>
      <c r="G170" s="634">
        <f t="shared" si="18"/>
        <v>11722.399187749999</v>
      </c>
      <c r="H170" s="634">
        <v>13492.6415731</v>
      </c>
      <c r="I170" s="640" t="s">
        <v>476</v>
      </c>
      <c r="J170" s="634">
        <v>24.567343173400001</v>
      </c>
      <c r="M170">
        <v>0</v>
      </c>
      <c r="N170" s="645">
        <f t="shared" si="19"/>
        <v>6375.385796991116</v>
      </c>
      <c r="O170" s="645">
        <f t="shared" ca="1" si="20"/>
        <v>0</v>
      </c>
      <c r="P170" s="624"/>
      <c r="Q170" s="624"/>
      <c r="AA170" s="624"/>
      <c r="AB170" s="624"/>
      <c r="AC170" s="624"/>
      <c r="AD170" s="624"/>
    </row>
    <row r="171" spans="1:30">
      <c r="A171" t="s">
        <v>384</v>
      </c>
      <c r="B171" t="s">
        <v>240</v>
      </c>
      <c r="C171" t="s">
        <v>497</v>
      </c>
      <c r="D171">
        <v>1</v>
      </c>
      <c r="E171" s="634">
        <v>1795.0843568800001</v>
      </c>
      <c r="F171" s="634">
        <v>835.102715644</v>
      </c>
      <c r="G171" s="634">
        <f t="shared" si="18"/>
        <v>11481.878565219999</v>
      </c>
      <c r="H171" s="634">
        <v>13276.9629221</v>
      </c>
      <c r="I171" s="640">
        <v>1.42058912373682</v>
      </c>
      <c r="J171" s="634">
        <v>24.567343173400001</v>
      </c>
      <c r="K171" s="634">
        <v>1.0938323669000001</v>
      </c>
      <c r="L171" s="634">
        <v>2927.6737102799998</v>
      </c>
      <c r="M171">
        <v>1</v>
      </c>
      <c r="N171" s="645">
        <f t="shared" si="19"/>
        <v>6245.1171439770169</v>
      </c>
      <c r="O171" s="645">
        <f t="shared" ca="1" si="20"/>
        <v>130.26865301409907</v>
      </c>
      <c r="P171" s="624"/>
      <c r="Q171" s="624"/>
      <c r="AA171" s="624"/>
      <c r="AB171" s="624"/>
      <c r="AC171" s="624"/>
      <c r="AD171" s="624"/>
    </row>
    <row r="172" spans="1:30">
      <c r="A172" t="s">
        <v>384</v>
      </c>
      <c r="B172" t="s">
        <v>240</v>
      </c>
      <c r="C172" t="s">
        <v>497</v>
      </c>
      <c r="D172">
        <v>2</v>
      </c>
      <c r="E172" s="634">
        <v>1807.73961386</v>
      </c>
      <c r="F172" s="634">
        <v>827.85315276300003</v>
      </c>
      <c r="G172" s="634">
        <f t="shared" si="18"/>
        <v>11383.59350644</v>
      </c>
      <c r="H172" s="634">
        <v>13191.3331203</v>
      </c>
      <c r="I172" s="640">
        <v>1.5138303180388599</v>
      </c>
      <c r="J172" s="634">
        <v>24.567343173400001</v>
      </c>
      <c r="K172" s="634">
        <v>2.2403795466499998</v>
      </c>
      <c r="L172" s="634">
        <v>2563.14858701</v>
      </c>
      <c r="M172">
        <v>2</v>
      </c>
      <c r="N172" s="645">
        <f t="shared" si="19"/>
        <v>6190.9030112884902</v>
      </c>
      <c r="O172" s="645">
        <f t="shared" ca="1" si="20"/>
        <v>184.48278570262573</v>
      </c>
      <c r="P172" s="624"/>
      <c r="Q172" s="624"/>
      <c r="AA172" s="624"/>
      <c r="AB172" s="624"/>
      <c r="AC172" s="624"/>
      <c r="AD172" s="624"/>
    </row>
    <row r="173" spans="1:30">
      <c r="A173" t="s">
        <v>384</v>
      </c>
      <c r="B173" t="s">
        <v>240</v>
      </c>
      <c r="C173" t="s">
        <v>497</v>
      </c>
      <c r="D173">
        <v>3</v>
      </c>
      <c r="E173" s="634">
        <v>1824.65617159</v>
      </c>
      <c r="F173" s="634">
        <v>819.18995234299996</v>
      </c>
      <c r="G173" s="634">
        <f t="shared" si="18"/>
        <v>11268.148942509999</v>
      </c>
      <c r="H173" s="634">
        <v>13092.8051141</v>
      </c>
      <c r="I173" s="640">
        <v>1.6311232953118899</v>
      </c>
      <c r="J173" s="634">
        <v>24.567343173400001</v>
      </c>
      <c r="K173" s="634">
        <v>3.24196099104</v>
      </c>
      <c r="L173" s="634">
        <v>2298.4538266200002</v>
      </c>
      <c r="M173">
        <v>3</v>
      </c>
      <c r="N173" s="645">
        <f t="shared" si="19"/>
        <v>6126.1173263049022</v>
      </c>
      <c r="O173" s="645">
        <f t="shared" ca="1" si="20"/>
        <v>249.26847068621373</v>
      </c>
      <c r="P173" s="624"/>
      <c r="Q173" s="624"/>
      <c r="AA173" s="624"/>
      <c r="AB173" s="624"/>
      <c r="AC173" s="624"/>
      <c r="AD173" s="624"/>
    </row>
    <row r="174" spans="1:30">
      <c r="A174" t="s">
        <v>384</v>
      </c>
      <c r="B174" t="s">
        <v>240</v>
      </c>
      <c r="C174" t="s">
        <v>497</v>
      </c>
      <c r="D174">
        <v>4</v>
      </c>
      <c r="E174" s="634">
        <v>1844.8315524499999</v>
      </c>
      <c r="F174" s="634">
        <v>805.51759401799995</v>
      </c>
      <c r="G174" s="634">
        <f t="shared" si="18"/>
        <v>11079.505454850001</v>
      </c>
      <c r="H174" s="634">
        <v>12924.337007300001</v>
      </c>
      <c r="I174" s="640">
        <v>1.57428030280404</v>
      </c>
      <c r="J174" s="634">
        <v>24.567343173400001</v>
      </c>
      <c r="K174" s="634">
        <v>4.9683711122799998</v>
      </c>
      <c r="L174" s="634">
        <v>2276.8189256300002</v>
      </c>
      <c r="M174">
        <v>4</v>
      </c>
      <c r="N174" s="645">
        <f t="shared" si="19"/>
        <v>6023.8718446718931</v>
      </c>
      <c r="O174" s="645">
        <f t="shared" ca="1" si="20"/>
        <v>351.51395231922288</v>
      </c>
      <c r="P174" s="624"/>
      <c r="Q174" s="624"/>
      <c r="AA174" s="624"/>
      <c r="AB174" s="624"/>
      <c r="AC174" s="624"/>
      <c r="AD174" s="624"/>
    </row>
    <row r="175" spans="1:30">
      <c r="A175" t="s">
        <v>384</v>
      </c>
      <c r="B175" t="s">
        <v>240</v>
      </c>
      <c r="C175" t="s">
        <v>497</v>
      </c>
      <c r="D175">
        <v>5</v>
      </c>
      <c r="E175" s="634">
        <v>1871.8859330499999</v>
      </c>
      <c r="F175" s="634">
        <v>791.05007279999995</v>
      </c>
      <c r="G175" s="634">
        <f t="shared" si="18"/>
        <v>10880.308959149999</v>
      </c>
      <c r="H175" s="634">
        <v>12752.194892199999</v>
      </c>
      <c r="I175" s="640">
        <v>1.6377819564574301</v>
      </c>
      <c r="J175" s="634">
        <v>24.567343173400001</v>
      </c>
      <c r="K175" s="634">
        <v>6.48392198208</v>
      </c>
      <c r="L175" s="634">
        <v>2313.0956833199998</v>
      </c>
      <c r="M175">
        <v>5</v>
      </c>
      <c r="N175" s="645">
        <f t="shared" si="19"/>
        <v>5915.6799263643261</v>
      </c>
      <c r="O175" s="645">
        <f t="shared" ca="1" si="20"/>
        <v>459.70587062678987</v>
      </c>
      <c r="P175" s="624"/>
      <c r="Q175" s="624"/>
      <c r="AA175" s="624"/>
      <c r="AB175" s="624"/>
      <c r="AC175" s="624"/>
      <c r="AD175" s="624"/>
    </row>
    <row r="176" spans="1:30">
      <c r="A176" t="s">
        <v>384</v>
      </c>
      <c r="B176" t="s">
        <v>240</v>
      </c>
      <c r="C176" t="s">
        <v>497</v>
      </c>
      <c r="D176">
        <v>6</v>
      </c>
      <c r="E176" s="634">
        <v>1936.66465999</v>
      </c>
      <c r="F176" s="634">
        <v>741.89037819600003</v>
      </c>
      <c r="G176" s="634">
        <f t="shared" si="18"/>
        <v>10200.231400410001</v>
      </c>
      <c r="H176" s="634">
        <v>12136.8960604</v>
      </c>
      <c r="I176" s="640">
        <v>1.4877385473390501</v>
      </c>
      <c r="J176" s="634">
        <v>24.567343173400001</v>
      </c>
      <c r="K176" s="634">
        <v>11.4127569847</v>
      </c>
      <c r="L176" s="634">
        <v>2397.4357841999999</v>
      </c>
      <c r="M176">
        <v>6</v>
      </c>
      <c r="N176" s="645">
        <f t="shared" si="19"/>
        <v>5548.0508361782631</v>
      </c>
      <c r="O176" s="645">
        <f t="shared" ca="1" si="20"/>
        <v>827.33496081285284</v>
      </c>
      <c r="P176" s="624"/>
      <c r="Q176" s="624"/>
      <c r="AA176" s="624"/>
      <c r="AB176" s="624"/>
      <c r="AC176" s="624"/>
      <c r="AD176" s="624"/>
    </row>
    <row r="177" spans="1:32">
      <c r="A177" t="s">
        <v>384</v>
      </c>
      <c r="B177" t="s">
        <v>240</v>
      </c>
      <c r="C177" t="s">
        <v>499</v>
      </c>
      <c r="D177">
        <v>0</v>
      </c>
      <c r="E177" s="634">
        <v>1858.5178040000001</v>
      </c>
      <c r="F177" s="634">
        <v>1325.0281219999999</v>
      </c>
      <c r="G177" s="634">
        <f t="shared" si="18"/>
        <v>18613.053695999999</v>
      </c>
      <c r="H177" s="634">
        <v>20471.571499999998</v>
      </c>
      <c r="I177" s="640" t="s">
        <v>476</v>
      </c>
      <c r="J177" s="634">
        <v>28.20468868</v>
      </c>
      <c r="M177">
        <v>0</v>
      </c>
      <c r="N177" s="645">
        <f t="shared" si="19"/>
        <v>9908.9078336579623</v>
      </c>
      <c r="O177" s="645">
        <f t="shared" ca="1" si="20"/>
        <v>0</v>
      </c>
      <c r="P177" s="624"/>
      <c r="Q177" s="624"/>
      <c r="AA177" s="624"/>
      <c r="AB177" s="624"/>
      <c r="AC177" s="624"/>
      <c r="AD177" s="624"/>
    </row>
    <row r="178" spans="1:32">
      <c r="A178" t="s">
        <v>384</v>
      </c>
      <c r="B178" t="s">
        <v>240</v>
      </c>
      <c r="C178" t="s">
        <v>499</v>
      </c>
      <c r="D178">
        <v>1</v>
      </c>
      <c r="E178" s="634">
        <v>1885.2189310000001</v>
      </c>
      <c r="F178" s="634">
        <v>1296.840248</v>
      </c>
      <c r="G178" s="634">
        <f t="shared" si="18"/>
        <v>18216.567529</v>
      </c>
      <c r="H178" s="634">
        <v>20101.786459999999</v>
      </c>
      <c r="I178" s="640">
        <v>0.94384305899999998</v>
      </c>
      <c r="J178" s="634">
        <v>28.20468868</v>
      </c>
      <c r="K178" s="634">
        <v>1.05873456012</v>
      </c>
      <c r="L178" s="634">
        <v>4301.8688356000002</v>
      </c>
      <c r="M178">
        <v>1</v>
      </c>
      <c r="N178" s="645">
        <f t="shared" si="19"/>
        <v>9698.1115185796298</v>
      </c>
      <c r="O178" s="645">
        <f t="shared" ca="1" si="20"/>
        <v>210.79631507833255</v>
      </c>
      <c r="P178" s="646">
        <f ca="1">O178/N$177</f>
        <v>2.1273415659626253E-2</v>
      </c>
      <c r="Q178" s="624"/>
      <c r="X178" s="624">
        <f>1.1472*1.2</f>
        <v>1.3766399999999999</v>
      </c>
      <c r="AA178" s="624"/>
      <c r="AB178" s="624"/>
      <c r="AC178" s="624"/>
      <c r="AD178" s="624"/>
    </row>
    <row r="179" spans="1:32">
      <c r="A179" t="s">
        <v>384</v>
      </c>
      <c r="B179" t="s">
        <v>240</v>
      </c>
      <c r="C179" t="s">
        <v>499</v>
      </c>
      <c r="D179">
        <v>2</v>
      </c>
      <c r="E179" s="634">
        <v>1896.558886</v>
      </c>
      <c r="F179" s="634">
        <v>1284.779951</v>
      </c>
      <c r="G179" s="634">
        <f t="shared" si="18"/>
        <v>18051.841744000001</v>
      </c>
      <c r="H179" s="634">
        <v>19948.40063</v>
      </c>
      <c r="I179" s="640">
        <v>0.94158004200000001</v>
      </c>
      <c r="J179" s="634">
        <v>28.20468868</v>
      </c>
      <c r="K179" s="634">
        <v>1.9662213259400001</v>
      </c>
      <c r="L179" s="634">
        <v>3864.8395522400001</v>
      </c>
      <c r="M179">
        <v>2</v>
      </c>
      <c r="N179" s="645">
        <f t="shared" si="19"/>
        <v>9607.9214543573235</v>
      </c>
      <c r="O179" s="645">
        <f t="shared" ca="1" si="20"/>
        <v>300.98637930063887</v>
      </c>
      <c r="P179" s="646">
        <f t="shared" ref="P179:P183" ca="1" si="21">O179/N$177</f>
        <v>3.037533342254603E-2</v>
      </c>
      <c r="Q179" s="624"/>
      <c r="AA179" s="624"/>
      <c r="AB179" s="624"/>
      <c r="AC179" s="624"/>
      <c r="AD179" s="624"/>
    </row>
    <row r="180" spans="1:32">
      <c r="A180" t="s">
        <v>384</v>
      </c>
      <c r="B180" t="s">
        <v>240</v>
      </c>
      <c r="C180" t="s">
        <v>499</v>
      </c>
      <c r="D180">
        <v>3</v>
      </c>
      <c r="E180" s="634">
        <v>1911.2180559999999</v>
      </c>
      <c r="F180" s="634">
        <v>1270.871969</v>
      </c>
      <c r="G180" s="634">
        <f t="shared" si="18"/>
        <v>17864.749474</v>
      </c>
      <c r="H180" s="634">
        <v>19775.967530000002</v>
      </c>
      <c r="I180" s="640">
        <v>0.97311568599999998</v>
      </c>
      <c r="J180" s="634">
        <v>28.20468868</v>
      </c>
      <c r="K180" s="634">
        <v>2.31913284598</v>
      </c>
      <c r="L180" s="634">
        <v>3560.5947586500001</v>
      </c>
      <c r="M180">
        <v>3</v>
      </c>
      <c r="N180" s="645">
        <f t="shared" si="19"/>
        <v>9503.9139170816943</v>
      </c>
      <c r="O180" s="645">
        <f t="shared" ca="1" si="20"/>
        <v>404.99391657626802</v>
      </c>
      <c r="P180" s="646">
        <f t="shared" ca="1" si="21"/>
        <v>4.0871700834738803E-2</v>
      </c>
      <c r="Q180" s="624"/>
      <c r="AA180" s="624"/>
      <c r="AB180" s="624"/>
      <c r="AC180" s="624"/>
      <c r="AD180" s="624"/>
    </row>
    <row r="181" spans="1:32">
      <c r="A181" t="s">
        <v>384</v>
      </c>
      <c r="B181" t="s">
        <v>240</v>
      </c>
      <c r="C181" t="s">
        <v>499</v>
      </c>
      <c r="D181">
        <v>4</v>
      </c>
      <c r="E181" s="634">
        <v>1927.9956090000001</v>
      </c>
      <c r="F181" s="634">
        <v>1247.203317</v>
      </c>
      <c r="G181" s="634">
        <f t="shared" si="18"/>
        <v>17535.130010999997</v>
      </c>
      <c r="H181" s="634">
        <v>19463.125619999999</v>
      </c>
      <c r="I181" s="640">
        <v>0.88547014199999996</v>
      </c>
      <c r="J181" s="634">
        <v>28.20468868</v>
      </c>
      <c r="K181" s="634">
        <v>2.5964204688699999</v>
      </c>
      <c r="L181" s="634">
        <v>3697.3242232100001</v>
      </c>
      <c r="M181">
        <v>4</v>
      </c>
      <c r="N181" s="645">
        <f t="shared" si="19"/>
        <v>9326.9135294514872</v>
      </c>
      <c r="O181" s="645">
        <f t="shared" ca="1" si="20"/>
        <v>581.99430420647514</v>
      </c>
      <c r="P181" s="646">
        <f t="shared" ca="1" si="21"/>
        <v>5.8734455297847564E-2</v>
      </c>
      <c r="Q181" s="624"/>
      <c r="AA181" s="624"/>
      <c r="AB181" s="624"/>
      <c r="AC181" s="624"/>
      <c r="AD181" s="624"/>
    </row>
    <row r="182" spans="1:32">
      <c r="A182" t="s">
        <v>384</v>
      </c>
      <c r="B182" t="s">
        <v>240</v>
      </c>
      <c r="C182" t="s">
        <v>499</v>
      </c>
      <c r="D182">
        <v>5</v>
      </c>
      <c r="E182" s="634">
        <v>1955.8248679999999</v>
      </c>
      <c r="F182" s="634">
        <v>1224.0370250000001</v>
      </c>
      <c r="G182" s="634">
        <f t="shared" si="18"/>
        <v>17210.596802</v>
      </c>
      <c r="H182" s="634">
        <v>19166.42167</v>
      </c>
      <c r="I182" s="640">
        <v>0.95381943199999997</v>
      </c>
      <c r="J182" s="634">
        <v>28.20468868</v>
      </c>
      <c r="K182" s="634">
        <v>3.60473909755</v>
      </c>
      <c r="L182" s="634">
        <v>3735.59118941</v>
      </c>
      <c r="M182">
        <v>5</v>
      </c>
      <c r="N182" s="645">
        <f t="shared" si="19"/>
        <v>9153.6699216636607</v>
      </c>
      <c r="O182" s="645">
        <f t="shared" ca="1" si="20"/>
        <v>755.23791199430161</v>
      </c>
      <c r="P182" s="646">
        <f t="shared" ca="1" si="21"/>
        <v>7.6218078185060559E-2</v>
      </c>
      <c r="Q182" s="624"/>
      <c r="AA182" s="624"/>
      <c r="AB182" s="624"/>
      <c r="AC182" s="624"/>
      <c r="AD182" s="624"/>
    </row>
    <row r="183" spans="1:32">
      <c r="A183" t="s">
        <v>384</v>
      </c>
      <c r="B183" t="s">
        <v>240</v>
      </c>
      <c r="C183" t="s">
        <v>499</v>
      </c>
      <c r="D183">
        <v>6</v>
      </c>
      <c r="E183" s="634">
        <v>2011.653544</v>
      </c>
      <c r="F183" s="634">
        <v>1143.22803</v>
      </c>
      <c r="G183" s="634">
        <f t="shared" si="18"/>
        <v>16074.812035999999</v>
      </c>
      <c r="H183" s="634">
        <v>18086.46558</v>
      </c>
      <c r="I183" s="640">
        <v>0.83238107900000002</v>
      </c>
      <c r="J183" s="634">
        <v>28.20468868</v>
      </c>
      <c r="K183" s="634">
        <v>4.66347365768</v>
      </c>
      <c r="L183" s="634">
        <v>3948.9629282300002</v>
      </c>
      <c r="M183">
        <v>6</v>
      </c>
      <c r="N183" s="645">
        <f t="shared" si="19"/>
        <v>8549.3590619236384</v>
      </c>
      <c r="O183" s="645">
        <f t="shared" ca="1" si="20"/>
        <v>1359.548771734324</v>
      </c>
      <c r="P183" s="646">
        <f t="shared" ca="1" si="21"/>
        <v>0.13720470455041403</v>
      </c>
      <c r="Q183" s="624"/>
      <c r="AA183" s="624"/>
      <c r="AB183" s="624"/>
      <c r="AC183" s="624"/>
      <c r="AD183" s="624"/>
    </row>
    <row r="184" spans="1:32">
      <c r="A184" t="s">
        <v>384</v>
      </c>
      <c r="B184" t="s">
        <v>240</v>
      </c>
      <c r="C184" t="s">
        <v>99</v>
      </c>
      <c r="D184">
        <v>0</v>
      </c>
      <c r="E184" s="634">
        <v>1673.5319219999999</v>
      </c>
      <c r="F184" s="634">
        <v>334.86691250000001</v>
      </c>
      <c r="G184" s="634">
        <f t="shared" si="18"/>
        <v>4173.3170469999995</v>
      </c>
      <c r="H184" s="634">
        <v>5846.8489689999997</v>
      </c>
      <c r="I184" s="640" t="s">
        <v>476</v>
      </c>
      <c r="J184" s="634">
        <v>20.582435790000002</v>
      </c>
      <c r="M184">
        <v>0</v>
      </c>
      <c r="N184" s="645">
        <f t="shared" si="19"/>
        <v>2504.2226028347691</v>
      </c>
      <c r="O184" s="645">
        <f t="shared" ca="1" si="20"/>
        <v>0</v>
      </c>
      <c r="P184" s="647"/>
      <c r="Q184" s="624"/>
      <c r="R184" s="645">
        <f>G184*1.1472</f>
        <v>4787.6293163183991</v>
      </c>
      <c r="S184" s="645">
        <f>R184*1.2</f>
        <v>5745.1551795820787</v>
      </c>
      <c r="AA184" s="624">
        <f t="array" ref="AA184:AF184">TRANSPOSE(N185:N190)</f>
        <v>2462.1763348666027</v>
      </c>
      <c r="AB184" s="624">
        <v>2447.3757642182759</v>
      </c>
      <c r="AC184" s="624">
        <v>2425.5597205534946</v>
      </c>
      <c r="AD184" s="624">
        <v>2405.2122602800669</v>
      </c>
      <c r="AE184">
        <v>2368.287959595606</v>
      </c>
      <c r="AF184">
        <v>2259.9564596570649</v>
      </c>
    </row>
    <row r="185" spans="1:32">
      <c r="A185" t="s">
        <v>384</v>
      </c>
      <c r="B185" t="s">
        <v>240</v>
      </c>
      <c r="C185" t="s">
        <v>99</v>
      </c>
      <c r="D185">
        <v>1</v>
      </c>
      <c r="E185" s="634">
        <v>1696.3370890000001</v>
      </c>
      <c r="F185" s="634">
        <v>329.24444749999998</v>
      </c>
      <c r="G185" s="634">
        <f t="shared" si="18"/>
        <v>4103.6650609999997</v>
      </c>
      <c r="H185" s="634">
        <v>5800.0021500000003</v>
      </c>
      <c r="I185" s="640">
        <v>4.0560798350000002</v>
      </c>
      <c r="J185" s="634">
        <v>20.582435790000002</v>
      </c>
      <c r="K185" s="634">
        <v>1.13228389948</v>
      </c>
      <c r="L185" s="634">
        <v>778.12995920200001</v>
      </c>
      <c r="M185">
        <v>1</v>
      </c>
      <c r="N185" s="645">
        <f t="shared" si="19"/>
        <v>2462.1763348666027</v>
      </c>
      <c r="O185" s="645">
        <f t="shared" ca="1" si="20"/>
        <v>42.046267968166376</v>
      </c>
      <c r="P185" s="646">
        <f ca="1">O185/N$184</f>
        <v>1.6790147936756972E-2</v>
      </c>
      <c r="Q185" s="624"/>
      <c r="R185" s="645">
        <f t="shared" ref="R185:R190" si="22">G185*1.1472</f>
        <v>4707.7245579791997</v>
      </c>
      <c r="S185" s="645">
        <f t="shared" ref="S185:S190" si="23">R185*1.2</f>
        <v>5649.2694695750397</v>
      </c>
      <c r="T185" s="634">
        <f>($E185+R185)-($E$184+R$184)</f>
        <v>-57.099591339198923</v>
      </c>
      <c r="U185" s="634">
        <f>($E185+S185)-($E$184+S$184)</f>
        <v>-73.080543007038614</v>
      </c>
      <c r="AA185" s="624">
        <f>G184/F184</f>
        <v>12.462613925763716</v>
      </c>
      <c r="AB185" s="624"/>
      <c r="AC185" s="624"/>
      <c r="AD185" s="624"/>
    </row>
    <row r="186" spans="1:32">
      <c r="A186" t="s">
        <v>384</v>
      </c>
      <c r="B186" t="s">
        <v>240</v>
      </c>
      <c r="C186" t="s">
        <v>99</v>
      </c>
      <c r="D186">
        <v>2</v>
      </c>
      <c r="E186" s="634">
        <v>1710.433331</v>
      </c>
      <c r="F186" s="634">
        <v>327.26530179999997</v>
      </c>
      <c r="G186" s="634">
        <f t="shared" si="18"/>
        <v>4078.1693800000003</v>
      </c>
      <c r="H186" s="634">
        <v>5788.6027110000005</v>
      </c>
      <c r="I186" s="640">
        <v>4.8544196680000002</v>
      </c>
      <c r="J186" s="634">
        <v>20.582435790000002</v>
      </c>
      <c r="K186" s="634">
        <v>2.5407346036999998</v>
      </c>
      <c r="L186" s="634">
        <v>594.11183114200003</v>
      </c>
      <c r="M186">
        <v>2</v>
      </c>
      <c r="N186" s="645">
        <f t="shared" si="19"/>
        <v>2447.3757642182759</v>
      </c>
      <c r="O186" s="645">
        <f t="shared" ca="1" si="20"/>
        <v>56.846838616493187</v>
      </c>
      <c r="P186" s="646">
        <f t="shared" ref="P186:P190" ca="1" si="24">O186/N$184</f>
        <v>2.2700393548138579E-2</v>
      </c>
      <c r="Q186" s="624"/>
      <c r="R186" s="645">
        <f t="shared" si="22"/>
        <v>4678.4759127360003</v>
      </c>
      <c r="S186" s="645">
        <f t="shared" si="23"/>
        <v>5614.1710952832</v>
      </c>
      <c r="T186" s="634">
        <f t="shared" ref="T186:T190" si="25">(E186+R186)-($E$184+R$184)</f>
        <v>-72.251994582398765</v>
      </c>
      <c r="U186" s="634">
        <f t="shared" ref="U186:U190" si="26">($E186+S186)-($E$184+S$184)</f>
        <v>-94.082675298878712</v>
      </c>
      <c r="AA186" s="648">
        <f>PV(0.06,J186,-1)</f>
        <v>11.643328647693409</v>
      </c>
      <c r="AB186" s="624"/>
      <c r="AC186" s="624"/>
      <c r="AD186" s="624"/>
    </row>
    <row r="187" spans="1:32">
      <c r="A187" t="s">
        <v>384</v>
      </c>
      <c r="B187" t="s">
        <v>240</v>
      </c>
      <c r="C187" t="s">
        <v>99</v>
      </c>
      <c r="D187">
        <v>3</v>
      </c>
      <c r="E187" s="634">
        <v>1729.822977</v>
      </c>
      <c r="F187" s="634">
        <v>324.34804070000001</v>
      </c>
      <c r="G187" s="634">
        <f t="shared" si="18"/>
        <v>4041.2187250000006</v>
      </c>
      <c r="H187" s="634">
        <v>5771.0417020000004</v>
      </c>
      <c r="I187" s="640">
        <v>5.3514346369999997</v>
      </c>
      <c r="J187" s="634">
        <v>20.582435790000002</v>
      </c>
      <c r="K187" s="634">
        <v>4.25296879315</v>
      </c>
      <c r="L187" s="634">
        <v>503.66626272600001</v>
      </c>
      <c r="M187">
        <v>3</v>
      </c>
      <c r="N187" s="645">
        <f t="shared" si="19"/>
        <v>2425.5597205534946</v>
      </c>
      <c r="O187" s="645">
        <f t="shared" ca="1" si="20"/>
        <v>78.662882281274506</v>
      </c>
      <c r="P187" s="646">
        <f t="shared" ca="1" si="24"/>
        <v>3.1412096589268246E-2</v>
      </c>
      <c r="Q187" s="624"/>
      <c r="R187" s="645">
        <f t="shared" si="22"/>
        <v>4636.0861213200005</v>
      </c>
      <c r="S187" s="645">
        <f t="shared" si="23"/>
        <v>5563.3033455840005</v>
      </c>
      <c r="T187" s="634">
        <f t="shared" si="25"/>
        <v>-95.252139998398889</v>
      </c>
      <c r="U187" s="634">
        <f t="shared" si="26"/>
        <v>-125.5607789980786</v>
      </c>
      <c r="AA187" s="624"/>
      <c r="AB187" s="624"/>
      <c r="AC187" s="624"/>
      <c r="AD187" s="624"/>
    </row>
    <row r="188" spans="1:32">
      <c r="A188" t="s">
        <v>384</v>
      </c>
      <c r="B188" t="s">
        <v>240</v>
      </c>
      <c r="C188" t="s">
        <v>99</v>
      </c>
      <c r="D188">
        <v>4</v>
      </c>
      <c r="E188" s="634">
        <v>1753.7208619999999</v>
      </c>
      <c r="F188" s="634">
        <v>321.62715989999998</v>
      </c>
      <c r="G188" s="634">
        <f t="shared" si="18"/>
        <v>4007.0219939999997</v>
      </c>
      <c r="H188" s="634">
        <v>5760.7428559999998</v>
      </c>
      <c r="I188" s="640">
        <v>6.0566795869999996</v>
      </c>
      <c r="J188" s="634">
        <v>20.582435790000002</v>
      </c>
      <c r="K188" s="634">
        <v>7.5669704501500004</v>
      </c>
      <c r="L188" s="634">
        <v>383.978122692</v>
      </c>
      <c r="M188">
        <v>4</v>
      </c>
      <c r="N188" s="645">
        <f t="shared" si="19"/>
        <v>2405.2122602800669</v>
      </c>
      <c r="O188" s="645">
        <f t="shared" ca="1" si="20"/>
        <v>99.01034255470222</v>
      </c>
      <c r="P188" s="646">
        <f t="shared" ca="1" si="24"/>
        <v>3.9537356799919841E-2</v>
      </c>
      <c r="Q188" s="624"/>
      <c r="R188" s="645">
        <f t="shared" si="22"/>
        <v>4596.8556315167998</v>
      </c>
      <c r="S188" s="645">
        <f t="shared" si="23"/>
        <v>5516.2267578201599</v>
      </c>
      <c r="T188" s="634">
        <f t="shared" si="25"/>
        <v>-110.5847448015993</v>
      </c>
      <c r="U188" s="634">
        <f t="shared" si="26"/>
        <v>-148.7394817619188</v>
      </c>
      <c r="AA188" s="624"/>
      <c r="AB188" s="624"/>
      <c r="AC188" s="624"/>
      <c r="AD188" s="624"/>
    </row>
    <row r="189" spans="1:32">
      <c r="A189" t="s">
        <v>384</v>
      </c>
      <c r="B189" t="s">
        <v>240</v>
      </c>
      <c r="C189" t="s">
        <v>99</v>
      </c>
      <c r="D189">
        <v>5</v>
      </c>
      <c r="E189" s="634">
        <v>1779.9263209999999</v>
      </c>
      <c r="F189" s="634">
        <v>316.68960900000002</v>
      </c>
      <c r="G189" s="634">
        <f t="shared" si="18"/>
        <v>3945.1386030000003</v>
      </c>
      <c r="H189" s="634">
        <v>5725.0649240000002</v>
      </c>
      <c r="I189" s="640">
        <v>5.8531453249999998</v>
      </c>
      <c r="J189" s="634">
        <v>20.582435790000002</v>
      </c>
      <c r="K189" s="634">
        <v>9.6382214857800008</v>
      </c>
      <c r="L189" s="634">
        <v>422.79964166799999</v>
      </c>
      <c r="M189">
        <v>5</v>
      </c>
      <c r="N189" s="645">
        <f t="shared" si="19"/>
        <v>2368.287959595606</v>
      </c>
      <c r="O189" s="645">
        <f t="shared" ca="1" si="20"/>
        <v>135.93464323916305</v>
      </c>
      <c r="P189" s="646">
        <f t="shared" ca="1" si="24"/>
        <v>5.4282172473519574E-2</v>
      </c>
      <c r="Q189" s="624">
        <f ca="1">P189/P182</f>
        <v>0.71219550224974548</v>
      </c>
      <c r="R189" s="645">
        <f t="shared" si="22"/>
        <v>4525.8630053616007</v>
      </c>
      <c r="S189" s="645">
        <f t="shared" si="23"/>
        <v>5431.0356064339203</v>
      </c>
      <c r="T189" s="634">
        <f t="shared" si="25"/>
        <v>-155.37191195679861</v>
      </c>
      <c r="U189" s="634">
        <f t="shared" si="26"/>
        <v>-207.72517414815866</v>
      </c>
      <c r="AA189" s="624"/>
      <c r="AB189" s="624"/>
      <c r="AC189" s="624"/>
      <c r="AD189" s="624"/>
    </row>
    <row r="190" spans="1:32">
      <c r="A190" t="s">
        <v>384</v>
      </c>
      <c r="B190" t="s">
        <v>240</v>
      </c>
      <c r="C190" t="s">
        <v>99</v>
      </c>
      <c r="D190">
        <v>6</v>
      </c>
      <c r="E190" s="634">
        <v>1854.510309</v>
      </c>
      <c r="F190" s="634">
        <v>302.2034228</v>
      </c>
      <c r="G190" s="634">
        <f t="shared" si="18"/>
        <v>3764.3127619999996</v>
      </c>
      <c r="H190" s="634">
        <v>5618.8230709999998</v>
      </c>
      <c r="I190" s="640">
        <v>5.5406935700000002</v>
      </c>
      <c r="J190" s="634">
        <v>20.582435790000002</v>
      </c>
      <c r="K190" s="634">
        <v>18.806959403499999</v>
      </c>
      <c r="L190" s="634">
        <v>435.71597570400002</v>
      </c>
      <c r="M190">
        <v>6</v>
      </c>
      <c r="N190" s="645">
        <f t="shared" si="19"/>
        <v>2259.9564596570649</v>
      </c>
      <c r="O190" s="645">
        <f t="shared" ca="1" si="20"/>
        <v>244.26614317770418</v>
      </c>
      <c r="P190" s="646">
        <f t="shared" ca="1" si="24"/>
        <v>9.7541705318527183E-2</v>
      </c>
      <c r="Q190" s="624"/>
      <c r="R190" s="645">
        <f t="shared" si="22"/>
        <v>4318.4196005663998</v>
      </c>
      <c r="S190" s="645">
        <f t="shared" si="23"/>
        <v>5182.1035206796796</v>
      </c>
      <c r="T190" s="634">
        <f t="shared" si="25"/>
        <v>-288.23132875199917</v>
      </c>
      <c r="U190" s="634">
        <f t="shared" si="26"/>
        <v>-382.07327190239903</v>
      </c>
      <c r="AA190" s="624"/>
      <c r="AB190" s="624"/>
      <c r="AC190" s="624"/>
      <c r="AD190" s="624"/>
    </row>
    <row r="191" spans="1:32">
      <c r="A191" s="551" t="s">
        <v>384</v>
      </c>
      <c r="B191" s="551" t="s">
        <v>503</v>
      </c>
      <c r="C191" s="551" t="s">
        <v>497</v>
      </c>
      <c r="D191" s="551">
        <v>0</v>
      </c>
      <c r="E191" s="635">
        <v>1770.2423853499999</v>
      </c>
      <c r="F191" s="635">
        <v>852.52235780399997</v>
      </c>
      <c r="G191" s="634">
        <f t="shared" si="18"/>
        <v>11683.980407049999</v>
      </c>
      <c r="H191" s="635">
        <v>13454.2227924</v>
      </c>
      <c r="I191" s="641" t="s">
        <v>476</v>
      </c>
      <c r="J191" s="635">
        <v>24.240511333699999</v>
      </c>
      <c r="K191" s="635"/>
      <c r="L191" s="635"/>
      <c r="M191" s="551">
        <v>0</v>
      </c>
      <c r="N191" s="645">
        <f t="shared" si="19"/>
        <v>6375.385796991116</v>
      </c>
      <c r="O191" s="645">
        <f t="shared" ca="1" si="20"/>
        <v>0</v>
      </c>
      <c r="P191" s="625"/>
      <c r="Q191" s="625"/>
      <c r="R191" s="625"/>
      <c r="S191" s="625"/>
      <c r="T191" s="625"/>
      <c r="U191" s="625"/>
      <c r="V191" s="625"/>
      <c r="W191" s="625"/>
      <c r="X191" s="625"/>
      <c r="Y191" s="625"/>
      <c r="Z191" s="625"/>
      <c r="AA191" s="625"/>
      <c r="AB191" s="624"/>
      <c r="AC191" s="624"/>
      <c r="AD191" s="624"/>
    </row>
    <row r="192" spans="1:32">
      <c r="A192" s="551" t="s">
        <v>384</v>
      </c>
      <c r="B192" s="551" t="s">
        <v>503</v>
      </c>
      <c r="C192" s="551" t="s">
        <v>497</v>
      </c>
      <c r="D192" s="551">
        <v>1</v>
      </c>
      <c r="E192" s="635">
        <v>1795.0843568800001</v>
      </c>
      <c r="F192" s="635">
        <v>835.102715644</v>
      </c>
      <c r="G192" s="634">
        <f t="shared" si="18"/>
        <v>11437.969179119998</v>
      </c>
      <c r="H192" s="635">
        <v>13233.053535999999</v>
      </c>
      <c r="I192" s="641">
        <v>1.42058912373682</v>
      </c>
      <c r="J192" s="635">
        <v>24.240511333699999</v>
      </c>
      <c r="K192" s="635">
        <v>1.10701107011</v>
      </c>
      <c r="L192" s="635">
        <v>3002.2045040100002</v>
      </c>
      <c r="M192" s="551">
        <v>1</v>
      </c>
      <c r="N192" s="645">
        <f t="shared" si="19"/>
        <v>6245.1171439770169</v>
      </c>
      <c r="O192" s="645">
        <f t="shared" ca="1" si="20"/>
        <v>130.26865301409907</v>
      </c>
      <c r="P192" s="625"/>
      <c r="Q192" s="625"/>
      <c r="R192" s="625"/>
      <c r="S192" s="625"/>
      <c r="T192" s="625"/>
      <c r="U192" s="625"/>
      <c r="V192" s="625"/>
      <c r="W192" s="625"/>
      <c r="X192" s="625"/>
      <c r="Y192" s="625"/>
      <c r="Z192" s="625"/>
      <c r="AA192" s="625"/>
      <c r="AB192" s="624"/>
      <c r="AC192" s="624"/>
      <c r="AD192" s="624"/>
    </row>
    <row r="193" spans="1:30">
      <c r="A193" s="551" t="s">
        <v>384</v>
      </c>
      <c r="B193" s="551" t="s">
        <v>503</v>
      </c>
      <c r="C193" s="551" t="s">
        <v>497</v>
      </c>
      <c r="D193" s="551">
        <v>2</v>
      </c>
      <c r="E193" s="635">
        <v>1807.73961386</v>
      </c>
      <c r="F193" s="635">
        <v>827.85315276300003</v>
      </c>
      <c r="G193" s="634">
        <f t="shared" si="18"/>
        <v>11339.59952034</v>
      </c>
      <c r="H193" s="635">
        <v>13147.3391342</v>
      </c>
      <c r="I193" s="641">
        <v>1.5138303180388599</v>
      </c>
      <c r="J193" s="635">
        <v>24.240511333699999</v>
      </c>
      <c r="K193" s="635">
        <v>2.3326304691600002</v>
      </c>
      <c r="L193" s="635">
        <v>2610.5753352500001</v>
      </c>
      <c r="M193" s="551">
        <v>2</v>
      </c>
      <c r="N193" s="645">
        <f t="shared" si="19"/>
        <v>6190.9030112884902</v>
      </c>
      <c r="O193" s="645">
        <f t="shared" ca="1" si="20"/>
        <v>184.48278570262573</v>
      </c>
      <c r="P193" s="625"/>
      <c r="Q193" s="625"/>
      <c r="R193" s="625"/>
      <c r="S193" s="625"/>
      <c r="T193" s="625"/>
      <c r="U193" s="625"/>
      <c r="V193" s="625"/>
      <c r="W193" s="625"/>
      <c r="X193" s="625"/>
      <c r="Y193" s="625"/>
      <c r="Z193" s="625"/>
      <c r="AA193" s="625"/>
      <c r="AB193" s="624"/>
      <c r="AC193" s="624"/>
      <c r="AD193" s="624"/>
    </row>
    <row r="194" spans="1:30">
      <c r="A194" s="551" t="s">
        <v>384</v>
      </c>
      <c r="B194" s="551" t="s">
        <v>503</v>
      </c>
      <c r="C194" s="551" t="s">
        <v>497</v>
      </c>
      <c r="D194" s="551">
        <v>3</v>
      </c>
      <c r="E194" s="635">
        <v>1824.65617159</v>
      </c>
      <c r="F194" s="635">
        <v>819.18995234299996</v>
      </c>
      <c r="G194" s="634">
        <f t="shared" si="18"/>
        <v>11222.32091411</v>
      </c>
      <c r="H194" s="635">
        <v>13046.9770857</v>
      </c>
      <c r="I194" s="641">
        <v>1.6311232953118899</v>
      </c>
      <c r="J194" s="635">
        <v>24.240511333699999</v>
      </c>
      <c r="K194" s="635">
        <v>3.3737480231900001</v>
      </c>
      <c r="L194" s="635">
        <v>2341.0457746100001</v>
      </c>
      <c r="M194" s="551">
        <v>3</v>
      </c>
      <c r="N194" s="645">
        <f t="shared" si="19"/>
        <v>6126.1173263049022</v>
      </c>
      <c r="O194" s="645">
        <f t="shared" ca="1" si="20"/>
        <v>249.26847068621373</v>
      </c>
      <c r="P194" s="625"/>
      <c r="Q194" s="625"/>
      <c r="R194" s="625"/>
      <c r="S194" s="625"/>
      <c r="T194" s="625"/>
      <c r="U194" s="625"/>
      <c r="V194" s="625"/>
      <c r="W194" s="625"/>
      <c r="X194" s="625"/>
      <c r="Y194" s="625"/>
      <c r="Z194" s="625"/>
      <c r="AA194" s="625"/>
      <c r="AB194" s="624"/>
      <c r="AC194" s="624"/>
      <c r="AD194" s="624"/>
    </row>
    <row r="195" spans="1:30">
      <c r="A195" s="551" t="s">
        <v>384</v>
      </c>
      <c r="B195" s="551" t="s">
        <v>503</v>
      </c>
      <c r="C195" s="551" t="s">
        <v>497</v>
      </c>
      <c r="D195" s="551">
        <v>4</v>
      </c>
      <c r="E195" s="635">
        <v>1844.8315524499999</v>
      </c>
      <c r="F195" s="635">
        <v>805.51759401799995</v>
      </c>
      <c r="G195" s="634">
        <f t="shared" ref="G195:G258" si="27">H195-E195</f>
        <v>11031.980909650001</v>
      </c>
      <c r="H195" s="635">
        <v>12876.812462100001</v>
      </c>
      <c r="I195" s="641">
        <v>1.57428030280404</v>
      </c>
      <c r="J195" s="635">
        <v>24.240511333699999</v>
      </c>
      <c r="K195" s="635">
        <v>4.9683711122799998</v>
      </c>
      <c r="L195" s="635">
        <v>2313.29967618</v>
      </c>
      <c r="M195" s="551">
        <v>4</v>
      </c>
      <c r="N195" s="645">
        <f t="shared" si="19"/>
        <v>6023.8718446718931</v>
      </c>
      <c r="O195" s="645">
        <f t="shared" ca="1" si="20"/>
        <v>351.51395231922288</v>
      </c>
      <c r="P195" s="625"/>
      <c r="Q195" s="625"/>
      <c r="R195" s="625"/>
      <c r="S195" s="625"/>
      <c r="T195" s="625"/>
      <c r="U195" s="625"/>
      <c r="V195" s="625"/>
      <c r="W195" s="625"/>
      <c r="X195" s="625"/>
      <c r="Y195" s="625"/>
      <c r="Z195" s="625"/>
      <c r="AA195" s="625"/>
      <c r="AB195" s="624"/>
      <c r="AC195" s="624"/>
      <c r="AD195" s="624"/>
    </row>
    <row r="196" spans="1:30">
      <c r="A196" s="551" t="s">
        <v>384</v>
      </c>
      <c r="B196" s="551" t="s">
        <v>503</v>
      </c>
      <c r="C196" s="551" t="s">
        <v>497</v>
      </c>
      <c r="D196" s="551">
        <v>5</v>
      </c>
      <c r="E196" s="635">
        <v>1871.8859330499999</v>
      </c>
      <c r="F196" s="635">
        <v>791.05007279999995</v>
      </c>
      <c r="G196" s="634">
        <f t="shared" si="27"/>
        <v>10834.12459055</v>
      </c>
      <c r="H196" s="635">
        <v>12706.0105236</v>
      </c>
      <c r="I196" s="641">
        <v>1.6377819564574301</v>
      </c>
      <c r="J196" s="635">
        <v>24.240511333699999</v>
      </c>
      <c r="K196" s="635">
        <v>6.5498154981500001</v>
      </c>
      <c r="L196" s="635">
        <v>2337.3547533300002</v>
      </c>
      <c r="M196" s="551">
        <v>5</v>
      </c>
      <c r="N196" s="645">
        <f t="shared" si="19"/>
        <v>5915.6799263643261</v>
      </c>
      <c r="O196" s="645">
        <f t="shared" ca="1" si="20"/>
        <v>459.70587062678987</v>
      </c>
      <c r="P196" s="625"/>
      <c r="Q196" s="625"/>
      <c r="R196" s="625"/>
      <c r="S196" s="625"/>
      <c r="T196" s="625"/>
      <c r="U196" s="625"/>
      <c r="V196" s="625"/>
      <c r="W196" s="625"/>
      <c r="X196" s="625"/>
      <c r="Y196" s="625"/>
      <c r="Z196" s="625"/>
      <c r="AA196" s="625"/>
      <c r="AB196" s="624"/>
      <c r="AC196" s="624"/>
      <c r="AD196" s="624"/>
    </row>
    <row r="197" spans="1:30">
      <c r="A197" s="551" t="s">
        <v>384</v>
      </c>
      <c r="B197" s="551" t="s">
        <v>503</v>
      </c>
      <c r="C197" s="551" t="s">
        <v>497</v>
      </c>
      <c r="D197" s="551">
        <v>6</v>
      </c>
      <c r="E197" s="635">
        <v>1936.66465999</v>
      </c>
      <c r="F197" s="635">
        <v>741.89037819600003</v>
      </c>
      <c r="G197" s="634">
        <f t="shared" si="27"/>
        <v>10153.78795681</v>
      </c>
      <c r="H197" s="635">
        <v>12090.452616799999</v>
      </c>
      <c r="I197" s="641">
        <v>1.4877385473390501</v>
      </c>
      <c r="J197" s="635">
        <v>24.240511333699999</v>
      </c>
      <c r="K197" s="635">
        <v>11.6236162362</v>
      </c>
      <c r="L197" s="635">
        <v>2411.6262159399998</v>
      </c>
      <c r="M197" s="551">
        <v>6</v>
      </c>
      <c r="N197" s="645">
        <f t="shared" si="19"/>
        <v>5548.0508361782631</v>
      </c>
      <c r="O197" s="645">
        <f t="shared" ca="1" si="20"/>
        <v>827.33496081285284</v>
      </c>
      <c r="P197" s="625"/>
      <c r="Q197" s="625"/>
      <c r="R197" s="625"/>
      <c r="S197" s="625"/>
      <c r="T197" s="625"/>
      <c r="U197" s="625"/>
      <c r="V197" s="625"/>
      <c r="W197" s="625"/>
      <c r="X197" s="625"/>
      <c r="Y197" s="625"/>
      <c r="Z197" s="625"/>
      <c r="AA197" s="625"/>
      <c r="AB197" s="624"/>
      <c r="AC197" s="624"/>
      <c r="AD197" s="624"/>
    </row>
    <row r="198" spans="1:30">
      <c r="A198" s="551" t="s">
        <v>384</v>
      </c>
      <c r="B198" s="551" t="s">
        <v>503</v>
      </c>
      <c r="C198" s="551" t="s">
        <v>499</v>
      </c>
      <c r="D198" s="551">
        <v>0</v>
      </c>
      <c r="E198" s="635">
        <v>1858.5178040000001</v>
      </c>
      <c r="F198" s="635">
        <v>1325.0281219999999</v>
      </c>
      <c r="G198" s="634">
        <f t="shared" si="27"/>
        <v>18613.053695999999</v>
      </c>
      <c r="H198" s="635">
        <v>20471.571499999998</v>
      </c>
      <c r="I198" s="641" t="s">
        <v>476</v>
      </c>
      <c r="J198" s="635">
        <v>28.20468868</v>
      </c>
      <c r="K198" s="635"/>
      <c r="L198" s="635"/>
      <c r="M198" s="551">
        <v>0</v>
      </c>
      <c r="N198" s="645">
        <f t="shared" ref="N198:N261" si="28">F198/$O$297</f>
        <v>9908.9078336579623</v>
      </c>
      <c r="O198" s="645">
        <f t="shared" ca="1" si="20"/>
        <v>0</v>
      </c>
      <c r="P198" s="625"/>
      <c r="Q198" s="625"/>
      <c r="R198" s="625"/>
      <c r="S198" s="625"/>
      <c r="T198" s="625"/>
      <c r="U198" s="625"/>
      <c r="V198" s="625"/>
      <c r="W198" s="625"/>
      <c r="X198" s="625"/>
      <c r="Y198" s="625"/>
      <c r="Z198" s="625"/>
      <c r="AA198" s="625"/>
      <c r="AB198" s="624"/>
      <c r="AC198" s="624"/>
      <c r="AD198" s="624"/>
    </row>
    <row r="199" spans="1:30">
      <c r="A199" s="551" t="s">
        <v>384</v>
      </c>
      <c r="B199" s="551" t="s">
        <v>503</v>
      </c>
      <c r="C199" s="551" t="s">
        <v>499</v>
      </c>
      <c r="D199" s="551">
        <v>1</v>
      </c>
      <c r="E199" s="635">
        <v>1885.2189310000001</v>
      </c>
      <c r="F199" s="635">
        <v>1296.840248</v>
      </c>
      <c r="G199" s="634">
        <f t="shared" si="27"/>
        <v>18216.567529</v>
      </c>
      <c r="H199" s="635">
        <v>20101.786459999999</v>
      </c>
      <c r="I199" s="641">
        <v>0.94384305899999998</v>
      </c>
      <c r="J199" s="635">
        <v>28.20468868</v>
      </c>
      <c r="K199" s="635">
        <v>1.05873456012</v>
      </c>
      <c r="L199" s="635">
        <v>4301.8688356000002</v>
      </c>
      <c r="M199" s="551">
        <v>1</v>
      </c>
      <c r="N199" s="645">
        <f t="shared" si="28"/>
        <v>9698.1115185796298</v>
      </c>
      <c r="O199" s="645">
        <f t="shared" ca="1" si="20"/>
        <v>210.79631507833255</v>
      </c>
      <c r="P199" s="625"/>
      <c r="Q199" s="625"/>
      <c r="R199" s="625"/>
      <c r="S199" s="625"/>
      <c r="T199" s="625"/>
      <c r="U199" s="625"/>
      <c r="V199" s="625"/>
      <c r="W199" s="625"/>
      <c r="X199" s="625"/>
      <c r="Y199" s="625"/>
      <c r="Z199" s="625"/>
      <c r="AA199" s="625"/>
      <c r="AB199" s="624"/>
      <c r="AC199" s="624"/>
      <c r="AD199" s="624"/>
    </row>
    <row r="200" spans="1:30">
      <c r="A200" s="551" t="s">
        <v>384</v>
      </c>
      <c r="B200" s="551" t="s">
        <v>503</v>
      </c>
      <c r="C200" s="551" t="s">
        <v>499</v>
      </c>
      <c r="D200" s="551">
        <v>2</v>
      </c>
      <c r="E200" s="635">
        <v>1896.558886</v>
      </c>
      <c r="F200" s="635">
        <v>1284.779951</v>
      </c>
      <c r="G200" s="634">
        <f t="shared" si="27"/>
        <v>18051.841744000001</v>
      </c>
      <c r="H200" s="635">
        <v>19948.40063</v>
      </c>
      <c r="I200" s="641">
        <v>0.94158004200000001</v>
      </c>
      <c r="J200" s="635">
        <v>28.20468868</v>
      </c>
      <c r="K200" s="635">
        <v>1.9662213259400001</v>
      </c>
      <c r="L200" s="635">
        <v>3864.8395522400001</v>
      </c>
      <c r="M200" s="551">
        <v>2</v>
      </c>
      <c r="N200" s="645">
        <f t="shared" si="28"/>
        <v>9607.9214543573235</v>
      </c>
      <c r="O200" s="645">
        <f t="shared" ca="1" si="20"/>
        <v>300.98637930063887</v>
      </c>
      <c r="P200" s="625"/>
      <c r="Q200" s="625"/>
      <c r="R200" s="625"/>
      <c r="S200" s="625"/>
      <c r="T200" s="625"/>
      <c r="U200" s="625"/>
      <c r="V200" s="625"/>
      <c r="W200" s="625"/>
      <c r="X200" s="625"/>
      <c r="Y200" s="625"/>
      <c r="Z200" s="625"/>
      <c r="AA200" s="625"/>
      <c r="AB200" s="624"/>
      <c r="AC200" s="624"/>
      <c r="AD200" s="624"/>
    </row>
    <row r="201" spans="1:30">
      <c r="A201" s="551" t="s">
        <v>384</v>
      </c>
      <c r="B201" s="551" t="s">
        <v>503</v>
      </c>
      <c r="C201" s="551" t="s">
        <v>499</v>
      </c>
      <c r="D201" s="551">
        <v>3</v>
      </c>
      <c r="E201" s="635">
        <v>1911.2180559999999</v>
      </c>
      <c r="F201" s="635">
        <v>1270.871969</v>
      </c>
      <c r="G201" s="634">
        <f t="shared" si="27"/>
        <v>17864.749474</v>
      </c>
      <c r="H201" s="635">
        <v>19775.967530000002</v>
      </c>
      <c r="I201" s="641">
        <v>0.97311568599999998</v>
      </c>
      <c r="J201" s="635">
        <v>28.20468868</v>
      </c>
      <c r="K201" s="635">
        <v>2.31913284598</v>
      </c>
      <c r="L201" s="635">
        <v>3560.5947586500001</v>
      </c>
      <c r="M201" s="551">
        <v>3</v>
      </c>
      <c r="N201" s="645">
        <f t="shared" si="28"/>
        <v>9503.9139170816943</v>
      </c>
      <c r="O201" s="645">
        <f t="shared" ca="1" si="20"/>
        <v>404.99391657626802</v>
      </c>
      <c r="P201" s="625"/>
      <c r="Q201" s="625"/>
      <c r="R201" s="625"/>
      <c r="S201" s="625"/>
      <c r="T201" s="625"/>
      <c r="U201" s="625"/>
      <c r="V201" s="625"/>
      <c r="W201" s="625"/>
      <c r="X201" s="625"/>
      <c r="Y201" s="625"/>
      <c r="Z201" s="625"/>
      <c r="AA201" s="625"/>
      <c r="AB201" s="624"/>
      <c r="AC201" s="624"/>
      <c r="AD201" s="624"/>
    </row>
    <row r="202" spans="1:30">
      <c r="A202" s="551" t="s">
        <v>384</v>
      </c>
      <c r="B202" s="551" t="s">
        <v>503</v>
      </c>
      <c r="C202" s="551" t="s">
        <v>499</v>
      </c>
      <c r="D202" s="551">
        <v>4</v>
      </c>
      <c r="E202" s="635">
        <v>1927.9956090000001</v>
      </c>
      <c r="F202" s="635">
        <v>1247.203317</v>
      </c>
      <c r="G202" s="634">
        <f t="shared" si="27"/>
        <v>17535.130010999997</v>
      </c>
      <c r="H202" s="635">
        <v>19463.125619999999</v>
      </c>
      <c r="I202" s="641">
        <v>0.88547014199999996</v>
      </c>
      <c r="J202" s="635">
        <v>28.20468868</v>
      </c>
      <c r="K202" s="635">
        <v>2.5964204688699999</v>
      </c>
      <c r="L202" s="635">
        <v>3697.3242232100001</v>
      </c>
      <c r="M202" s="551">
        <v>4</v>
      </c>
      <c r="N202" s="645">
        <f t="shared" si="28"/>
        <v>9326.9135294514872</v>
      </c>
      <c r="O202" s="645">
        <f t="shared" ca="1" si="20"/>
        <v>581.99430420647514</v>
      </c>
      <c r="P202" s="625"/>
      <c r="Q202" s="625"/>
      <c r="R202" s="625"/>
      <c r="S202" s="625"/>
      <c r="T202" s="625"/>
      <c r="U202" s="625"/>
      <c r="V202" s="625"/>
      <c r="W202" s="625"/>
      <c r="X202" s="625"/>
      <c r="Y202" s="625"/>
      <c r="Z202" s="625"/>
      <c r="AA202" s="625"/>
      <c r="AB202" s="624"/>
      <c r="AC202" s="624"/>
      <c r="AD202" s="624"/>
    </row>
    <row r="203" spans="1:30">
      <c r="A203" s="551" t="s">
        <v>384</v>
      </c>
      <c r="B203" s="551" t="s">
        <v>503</v>
      </c>
      <c r="C203" s="551" t="s">
        <v>499</v>
      </c>
      <c r="D203" s="551">
        <v>5</v>
      </c>
      <c r="E203" s="635">
        <v>1955.8248679999999</v>
      </c>
      <c r="F203" s="635">
        <v>1224.0370250000001</v>
      </c>
      <c r="G203" s="634">
        <f t="shared" si="27"/>
        <v>17210.596802</v>
      </c>
      <c r="H203" s="635">
        <v>19166.42167</v>
      </c>
      <c r="I203" s="641">
        <v>0.95381943199999997</v>
      </c>
      <c r="J203" s="635">
        <v>28.20468868</v>
      </c>
      <c r="K203" s="635">
        <v>3.60473909755</v>
      </c>
      <c r="L203" s="635">
        <v>3735.59118941</v>
      </c>
      <c r="M203" s="551">
        <v>5</v>
      </c>
      <c r="N203" s="645">
        <f t="shared" si="28"/>
        <v>9153.6699216636607</v>
      </c>
      <c r="O203" s="645">
        <f t="shared" ref="O203:O266" ca="1" si="29">OFFSET(M203,-M203,1)-N203</f>
        <v>755.23791199430161</v>
      </c>
      <c r="P203" s="625"/>
      <c r="Q203" s="625"/>
      <c r="R203" s="625"/>
      <c r="S203" s="625"/>
      <c r="T203" s="625"/>
      <c r="U203" s="625"/>
      <c r="V203" s="625"/>
      <c r="W203" s="625"/>
      <c r="X203" s="625"/>
      <c r="Y203" s="625"/>
      <c r="Z203" s="625"/>
      <c r="AA203" s="625"/>
      <c r="AB203" s="624"/>
      <c r="AC203" s="624"/>
      <c r="AD203" s="624"/>
    </row>
    <row r="204" spans="1:30">
      <c r="A204" s="551" t="s">
        <v>384</v>
      </c>
      <c r="B204" s="551" t="s">
        <v>503</v>
      </c>
      <c r="C204" s="551" t="s">
        <v>499</v>
      </c>
      <c r="D204" s="551">
        <v>6</v>
      </c>
      <c r="E204" s="635">
        <v>2011.653544</v>
      </c>
      <c r="F204" s="635">
        <v>1143.22803</v>
      </c>
      <c r="G204" s="634">
        <f t="shared" si="27"/>
        <v>16074.812035999999</v>
      </c>
      <c r="H204" s="635">
        <v>18086.46558</v>
      </c>
      <c r="I204" s="641">
        <v>0.83238107900000002</v>
      </c>
      <c r="J204" s="635">
        <v>28.20468868</v>
      </c>
      <c r="K204" s="635">
        <v>4.66347365768</v>
      </c>
      <c r="L204" s="635">
        <v>3948.9629282300002</v>
      </c>
      <c r="M204" s="551">
        <v>6</v>
      </c>
      <c r="N204" s="645">
        <f t="shared" si="28"/>
        <v>8549.3590619236384</v>
      </c>
      <c r="O204" s="645">
        <f t="shared" ca="1" si="29"/>
        <v>1359.548771734324</v>
      </c>
      <c r="P204" s="625"/>
      <c r="Q204" s="625"/>
      <c r="R204" s="625"/>
      <c r="S204" s="625"/>
      <c r="T204" s="625"/>
      <c r="U204" s="625"/>
      <c r="V204" s="625"/>
      <c r="W204" s="625"/>
      <c r="X204" s="625"/>
      <c r="Y204" s="625"/>
      <c r="Z204" s="625"/>
      <c r="AA204" s="625"/>
      <c r="AB204" s="624"/>
      <c r="AC204" s="624"/>
      <c r="AD204" s="624"/>
    </row>
    <row r="205" spans="1:30" s="551" customFormat="1">
      <c r="A205" s="551" t="s">
        <v>384</v>
      </c>
      <c r="B205" s="551" t="s">
        <v>503</v>
      </c>
      <c r="C205" s="551" t="s">
        <v>99</v>
      </c>
      <c r="D205" s="551">
        <v>0</v>
      </c>
      <c r="E205" s="635">
        <v>1673.5319219999999</v>
      </c>
      <c r="F205" s="635">
        <v>334.86691250000001</v>
      </c>
      <c r="G205" s="634">
        <f t="shared" si="27"/>
        <v>4056.5267845600001</v>
      </c>
      <c r="H205" s="635">
        <v>5730.0587065600002</v>
      </c>
      <c r="I205" s="641" t="s">
        <v>476</v>
      </c>
      <c r="J205" s="635">
        <v>19.863297431599999</v>
      </c>
      <c r="K205" s="635"/>
      <c r="L205" s="635"/>
      <c r="M205" s="551">
        <v>0</v>
      </c>
      <c r="N205" s="645">
        <f t="shared" si="28"/>
        <v>2504.2226028347691</v>
      </c>
      <c r="O205" s="645">
        <f t="shared" ca="1" si="29"/>
        <v>0</v>
      </c>
      <c r="P205" s="625"/>
      <c r="Q205" s="625"/>
      <c r="R205" s="625"/>
      <c r="S205" s="625"/>
      <c r="T205" s="625"/>
      <c r="U205" s="625"/>
      <c r="V205" s="625"/>
      <c r="W205" s="625"/>
      <c r="X205" s="625"/>
      <c r="Y205" s="625"/>
      <c r="Z205" s="625"/>
      <c r="AA205" s="625"/>
      <c r="AB205" s="624"/>
      <c r="AC205" s="624"/>
      <c r="AD205" s="624"/>
    </row>
    <row r="206" spans="1:30" s="551" customFormat="1">
      <c r="A206" s="551" t="s">
        <v>384</v>
      </c>
      <c r="B206" s="551" t="s">
        <v>503</v>
      </c>
      <c r="C206" s="551" t="s">
        <v>99</v>
      </c>
      <c r="D206" s="551">
        <v>1</v>
      </c>
      <c r="E206" s="635">
        <v>1696.3370890000001</v>
      </c>
      <c r="F206" s="635">
        <v>329.24444749999998</v>
      </c>
      <c r="G206" s="634">
        <f t="shared" si="27"/>
        <v>3985.0290057300003</v>
      </c>
      <c r="H206" s="635">
        <v>5681.3660947300004</v>
      </c>
      <c r="I206" s="641">
        <v>4.0560798350512997</v>
      </c>
      <c r="J206" s="635">
        <v>19.863297431599999</v>
      </c>
      <c r="K206" s="635">
        <v>1.15990057995</v>
      </c>
      <c r="L206" s="635">
        <v>808.78874964700003</v>
      </c>
      <c r="M206" s="551">
        <v>1</v>
      </c>
      <c r="N206" s="645">
        <f t="shared" si="28"/>
        <v>2462.1763348666027</v>
      </c>
      <c r="O206" s="645">
        <f t="shared" ca="1" si="29"/>
        <v>42.046267968166376</v>
      </c>
      <c r="P206" s="625"/>
      <c r="Q206" s="625"/>
      <c r="R206" s="625"/>
      <c r="S206" s="625"/>
      <c r="T206" s="625"/>
      <c r="U206" s="625"/>
      <c r="V206" s="625"/>
      <c r="W206" s="625"/>
      <c r="X206" s="625"/>
      <c r="Y206" s="625"/>
      <c r="Z206" s="625"/>
      <c r="AA206" s="625"/>
      <c r="AB206" s="624"/>
      <c r="AC206" s="624"/>
      <c r="AD206" s="624"/>
    </row>
    <row r="207" spans="1:30" s="551" customFormat="1">
      <c r="A207" s="551" t="s">
        <v>384</v>
      </c>
      <c r="B207" s="551" t="s">
        <v>503</v>
      </c>
      <c r="C207" s="551" t="s">
        <v>99</v>
      </c>
      <c r="D207" s="551">
        <v>2</v>
      </c>
      <c r="E207" s="635">
        <v>1710.433331</v>
      </c>
      <c r="F207" s="635">
        <v>327.26530179999997</v>
      </c>
      <c r="G207" s="634">
        <f t="shared" si="27"/>
        <v>3959.9630896099998</v>
      </c>
      <c r="H207" s="635">
        <v>5670.39642061</v>
      </c>
      <c r="I207" s="641">
        <v>4.8544196680106504</v>
      </c>
      <c r="J207" s="635">
        <v>19.863297431599999</v>
      </c>
      <c r="K207" s="635">
        <v>2.7616680475000002</v>
      </c>
      <c r="L207" s="635">
        <v>608.55531669200002</v>
      </c>
      <c r="M207" s="551">
        <v>2</v>
      </c>
      <c r="N207" s="645">
        <f t="shared" si="28"/>
        <v>2447.3757642182759</v>
      </c>
      <c r="O207" s="645">
        <f t="shared" ca="1" si="29"/>
        <v>56.846838616493187</v>
      </c>
      <c r="P207" s="625"/>
      <c r="Q207" s="625"/>
      <c r="R207" s="625"/>
      <c r="S207" s="625"/>
      <c r="T207" s="625"/>
      <c r="U207" s="625"/>
      <c r="V207" s="625"/>
      <c r="W207" s="625"/>
      <c r="X207" s="625"/>
      <c r="Y207" s="625"/>
      <c r="Z207" s="625"/>
      <c r="AA207" s="625"/>
      <c r="AB207" s="624"/>
      <c r="AC207" s="624"/>
      <c r="AD207" s="624"/>
    </row>
    <row r="208" spans="1:30" s="551" customFormat="1">
      <c r="A208" s="551" t="s">
        <v>384</v>
      </c>
      <c r="B208" s="551" t="s">
        <v>503</v>
      </c>
      <c r="C208" s="551" t="s">
        <v>99</v>
      </c>
      <c r="D208" s="551">
        <v>3</v>
      </c>
      <c r="E208" s="635">
        <v>1729.822977</v>
      </c>
      <c r="F208" s="635">
        <v>324.34804070000001</v>
      </c>
      <c r="G208" s="634">
        <f t="shared" si="27"/>
        <v>3923.7774730199999</v>
      </c>
      <c r="H208" s="635">
        <v>5653.6004500199997</v>
      </c>
      <c r="I208" s="641">
        <v>5.35143463679512</v>
      </c>
      <c r="J208" s="635">
        <v>19.863297431599999</v>
      </c>
      <c r="K208" s="635">
        <v>4.5291355978999999</v>
      </c>
      <c r="L208" s="635">
        <v>507.99146225499999</v>
      </c>
      <c r="M208" s="551">
        <v>3</v>
      </c>
      <c r="N208" s="645">
        <f t="shared" si="28"/>
        <v>2425.5597205534946</v>
      </c>
      <c r="O208" s="645">
        <f t="shared" ca="1" si="29"/>
        <v>78.662882281274506</v>
      </c>
      <c r="P208" s="625"/>
      <c r="Q208" s="625"/>
      <c r="R208" s="625"/>
      <c r="S208" s="625"/>
      <c r="T208" s="625"/>
      <c r="U208" s="625"/>
      <c r="V208" s="625"/>
      <c r="W208" s="625"/>
      <c r="X208" s="625"/>
      <c r="Y208" s="625"/>
      <c r="Z208" s="625"/>
      <c r="AA208" s="625"/>
      <c r="AB208" s="624"/>
      <c r="AC208" s="624"/>
      <c r="AD208" s="624"/>
    </row>
    <row r="209" spans="1:30" s="551" customFormat="1">
      <c r="A209" s="551" t="s">
        <v>384</v>
      </c>
      <c r="B209" s="551" t="s">
        <v>503</v>
      </c>
      <c r="C209" s="551" t="s">
        <v>99</v>
      </c>
      <c r="D209" s="551">
        <v>4</v>
      </c>
      <c r="E209" s="635">
        <v>1753.7208619999999</v>
      </c>
      <c r="F209" s="635">
        <v>321.62715989999998</v>
      </c>
      <c r="G209" s="634">
        <f t="shared" si="27"/>
        <v>3890.2257566099997</v>
      </c>
      <c r="H209" s="635">
        <v>5643.9466186099999</v>
      </c>
      <c r="I209" s="641">
        <v>6.05667958671902</v>
      </c>
      <c r="J209" s="635">
        <v>19.863297431599999</v>
      </c>
      <c r="K209" s="635">
        <v>7.5669704501500004</v>
      </c>
      <c r="L209" s="635">
        <v>384.00476656900003</v>
      </c>
      <c r="M209" s="551">
        <v>4</v>
      </c>
      <c r="N209" s="645">
        <f t="shared" si="28"/>
        <v>2405.2122602800669</v>
      </c>
      <c r="O209" s="645">
        <f t="shared" ca="1" si="29"/>
        <v>99.01034255470222</v>
      </c>
      <c r="P209" s="625"/>
      <c r="Q209" s="625"/>
      <c r="R209" s="625"/>
      <c r="S209" s="625"/>
      <c r="T209" s="625"/>
      <c r="U209" s="625"/>
      <c r="V209" s="625"/>
      <c r="W209" s="625"/>
      <c r="X209" s="625"/>
      <c r="Y209" s="625"/>
      <c r="Z209" s="625"/>
      <c r="AA209" s="625"/>
      <c r="AB209" s="624"/>
      <c r="AC209" s="624"/>
      <c r="AD209" s="624"/>
    </row>
    <row r="210" spans="1:30" s="551" customFormat="1">
      <c r="A210" s="551" t="s">
        <v>384</v>
      </c>
      <c r="B210" s="551" t="s">
        <v>503</v>
      </c>
      <c r="C210" s="551" t="s">
        <v>99</v>
      </c>
      <c r="D210" s="551">
        <v>5</v>
      </c>
      <c r="E210" s="635">
        <v>1779.9263209999999</v>
      </c>
      <c r="F210" s="635">
        <v>316.68960900000002</v>
      </c>
      <c r="G210" s="634">
        <f t="shared" si="27"/>
        <v>3833.3154838800001</v>
      </c>
      <c r="H210" s="635">
        <v>5613.24180488</v>
      </c>
      <c r="I210" s="641">
        <v>5.85314532534988</v>
      </c>
      <c r="J210" s="635">
        <v>19.863297431599999</v>
      </c>
      <c r="K210" s="635">
        <v>9.7763048881499994</v>
      </c>
      <c r="L210" s="635">
        <v>405.555130346</v>
      </c>
      <c r="M210" s="551">
        <v>5</v>
      </c>
      <c r="N210" s="645">
        <f t="shared" si="28"/>
        <v>2368.287959595606</v>
      </c>
      <c r="O210" s="645">
        <f t="shared" ca="1" si="29"/>
        <v>135.93464323916305</v>
      </c>
      <c r="P210" s="625"/>
      <c r="Q210" s="625"/>
      <c r="R210" s="625"/>
      <c r="S210" s="625"/>
      <c r="T210" s="625"/>
      <c r="U210" s="625"/>
      <c r="V210" s="625"/>
      <c r="W210" s="625"/>
      <c r="X210" s="625"/>
      <c r="Y210" s="625"/>
      <c r="Z210" s="625"/>
      <c r="AA210" s="625"/>
      <c r="AB210" s="624"/>
      <c r="AC210" s="624"/>
      <c r="AD210" s="624"/>
    </row>
    <row r="211" spans="1:30" s="551" customFormat="1">
      <c r="A211" s="551" t="s">
        <v>384</v>
      </c>
      <c r="B211" s="551" t="s">
        <v>503</v>
      </c>
      <c r="C211" s="551" t="s">
        <v>99</v>
      </c>
      <c r="D211" s="551">
        <v>6</v>
      </c>
      <c r="E211" s="635">
        <v>1854.510309</v>
      </c>
      <c r="F211" s="635">
        <v>302.2034228</v>
      </c>
      <c r="G211" s="634">
        <f t="shared" si="27"/>
        <v>3657.7289682199998</v>
      </c>
      <c r="H211" s="635">
        <v>5512.2392772200001</v>
      </c>
      <c r="I211" s="641">
        <v>5.54069356989043</v>
      </c>
      <c r="J211" s="635">
        <v>19.863297431599999</v>
      </c>
      <c r="K211" s="635">
        <v>19.248826291099999</v>
      </c>
      <c r="L211" s="635">
        <v>416.21327367700002</v>
      </c>
      <c r="M211" s="551">
        <v>6</v>
      </c>
      <c r="N211" s="645">
        <f t="shared" si="28"/>
        <v>2259.9564596570649</v>
      </c>
      <c r="O211" s="645">
        <f t="shared" ca="1" si="29"/>
        <v>244.26614317770418</v>
      </c>
      <c r="P211" s="625"/>
      <c r="Q211" s="625"/>
      <c r="R211" s="625"/>
      <c r="S211" s="625"/>
      <c r="T211" s="625"/>
      <c r="U211" s="625"/>
      <c r="V211" s="625"/>
      <c r="W211" s="625"/>
      <c r="X211" s="625"/>
      <c r="Y211" s="625"/>
      <c r="Z211" s="625"/>
      <c r="AA211" s="625"/>
      <c r="AB211" s="624"/>
      <c r="AC211" s="624"/>
      <c r="AD211" s="624"/>
    </row>
    <row r="212" spans="1:30">
      <c r="A212" t="s">
        <v>64</v>
      </c>
      <c r="B212" t="s">
        <v>240</v>
      </c>
      <c r="C212" t="s">
        <v>497</v>
      </c>
      <c r="D212">
        <v>0</v>
      </c>
      <c r="E212" s="634">
        <v>2917.30254109</v>
      </c>
      <c r="F212" s="634">
        <v>1065.5971082900001</v>
      </c>
      <c r="G212" s="634">
        <f t="shared" si="27"/>
        <v>14754.590120009998</v>
      </c>
      <c r="H212" s="634">
        <v>17671.892661099999</v>
      </c>
      <c r="I212" s="640" t="s">
        <v>476</v>
      </c>
      <c r="J212" s="634">
        <v>29.857610680800001</v>
      </c>
      <c r="M212">
        <v>0</v>
      </c>
      <c r="N212" s="645">
        <f t="shared" si="28"/>
        <v>7968.8146678128041</v>
      </c>
      <c r="O212" s="645">
        <f t="shared" ca="1" si="29"/>
        <v>0</v>
      </c>
      <c r="P212" s="624"/>
      <c r="Q212" s="624"/>
      <c r="AA212" s="624"/>
      <c r="AB212" s="624"/>
      <c r="AC212" s="624"/>
      <c r="AD212" s="624"/>
    </row>
    <row r="213" spans="1:30">
      <c r="A213" t="s">
        <v>64</v>
      </c>
      <c r="B213" t="s">
        <v>240</v>
      </c>
      <c r="C213" t="s">
        <v>497</v>
      </c>
      <c r="D213">
        <v>1</v>
      </c>
      <c r="E213" s="634">
        <v>3324.9346810299999</v>
      </c>
      <c r="F213" s="634">
        <v>1003.6030846</v>
      </c>
      <c r="G213" s="634">
        <f t="shared" si="27"/>
        <v>13893.540298670001</v>
      </c>
      <c r="H213" s="634">
        <v>17218.4749797</v>
      </c>
      <c r="I213" s="640">
        <v>6.5437496267375597</v>
      </c>
      <c r="J213" s="634">
        <v>29.857610680800001</v>
      </c>
      <c r="K213" s="634">
        <v>4.2194092827</v>
      </c>
      <c r="L213" s="634">
        <v>1992.2023696799999</v>
      </c>
      <c r="M213">
        <v>1</v>
      </c>
      <c r="N213" s="645">
        <f t="shared" si="28"/>
        <v>7505.2070984469528</v>
      </c>
      <c r="O213" s="645">
        <f t="shared" ca="1" si="29"/>
        <v>463.6075693658513</v>
      </c>
      <c r="P213" s="624"/>
      <c r="Q213" s="624"/>
      <c r="AA213" s="624"/>
      <c r="AB213" s="624"/>
      <c r="AC213" s="624"/>
      <c r="AD213" s="624"/>
    </row>
    <row r="214" spans="1:30">
      <c r="A214" t="s">
        <v>64</v>
      </c>
      <c r="B214" t="s">
        <v>240</v>
      </c>
      <c r="C214" t="s">
        <v>497</v>
      </c>
      <c r="D214">
        <v>2</v>
      </c>
      <c r="E214" s="634">
        <v>3404.8289010600001</v>
      </c>
      <c r="F214" s="634">
        <v>984.76732660499999</v>
      </c>
      <c r="G214" s="634">
        <f t="shared" si="27"/>
        <v>13633.322698639999</v>
      </c>
      <c r="H214" s="634">
        <v>17038.151599699999</v>
      </c>
      <c r="I214" s="640">
        <v>5.9802352249574398</v>
      </c>
      <c r="J214" s="634">
        <v>29.857610680800001</v>
      </c>
      <c r="K214" s="634">
        <v>5.7056489703400004</v>
      </c>
      <c r="L214" s="634">
        <v>2119.9018990200002</v>
      </c>
      <c r="M214">
        <v>2</v>
      </c>
      <c r="N214" s="645">
        <f t="shared" si="28"/>
        <v>7364.3483597902796</v>
      </c>
      <c r="O214" s="645">
        <f t="shared" ca="1" si="29"/>
        <v>604.46630802252457</v>
      </c>
      <c r="P214" s="624"/>
      <c r="Q214" s="624"/>
      <c r="AA214" s="624"/>
      <c r="AB214" s="624"/>
      <c r="AC214" s="624"/>
      <c r="AD214" s="624"/>
    </row>
    <row r="215" spans="1:30">
      <c r="A215" t="s">
        <v>64</v>
      </c>
      <c r="B215" t="s">
        <v>240</v>
      </c>
      <c r="C215" t="s">
        <v>497</v>
      </c>
      <c r="D215">
        <v>3</v>
      </c>
      <c r="E215" s="634">
        <v>3512.6862995199999</v>
      </c>
      <c r="F215" s="634">
        <v>965.66696706899995</v>
      </c>
      <c r="G215" s="634">
        <f t="shared" si="27"/>
        <v>13372.60420048</v>
      </c>
      <c r="H215" s="634">
        <v>16885.290499999999</v>
      </c>
      <c r="I215" s="640">
        <v>5.9150588187146402</v>
      </c>
      <c r="J215" s="634">
        <v>29.857610680800001</v>
      </c>
      <c r="K215" s="634">
        <v>7.1163171484400003</v>
      </c>
      <c r="L215" s="634">
        <v>2077.58744454</v>
      </c>
      <c r="M215">
        <v>3</v>
      </c>
      <c r="N215" s="645">
        <f t="shared" si="28"/>
        <v>7221.5108614085248</v>
      </c>
      <c r="O215" s="645">
        <f t="shared" ca="1" si="29"/>
        <v>747.30380640427938</v>
      </c>
      <c r="P215" s="624"/>
      <c r="Q215" s="624"/>
      <c r="AA215" s="624"/>
      <c r="AB215" s="624"/>
      <c r="AC215" s="624"/>
      <c r="AD215" s="624"/>
    </row>
    <row r="216" spans="1:30">
      <c r="A216" t="s">
        <v>64</v>
      </c>
      <c r="B216" t="s">
        <v>240</v>
      </c>
      <c r="C216" t="s">
        <v>497</v>
      </c>
      <c r="D216">
        <v>4</v>
      </c>
      <c r="E216" s="634">
        <v>3662.1471522100001</v>
      </c>
      <c r="F216" s="634">
        <v>945.39776406299995</v>
      </c>
      <c r="G216" s="634">
        <f t="shared" si="27"/>
        <v>13086.437521790001</v>
      </c>
      <c r="H216" s="634">
        <v>16748.584674000002</v>
      </c>
      <c r="I216" s="640">
        <v>6.1500832080224903</v>
      </c>
      <c r="J216" s="634">
        <v>29.857610680800001</v>
      </c>
      <c r="K216" s="634">
        <v>9.5472007053300008</v>
      </c>
      <c r="L216" s="634">
        <v>1938.28761607</v>
      </c>
      <c r="M216">
        <v>4</v>
      </c>
      <c r="N216" s="645">
        <f t="shared" si="28"/>
        <v>7069.9324449859359</v>
      </c>
      <c r="O216" s="645">
        <f t="shared" ca="1" si="29"/>
        <v>898.8822228268682</v>
      </c>
      <c r="P216" s="624"/>
      <c r="Q216" s="624"/>
      <c r="AA216" s="624"/>
      <c r="AB216" s="624"/>
      <c r="AC216" s="624"/>
      <c r="AD216" s="624"/>
    </row>
    <row r="217" spans="1:30">
      <c r="A217" t="s">
        <v>64</v>
      </c>
      <c r="B217" t="s">
        <v>240</v>
      </c>
      <c r="C217" t="s">
        <v>497</v>
      </c>
      <c r="D217">
        <v>5</v>
      </c>
      <c r="E217" s="634">
        <v>3823.8272964299999</v>
      </c>
      <c r="F217" s="634">
        <v>920.48556093499997</v>
      </c>
      <c r="G217" s="634">
        <f t="shared" si="27"/>
        <v>12741.434866370002</v>
      </c>
      <c r="H217" s="634">
        <v>16565.262162800002</v>
      </c>
      <c r="I217" s="640">
        <v>6.1988155981827298</v>
      </c>
      <c r="J217" s="634">
        <v>29.857610680800001</v>
      </c>
      <c r="K217" s="634">
        <v>12.2488821714</v>
      </c>
      <c r="L217" s="634">
        <v>1852.4336582999999</v>
      </c>
      <c r="M217">
        <v>5</v>
      </c>
      <c r="N217" s="645">
        <f t="shared" si="28"/>
        <v>6883.6324558535407</v>
      </c>
      <c r="O217" s="645">
        <f t="shared" ca="1" si="29"/>
        <v>1085.1822119592634</v>
      </c>
      <c r="P217" s="624"/>
      <c r="Q217" s="624"/>
      <c r="AA217" s="624"/>
      <c r="AB217" s="624"/>
      <c r="AC217" s="624"/>
      <c r="AD217" s="624"/>
    </row>
    <row r="218" spans="1:30">
      <c r="A218" t="s">
        <v>64</v>
      </c>
      <c r="B218" t="s">
        <v>240</v>
      </c>
      <c r="C218" t="s">
        <v>497</v>
      </c>
      <c r="D218">
        <v>6</v>
      </c>
      <c r="E218" s="634">
        <v>4299.9331299200003</v>
      </c>
      <c r="F218" s="634">
        <v>838.504474663</v>
      </c>
      <c r="G218" s="634">
        <f t="shared" si="27"/>
        <v>11609.71685658</v>
      </c>
      <c r="H218" s="634">
        <v>15909.649986500001</v>
      </c>
      <c r="I218" s="640">
        <v>6.0444785903558396</v>
      </c>
      <c r="J218" s="634">
        <v>29.857610680800001</v>
      </c>
      <c r="K218" s="634">
        <v>21.481201587000001</v>
      </c>
      <c r="L218" s="634">
        <v>1933.9727299799999</v>
      </c>
      <c r="M218">
        <v>6</v>
      </c>
      <c r="N218" s="645">
        <f t="shared" si="28"/>
        <v>6270.5563901574724</v>
      </c>
      <c r="O218" s="645">
        <f t="shared" ca="1" si="29"/>
        <v>1698.2582776553318</v>
      </c>
      <c r="P218" s="624"/>
      <c r="Q218" s="624"/>
      <c r="AA218" s="624"/>
      <c r="AB218" s="624"/>
      <c r="AC218" s="624"/>
      <c r="AD218" s="624"/>
    </row>
    <row r="219" spans="1:30">
      <c r="A219" t="s">
        <v>64</v>
      </c>
      <c r="B219" t="s">
        <v>240</v>
      </c>
      <c r="C219" t="s">
        <v>499</v>
      </c>
      <c r="D219">
        <v>0</v>
      </c>
      <c r="E219" s="634">
        <v>2917.302541</v>
      </c>
      <c r="F219" s="634">
        <v>1065.5971079999999</v>
      </c>
      <c r="G219" s="634">
        <f t="shared" si="27"/>
        <v>14754.590119</v>
      </c>
      <c r="H219" s="634">
        <v>17671.892660000001</v>
      </c>
      <c r="I219" s="640" t="s">
        <v>476</v>
      </c>
      <c r="J219" s="634">
        <v>29.857610680000001</v>
      </c>
      <c r="M219">
        <v>0</v>
      </c>
      <c r="N219" s="645">
        <f t="shared" si="28"/>
        <v>7968.8146656441077</v>
      </c>
      <c r="O219" s="645">
        <f t="shared" ca="1" si="29"/>
        <v>0</v>
      </c>
      <c r="P219" s="624"/>
      <c r="Q219" s="624"/>
      <c r="AA219" s="624"/>
      <c r="AB219" s="624"/>
      <c r="AC219" s="624"/>
      <c r="AD219" s="624"/>
    </row>
    <row r="220" spans="1:30">
      <c r="A220" t="s">
        <v>64</v>
      </c>
      <c r="B220" t="s">
        <v>240</v>
      </c>
      <c r="C220" t="s">
        <v>499</v>
      </c>
      <c r="D220">
        <v>1</v>
      </c>
      <c r="E220" s="634">
        <v>3324.9346810000002</v>
      </c>
      <c r="F220" s="634">
        <v>1003.603085</v>
      </c>
      <c r="G220" s="634">
        <f t="shared" si="27"/>
        <v>13893.540298999998</v>
      </c>
      <c r="H220" s="634">
        <v>17218.474979999999</v>
      </c>
      <c r="I220" s="640">
        <v>6.5437496270000004</v>
      </c>
      <c r="J220" s="634">
        <v>29.857610680000001</v>
      </c>
      <c r="K220" s="634">
        <v>4.2194092827</v>
      </c>
      <c r="L220" s="634">
        <v>1992.2023696799999</v>
      </c>
      <c r="M220">
        <v>1</v>
      </c>
      <c r="N220" s="645">
        <f t="shared" si="28"/>
        <v>7505.2071014382573</v>
      </c>
      <c r="O220" s="645">
        <f t="shared" ca="1" si="29"/>
        <v>463.60756420585039</v>
      </c>
      <c r="P220" s="624"/>
      <c r="Q220" s="624"/>
      <c r="AA220" s="624"/>
      <c r="AB220" s="624"/>
      <c r="AC220" s="624"/>
      <c r="AD220" s="624"/>
    </row>
    <row r="221" spans="1:30">
      <c r="A221" t="s">
        <v>64</v>
      </c>
      <c r="B221" t="s">
        <v>240</v>
      </c>
      <c r="C221" t="s">
        <v>499</v>
      </c>
      <c r="D221">
        <v>2</v>
      </c>
      <c r="E221" s="634">
        <v>3404.8289009999999</v>
      </c>
      <c r="F221" s="634">
        <v>984.76732660000005</v>
      </c>
      <c r="G221" s="634">
        <f t="shared" si="27"/>
        <v>13633.322699</v>
      </c>
      <c r="H221" s="634">
        <v>17038.151600000001</v>
      </c>
      <c r="I221" s="640">
        <v>5.9802352250000004</v>
      </c>
      <c r="J221" s="634">
        <v>29.857610680000001</v>
      </c>
      <c r="K221" s="634">
        <v>5.7056489703400004</v>
      </c>
      <c r="L221" s="634">
        <v>2119.9018990200002</v>
      </c>
      <c r="M221">
        <v>2</v>
      </c>
      <c r="N221" s="645">
        <f t="shared" si="28"/>
        <v>7364.3483597528884</v>
      </c>
      <c r="O221" s="645">
        <f t="shared" ca="1" si="29"/>
        <v>604.46630589121924</v>
      </c>
      <c r="P221" s="624"/>
      <c r="Q221" s="624"/>
      <c r="AA221" s="624"/>
      <c r="AB221" s="624"/>
      <c r="AC221" s="624"/>
      <c r="AD221" s="624"/>
    </row>
    <row r="222" spans="1:30">
      <c r="A222" t="s">
        <v>64</v>
      </c>
      <c r="B222" t="s">
        <v>240</v>
      </c>
      <c r="C222" t="s">
        <v>499</v>
      </c>
      <c r="D222">
        <v>3</v>
      </c>
      <c r="E222" s="634">
        <v>3512.6862999999998</v>
      </c>
      <c r="F222" s="634">
        <v>965.66696709999997</v>
      </c>
      <c r="G222" s="634">
        <f t="shared" si="27"/>
        <v>13372.6042</v>
      </c>
      <c r="H222" s="634">
        <v>16885.290499999999</v>
      </c>
      <c r="I222" s="640">
        <v>5.9150588190000004</v>
      </c>
      <c r="J222" s="634">
        <v>29.857610680000001</v>
      </c>
      <c r="K222" s="634">
        <v>7.1163171484400003</v>
      </c>
      <c r="L222" s="634">
        <v>2077.58744454</v>
      </c>
      <c r="M222">
        <v>3</v>
      </c>
      <c r="N222" s="645">
        <f t="shared" si="28"/>
        <v>7221.5108616403513</v>
      </c>
      <c r="O222" s="645">
        <f t="shared" ca="1" si="29"/>
        <v>747.30380400375634</v>
      </c>
      <c r="P222" s="624"/>
      <c r="Q222" s="624"/>
      <c r="AA222" s="624"/>
      <c r="AB222" s="624"/>
      <c r="AC222" s="624"/>
      <c r="AD222" s="624"/>
    </row>
    <row r="223" spans="1:30">
      <c r="A223" t="s">
        <v>64</v>
      </c>
      <c r="B223" t="s">
        <v>240</v>
      </c>
      <c r="C223" t="s">
        <v>499</v>
      </c>
      <c r="D223">
        <v>4</v>
      </c>
      <c r="E223" s="634">
        <v>3662.147152</v>
      </c>
      <c r="F223" s="634">
        <v>945.39776410000002</v>
      </c>
      <c r="G223" s="634">
        <f t="shared" si="27"/>
        <v>13086.437518000001</v>
      </c>
      <c r="H223" s="634">
        <v>16748.58467</v>
      </c>
      <c r="I223" s="640">
        <v>6.1500832079999999</v>
      </c>
      <c r="J223" s="634">
        <v>29.857610680000001</v>
      </c>
      <c r="K223" s="634">
        <v>9.5472007053300008</v>
      </c>
      <c r="L223" s="634">
        <v>1938.28761607</v>
      </c>
      <c r="M223">
        <v>4</v>
      </c>
      <c r="N223" s="645">
        <f t="shared" si="28"/>
        <v>7069.9324452626315</v>
      </c>
      <c r="O223" s="645">
        <f t="shared" ca="1" si="29"/>
        <v>898.88222038147615</v>
      </c>
      <c r="P223" s="624"/>
      <c r="Q223" s="624"/>
      <c r="AA223" s="624"/>
      <c r="AB223" s="624"/>
      <c r="AC223" s="624"/>
      <c r="AD223" s="624"/>
    </row>
    <row r="224" spans="1:30">
      <c r="A224" t="s">
        <v>64</v>
      </c>
      <c r="B224" t="s">
        <v>240</v>
      </c>
      <c r="C224" t="s">
        <v>499</v>
      </c>
      <c r="D224">
        <v>5</v>
      </c>
      <c r="E224" s="634">
        <v>3823.8272959999999</v>
      </c>
      <c r="F224" s="634">
        <v>920.4855609</v>
      </c>
      <c r="G224" s="634">
        <f t="shared" si="27"/>
        <v>12741.434863999999</v>
      </c>
      <c r="H224" s="634">
        <v>16565.262159999998</v>
      </c>
      <c r="I224" s="640">
        <v>6.1988155980000004</v>
      </c>
      <c r="J224" s="634">
        <v>29.857610680000001</v>
      </c>
      <c r="K224" s="634">
        <v>12.2488821714</v>
      </c>
      <c r="L224" s="634">
        <v>1852.4336582999999</v>
      </c>
      <c r="M224">
        <v>5</v>
      </c>
      <c r="N224" s="645">
        <f t="shared" si="28"/>
        <v>6883.6324555918018</v>
      </c>
      <c r="O224" s="645">
        <f t="shared" ca="1" si="29"/>
        <v>1085.1822100523059</v>
      </c>
      <c r="P224" s="624"/>
      <c r="Q224" s="624"/>
      <c r="AA224" s="624"/>
      <c r="AB224" s="624"/>
      <c r="AC224" s="624"/>
      <c r="AD224" s="624"/>
    </row>
    <row r="225" spans="1:30">
      <c r="A225" t="s">
        <v>64</v>
      </c>
      <c r="B225" t="s">
        <v>240</v>
      </c>
      <c r="C225" t="s">
        <v>499</v>
      </c>
      <c r="D225">
        <v>6</v>
      </c>
      <c r="E225" s="634">
        <v>4299.9331300000003</v>
      </c>
      <c r="F225" s="634">
        <v>838.50447469999995</v>
      </c>
      <c r="G225" s="634">
        <f t="shared" si="27"/>
        <v>11609.71686</v>
      </c>
      <c r="H225" s="634">
        <v>15909.64999</v>
      </c>
      <c r="I225" s="640">
        <v>6.0444785899999998</v>
      </c>
      <c r="J225" s="634">
        <v>29.857610680000001</v>
      </c>
      <c r="K225" s="634">
        <v>21.481201587000001</v>
      </c>
      <c r="L225" s="634">
        <v>1933.9727299799999</v>
      </c>
      <c r="M225">
        <v>6</v>
      </c>
      <c r="N225" s="645">
        <f t="shared" si="28"/>
        <v>6270.556390434168</v>
      </c>
      <c r="O225" s="645">
        <f t="shared" ca="1" si="29"/>
        <v>1698.2582752099397</v>
      </c>
      <c r="P225" s="624"/>
      <c r="Q225" s="624"/>
      <c r="AA225" s="624"/>
      <c r="AB225" s="624"/>
      <c r="AC225" s="624"/>
      <c r="AD225" s="624"/>
    </row>
    <row r="226" spans="1:30" s="559" customFormat="1">
      <c r="A226" s="560" t="s">
        <v>64</v>
      </c>
      <c r="B226" s="560" t="s">
        <v>240</v>
      </c>
      <c r="C226" s="560" t="s">
        <v>99</v>
      </c>
      <c r="D226" s="560">
        <v>0</v>
      </c>
      <c r="E226" s="638" t="s">
        <v>69</v>
      </c>
      <c r="F226" s="638" t="s">
        <v>69</v>
      </c>
      <c r="G226" s="638" t="s">
        <v>69</v>
      </c>
      <c r="H226" s="638" t="s">
        <v>69</v>
      </c>
      <c r="I226" s="643" t="s">
        <v>69</v>
      </c>
      <c r="J226" s="638" t="s">
        <v>69</v>
      </c>
      <c r="K226" s="638" t="s">
        <v>69</v>
      </c>
      <c r="L226" s="638" t="s">
        <v>69</v>
      </c>
      <c r="M226" s="560">
        <v>0</v>
      </c>
      <c r="N226" s="645"/>
      <c r="O226" s="645"/>
      <c r="P226" s="627"/>
      <c r="Q226" s="627"/>
      <c r="R226" s="627"/>
      <c r="S226" s="627"/>
      <c r="T226" s="627"/>
      <c r="U226" s="627"/>
      <c r="V226" s="627"/>
      <c r="W226" s="627"/>
      <c r="X226" s="627"/>
      <c r="Y226" s="627"/>
      <c r="Z226" s="627"/>
      <c r="AA226" s="627"/>
      <c r="AB226" s="624"/>
      <c r="AC226" s="624"/>
      <c r="AD226" s="624"/>
    </row>
    <row r="227" spans="1:30" s="559" customFormat="1">
      <c r="A227" s="560" t="s">
        <v>64</v>
      </c>
      <c r="B227" s="560" t="s">
        <v>240</v>
      </c>
      <c r="C227" s="560" t="s">
        <v>99</v>
      </c>
      <c r="D227" s="560">
        <v>1</v>
      </c>
      <c r="E227" s="638" t="s">
        <v>69</v>
      </c>
      <c r="F227" s="638" t="s">
        <v>69</v>
      </c>
      <c r="G227" s="638" t="s">
        <v>69</v>
      </c>
      <c r="H227" s="638" t="s">
        <v>69</v>
      </c>
      <c r="I227" s="643" t="s">
        <v>69</v>
      </c>
      <c r="J227" s="638" t="s">
        <v>69</v>
      </c>
      <c r="K227" s="638" t="s">
        <v>69</v>
      </c>
      <c r="L227" s="638" t="s">
        <v>69</v>
      </c>
      <c r="M227" s="560">
        <v>1</v>
      </c>
      <c r="N227" s="645"/>
      <c r="O227" s="645"/>
      <c r="P227" s="627"/>
      <c r="Q227" s="627"/>
      <c r="R227" s="627"/>
      <c r="S227" s="627"/>
      <c r="T227" s="627"/>
      <c r="U227" s="627"/>
      <c r="V227" s="627"/>
      <c r="W227" s="627"/>
      <c r="X227" s="627"/>
      <c r="Y227" s="627"/>
      <c r="Z227" s="627"/>
      <c r="AA227" s="627"/>
      <c r="AB227" s="624"/>
      <c r="AC227" s="624"/>
      <c r="AD227" s="624"/>
    </row>
    <row r="228" spans="1:30" s="559" customFormat="1">
      <c r="A228" s="560" t="s">
        <v>64</v>
      </c>
      <c r="B228" s="560" t="s">
        <v>240</v>
      </c>
      <c r="C228" s="560" t="s">
        <v>99</v>
      </c>
      <c r="D228" s="560">
        <v>2</v>
      </c>
      <c r="E228" s="638" t="s">
        <v>69</v>
      </c>
      <c r="F228" s="638" t="s">
        <v>69</v>
      </c>
      <c r="G228" s="638" t="s">
        <v>69</v>
      </c>
      <c r="H228" s="638" t="s">
        <v>69</v>
      </c>
      <c r="I228" s="643" t="s">
        <v>69</v>
      </c>
      <c r="J228" s="638" t="s">
        <v>69</v>
      </c>
      <c r="K228" s="638" t="s">
        <v>69</v>
      </c>
      <c r="L228" s="638" t="s">
        <v>69</v>
      </c>
      <c r="M228" s="560">
        <v>2</v>
      </c>
      <c r="N228" s="645"/>
      <c r="O228" s="645"/>
      <c r="P228" s="627"/>
      <c r="Q228" s="627"/>
      <c r="R228" s="627"/>
      <c r="S228" s="627"/>
      <c r="T228" s="627"/>
      <c r="U228" s="627"/>
      <c r="V228" s="627"/>
      <c r="W228" s="627"/>
      <c r="X228" s="627"/>
      <c r="Y228" s="627"/>
      <c r="Z228" s="627"/>
      <c r="AA228" s="627"/>
      <c r="AB228" s="624"/>
      <c r="AC228" s="624"/>
      <c r="AD228" s="624"/>
    </row>
    <row r="229" spans="1:30" s="559" customFormat="1">
      <c r="A229" s="560" t="s">
        <v>64</v>
      </c>
      <c r="B229" s="560" t="s">
        <v>240</v>
      </c>
      <c r="C229" s="560" t="s">
        <v>99</v>
      </c>
      <c r="D229" s="560">
        <v>3</v>
      </c>
      <c r="E229" s="638" t="s">
        <v>69</v>
      </c>
      <c r="F229" s="638" t="s">
        <v>69</v>
      </c>
      <c r="G229" s="638" t="s">
        <v>69</v>
      </c>
      <c r="H229" s="638" t="s">
        <v>69</v>
      </c>
      <c r="I229" s="643" t="s">
        <v>69</v>
      </c>
      <c r="J229" s="638" t="s">
        <v>69</v>
      </c>
      <c r="K229" s="638" t="s">
        <v>69</v>
      </c>
      <c r="L229" s="638" t="s">
        <v>69</v>
      </c>
      <c r="M229" s="560">
        <v>3</v>
      </c>
      <c r="N229" s="645"/>
      <c r="O229" s="645"/>
      <c r="P229" s="627"/>
      <c r="Q229" s="627"/>
      <c r="R229" s="627"/>
      <c r="S229" s="627"/>
      <c r="T229" s="627"/>
      <c r="U229" s="627"/>
      <c r="V229" s="627"/>
      <c r="W229" s="627"/>
      <c r="X229" s="627"/>
      <c r="Y229" s="627"/>
      <c r="Z229" s="627"/>
      <c r="AA229" s="627"/>
      <c r="AB229" s="624"/>
      <c r="AC229" s="624"/>
      <c r="AD229" s="624"/>
    </row>
    <row r="230" spans="1:30" s="559" customFormat="1">
      <c r="A230" s="560" t="s">
        <v>64</v>
      </c>
      <c r="B230" s="560" t="s">
        <v>240</v>
      </c>
      <c r="C230" s="560" t="s">
        <v>99</v>
      </c>
      <c r="D230" s="560">
        <v>4</v>
      </c>
      <c r="E230" s="638" t="s">
        <v>69</v>
      </c>
      <c r="F230" s="638" t="s">
        <v>69</v>
      </c>
      <c r="G230" s="638" t="s">
        <v>69</v>
      </c>
      <c r="H230" s="638" t="s">
        <v>69</v>
      </c>
      <c r="I230" s="643" t="s">
        <v>69</v>
      </c>
      <c r="J230" s="638" t="s">
        <v>69</v>
      </c>
      <c r="K230" s="638" t="s">
        <v>69</v>
      </c>
      <c r="L230" s="638" t="s">
        <v>69</v>
      </c>
      <c r="M230" s="560">
        <v>4</v>
      </c>
      <c r="N230" s="645"/>
      <c r="O230" s="645"/>
      <c r="P230" s="627"/>
      <c r="Q230" s="627"/>
      <c r="R230" s="627"/>
      <c r="S230" s="627"/>
      <c r="T230" s="627"/>
      <c r="U230" s="627"/>
      <c r="V230" s="627"/>
      <c r="W230" s="627"/>
      <c r="X230" s="627"/>
      <c r="Y230" s="627"/>
      <c r="Z230" s="627"/>
      <c r="AA230" s="627"/>
      <c r="AB230" s="624"/>
      <c r="AC230" s="624"/>
      <c r="AD230" s="624"/>
    </row>
    <row r="231" spans="1:30" s="559" customFormat="1">
      <c r="A231" s="560" t="s">
        <v>64</v>
      </c>
      <c r="B231" s="560" t="s">
        <v>240</v>
      </c>
      <c r="C231" s="560" t="s">
        <v>99</v>
      </c>
      <c r="D231" s="560">
        <v>5</v>
      </c>
      <c r="E231" s="638" t="s">
        <v>69</v>
      </c>
      <c r="F231" s="638" t="s">
        <v>69</v>
      </c>
      <c r="G231" s="638" t="s">
        <v>69</v>
      </c>
      <c r="H231" s="638" t="s">
        <v>69</v>
      </c>
      <c r="I231" s="643" t="s">
        <v>69</v>
      </c>
      <c r="J231" s="638" t="s">
        <v>69</v>
      </c>
      <c r="K231" s="638" t="s">
        <v>69</v>
      </c>
      <c r="L231" s="638" t="s">
        <v>69</v>
      </c>
      <c r="M231" s="560">
        <v>5</v>
      </c>
      <c r="N231" s="645"/>
      <c r="O231" s="645"/>
      <c r="P231" s="627"/>
      <c r="Q231" s="627"/>
      <c r="R231" s="627"/>
      <c r="S231" s="627"/>
      <c r="T231" s="627"/>
      <c r="U231" s="627"/>
      <c r="V231" s="627"/>
      <c r="W231" s="627"/>
      <c r="X231" s="627"/>
      <c r="Y231" s="627"/>
      <c r="Z231" s="627"/>
      <c r="AA231" s="627"/>
      <c r="AB231" s="624"/>
      <c r="AC231" s="624"/>
      <c r="AD231" s="624"/>
    </row>
    <row r="232" spans="1:30" s="559" customFormat="1">
      <c r="A232" s="560" t="s">
        <v>64</v>
      </c>
      <c r="B232" s="560" t="s">
        <v>240</v>
      </c>
      <c r="C232" s="560" t="s">
        <v>99</v>
      </c>
      <c r="D232" s="560">
        <v>6</v>
      </c>
      <c r="E232" s="638" t="s">
        <v>69</v>
      </c>
      <c r="F232" s="638" t="s">
        <v>69</v>
      </c>
      <c r="G232" s="638" t="s">
        <v>69</v>
      </c>
      <c r="H232" s="638" t="s">
        <v>69</v>
      </c>
      <c r="I232" s="643" t="s">
        <v>69</v>
      </c>
      <c r="J232" s="638" t="s">
        <v>69</v>
      </c>
      <c r="K232" s="638" t="s">
        <v>69</v>
      </c>
      <c r="L232" s="638" t="s">
        <v>69</v>
      </c>
      <c r="M232" s="560">
        <v>6</v>
      </c>
      <c r="N232" s="645"/>
      <c r="O232" s="645"/>
      <c r="P232" s="627"/>
      <c r="Q232" s="627"/>
      <c r="R232" s="627"/>
      <c r="S232" s="627"/>
      <c r="T232" s="627"/>
      <c r="U232" s="627"/>
      <c r="V232" s="627"/>
      <c r="W232" s="627"/>
      <c r="X232" s="627"/>
      <c r="Y232" s="627"/>
      <c r="Z232" s="627"/>
      <c r="AA232" s="627"/>
      <c r="AB232" s="624"/>
      <c r="AC232" s="624"/>
      <c r="AD232" s="624"/>
    </row>
    <row r="233" spans="1:30">
      <c r="A233" s="551" t="s">
        <v>64</v>
      </c>
      <c r="B233" s="551" t="s">
        <v>503</v>
      </c>
      <c r="C233" s="551" t="s">
        <v>497</v>
      </c>
      <c r="D233" s="551">
        <v>0</v>
      </c>
      <c r="E233" s="635">
        <v>2917.30254109</v>
      </c>
      <c r="F233" s="635">
        <v>1065.5971082900001</v>
      </c>
      <c r="G233" s="634">
        <f t="shared" si="27"/>
        <v>14754.590120009998</v>
      </c>
      <c r="H233" s="635">
        <v>17671.892661099999</v>
      </c>
      <c r="I233" s="641" t="s">
        <v>476</v>
      </c>
      <c r="J233" s="635">
        <v>29.857610680800001</v>
      </c>
      <c r="K233" s="635"/>
      <c r="L233" s="635"/>
      <c r="M233">
        <v>0</v>
      </c>
      <c r="N233" s="645">
        <f t="shared" si="28"/>
        <v>7968.8146678128041</v>
      </c>
      <c r="O233" s="645">
        <f t="shared" ca="1" si="29"/>
        <v>0</v>
      </c>
      <c r="P233" s="625"/>
      <c r="Q233" s="625"/>
      <c r="R233" s="625"/>
      <c r="S233" s="625"/>
      <c r="T233" s="625"/>
      <c r="U233" s="625"/>
      <c r="V233" s="625"/>
      <c r="W233" s="625"/>
      <c r="X233" s="625"/>
      <c r="Y233" s="625"/>
      <c r="Z233" s="625"/>
      <c r="AA233" s="625"/>
      <c r="AB233" s="624"/>
      <c r="AC233" s="624"/>
      <c r="AD233" s="624"/>
    </row>
    <row r="234" spans="1:30">
      <c r="A234" s="551" t="s">
        <v>64</v>
      </c>
      <c r="B234" s="551" t="s">
        <v>503</v>
      </c>
      <c r="C234" s="551" t="s">
        <v>497</v>
      </c>
      <c r="D234" s="551">
        <v>1</v>
      </c>
      <c r="E234" s="635">
        <v>3324.9346810299999</v>
      </c>
      <c r="F234" s="635">
        <v>1003.6030846</v>
      </c>
      <c r="G234" s="634">
        <f t="shared" si="27"/>
        <v>13893.540298670001</v>
      </c>
      <c r="H234" s="635">
        <v>17218.4749797</v>
      </c>
      <c r="I234" s="641">
        <v>6.5437496267375597</v>
      </c>
      <c r="J234" s="635">
        <v>29.857610680800001</v>
      </c>
      <c r="K234" s="635">
        <v>4.2131116569099998</v>
      </c>
      <c r="L234" s="635">
        <v>1992.2023696799999</v>
      </c>
      <c r="M234">
        <v>1</v>
      </c>
      <c r="N234" s="645">
        <f t="shared" si="28"/>
        <v>7505.2070984469528</v>
      </c>
      <c r="O234" s="645">
        <f t="shared" ca="1" si="29"/>
        <v>463.6075693658513</v>
      </c>
      <c r="P234" s="625"/>
      <c r="Q234" s="625"/>
      <c r="R234" s="625"/>
      <c r="S234" s="625"/>
      <c r="T234" s="625"/>
      <c r="U234" s="625"/>
      <c r="V234" s="625"/>
      <c r="W234" s="625"/>
      <c r="X234" s="625"/>
      <c r="Y234" s="625"/>
      <c r="Z234" s="625"/>
      <c r="AA234" s="625"/>
      <c r="AB234" s="624"/>
      <c r="AC234" s="624"/>
      <c r="AD234" s="624"/>
    </row>
    <row r="235" spans="1:30">
      <c r="A235" s="551" t="s">
        <v>64</v>
      </c>
      <c r="B235" s="551" t="s">
        <v>503</v>
      </c>
      <c r="C235" s="551" t="s">
        <v>497</v>
      </c>
      <c r="D235" s="551">
        <v>2</v>
      </c>
      <c r="E235" s="635">
        <v>3404.8289010600001</v>
      </c>
      <c r="F235" s="635">
        <v>984.76732660499999</v>
      </c>
      <c r="G235" s="634">
        <f t="shared" si="27"/>
        <v>13633.322698639999</v>
      </c>
      <c r="H235" s="635">
        <v>17038.151599699999</v>
      </c>
      <c r="I235" s="641">
        <v>5.9802352249574398</v>
      </c>
      <c r="J235" s="635">
        <v>29.857610680800001</v>
      </c>
      <c r="K235" s="635">
        <v>5.7056489703400004</v>
      </c>
      <c r="L235" s="635">
        <v>2119.9018990200002</v>
      </c>
      <c r="M235">
        <v>2</v>
      </c>
      <c r="N235" s="645">
        <f t="shared" si="28"/>
        <v>7364.3483597902796</v>
      </c>
      <c r="O235" s="645">
        <f t="shared" ca="1" si="29"/>
        <v>604.46630802252457</v>
      </c>
      <c r="P235" s="625"/>
      <c r="Q235" s="625"/>
      <c r="R235" s="625"/>
      <c r="S235" s="625"/>
      <c r="T235" s="625"/>
      <c r="U235" s="625"/>
      <c r="V235" s="625"/>
      <c r="W235" s="625"/>
      <c r="X235" s="625"/>
      <c r="Y235" s="625"/>
      <c r="Z235" s="625"/>
      <c r="AA235" s="625"/>
      <c r="AB235" s="624"/>
      <c r="AC235" s="624"/>
      <c r="AD235" s="624"/>
    </row>
    <row r="236" spans="1:30">
      <c r="A236" s="551" t="s">
        <v>64</v>
      </c>
      <c r="B236" s="551" t="s">
        <v>503</v>
      </c>
      <c r="C236" s="551" t="s">
        <v>497</v>
      </c>
      <c r="D236" s="551">
        <v>3</v>
      </c>
      <c r="E236" s="635">
        <v>3512.6862995199999</v>
      </c>
      <c r="F236" s="635">
        <v>965.66696706899995</v>
      </c>
      <c r="G236" s="634">
        <f t="shared" si="27"/>
        <v>13372.60420048</v>
      </c>
      <c r="H236" s="635">
        <v>16885.290499999999</v>
      </c>
      <c r="I236" s="641">
        <v>5.9150588187146402</v>
      </c>
      <c r="J236" s="635">
        <v>29.857610680800001</v>
      </c>
      <c r="K236" s="635">
        <v>7.1037218968399998</v>
      </c>
      <c r="L236" s="635">
        <v>2077.58744454</v>
      </c>
      <c r="M236">
        <v>3</v>
      </c>
      <c r="N236" s="645">
        <f t="shared" si="28"/>
        <v>7221.5108614085248</v>
      </c>
      <c r="O236" s="645">
        <f t="shared" ca="1" si="29"/>
        <v>747.30380640427938</v>
      </c>
      <c r="P236" s="625"/>
      <c r="Q236" s="625"/>
      <c r="R236" s="625"/>
      <c r="S236" s="625"/>
      <c r="T236" s="625"/>
      <c r="U236" s="625"/>
      <c r="V236" s="625"/>
      <c r="W236" s="625"/>
      <c r="X236" s="625"/>
      <c r="Y236" s="625"/>
      <c r="Z236" s="625"/>
      <c r="AA236" s="625"/>
      <c r="AB236" s="624"/>
      <c r="AC236" s="624"/>
      <c r="AD236" s="624"/>
    </row>
    <row r="237" spans="1:30">
      <c r="A237" s="551" t="s">
        <v>64</v>
      </c>
      <c r="B237" s="551" t="s">
        <v>503</v>
      </c>
      <c r="C237" s="551" t="s">
        <v>497</v>
      </c>
      <c r="D237" s="551">
        <v>4</v>
      </c>
      <c r="E237" s="635">
        <v>3662.1471522100001</v>
      </c>
      <c r="F237" s="635">
        <v>945.39776406299995</v>
      </c>
      <c r="G237" s="634">
        <f t="shared" si="27"/>
        <v>13086.437521790001</v>
      </c>
      <c r="H237" s="635">
        <v>16748.584674000002</v>
      </c>
      <c r="I237" s="641">
        <v>6.1500832080224903</v>
      </c>
      <c r="J237" s="635">
        <v>29.857610680800001</v>
      </c>
      <c r="K237" s="635">
        <v>9.5597959569200004</v>
      </c>
      <c r="L237" s="635">
        <v>1938.28761607</v>
      </c>
      <c r="M237">
        <v>4</v>
      </c>
      <c r="N237" s="645">
        <f t="shared" si="28"/>
        <v>7069.9324449859359</v>
      </c>
      <c r="O237" s="645">
        <f t="shared" ca="1" si="29"/>
        <v>898.8822228268682</v>
      </c>
      <c r="P237" s="625"/>
      <c r="Q237" s="625"/>
      <c r="R237" s="625"/>
      <c r="S237" s="625"/>
      <c r="T237" s="625"/>
      <c r="U237" s="625"/>
      <c r="V237" s="625"/>
      <c r="W237" s="625"/>
      <c r="X237" s="625"/>
      <c r="Y237" s="625"/>
      <c r="Z237" s="625"/>
      <c r="AA237" s="625"/>
      <c r="AB237" s="624"/>
      <c r="AC237" s="624"/>
      <c r="AD237" s="624"/>
    </row>
    <row r="238" spans="1:30">
      <c r="A238" s="551" t="s">
        <v>64</v>
      </c>
      <c r="B238" s="551" t="s">
        <v>503</v>
      </c>
      <c r="C238" s="551" t="s">
        <v>497</v>
      </c>
      <c r="D238" s="551">
        <v>5</v>
      </c>
      <c r="E238" s="635">
        <v>3823.8272964299999</v>
      </c>
      <c r="F238" s="635">
        <v>920.48556093499997</v>
      </c>
      <c r="G238" s="634">
        <f t="shared" si="27"/>
        <v>12741.434866370002</v>
      </c>
      <c r="H238" s="635">
        <v>16565.262162800002</v>
      </c>
      <c r="I238" s="641">
        <v>6.1988155981827298</v>
      </c>
      <c r="J238" s="635">
        <v>29.857610680800001</v>
      </c>
      <c r="K238" s="635">
        <v>12.236286919799999</v>
      </c>
      <c r="L238" s="635">
        <v>1852.4336582999999</v>
      </c>
      <c r="M238">
        <v>5</v>
      </c>
      <c r="N238" s="645">
        <f t="shared" si="28"/>
        <v>6883.6324558535407</v>
      </c>
      <c r="O238" s="645">
        <f t="shared" ca="1" si="29"/>
        <v>1085.1822119592634</v>
      </c>
      <c r="P238" s="625"/>
      <c r="Q238" s="625"/>
      <c r="R238" s="625"/>
      <c r="S238" s="625"/>
      <c r="T238" s="625"/>
      <c r="U238" s="625"/>
      <c r="V238" s="625"/>
      <c r="W238" s="625"/>
      <c r="X238" s="625"/>
      <c r="Y238" s="625"/>
      <c r="Z238" s="625"/>
      <c r="AA238" s="625"/>
      <c r="AB238" s="624"/>
      <c r="AC238" s="624"/>
      <c r="AD238" s="624"/>
    </row>
    <row r="239" spans="1:30">
      <c r="A239" s="551" t="s">
        <v>64</v>
      </c>
      <c r="B239" s="551" t="s">
        <v>503</v>
      </c>
      <c r="C239" s="551" t="s">
        <v>497</v>
      </c>
      <c r="D239" s="551">
        <v>6</v>
      </c>
      <c r="E239" s="635">
        <v>4299.9331299200003</v>
      </c>
      <c r="F239" s="635">
        <v>838.504474663</v>
      </c>
      <c r="G239" s="634">
        <f t="shared" si="27"/>
        <v>11609.71685658</v>
      </c>
      <c r="H239" s="635">
        <v>15909.649986500001</v>
      </c>
      <c r="I239" s="641">
        <v>6.0444785903558396</v>
      </c>
      <c r="J239" s="635">
        <v>29.857610680800001</v>
      </c>
      <c r="K239" s="635">
        <v>21.5000944644</v>
      </c>
      <c r="L239" s="635">
        <v>1933.9727299799999</v>
      </c>
      <c r="M239">
        <v>6</v>
      </c>
      <c r="N239" s="645">
        <f t="shared" si="28"/>
        <v>6270.5563901574724</v>
      </c>
      <c r="O239" s="645">
        <f t="shared" ca="1" si="29"/>
        <v>1698.2582776553318</v>
      </c>
      <c r="P239" s="625"/>
      <c r="Q239" s="625"/>
      <c r="R239" s="625"/>
      <c r="S239" s="625"/>
      <c r="T239" s="625"/>
      <c r="U239" s="625"/>
      <c r="V239" s="625"/>
      <c r="W239" s="625"/>
      <c r="X239" s="625"/>
      <c r="Y239" s="625"/>
      <c r="Z239" s="625"/>
      <c r="AA239" s="625"/>
      <c r="AB239" s="624"/>
      <c r="AC239" s="624"/>
      <c r="AD239" s="624"/>
    </row>
    <row r="240" spans="1:30">
      <c r="A240" s="551" t="s">
        <v>64</v>
      </c>
      <c r="B240" s="551" t="s">
        <v>503</v>
      </c>
      <c r="C240" s="551" t="s">
        <v>499</v>
      </c>
      <c r="D240" s="551">
        <v>0</v>
      </c>
      <c r="E240" s="635">
        <v>2917.302541</v>
      </c>
      <c r="F240" s="635">
        <v>1065.5971079999999</v>
      </c>
      <c r="G240" s="634">
        <f t="shared" si="27"/>
        <v>14754.590119</v>
      </c>
      <c r="H240" s="635">
        <v>17671.892660000001</v>
      </c>
      <c r="I240" s="641" t="s">
        <v>476</v>
      </c>
      <c r="J240" s="635">
        <v>29.857610680000001</v>
      </c>
      <c r="K240" s="635"/>
      <c r="L240" s="635"/>
      <c r="M240">
        <v>0</v>
      </c>
      <c r="N240" s="645">
        <f t="shared" si="28"/>
        <v>7968.8146656441077</v>
      </c>
      <c r="O240" s="645">
        <f t="shared" ca="1" si="29"/>
        <v>0</v>
      </c>
      <c r="P240" s="625"/>
      <c r="Q240" s="625"/>
      <c r="R240" s="625"/>
      <c r="S240" s="625"/>
      <c r="T240" s="625"/>
      <c r="U240" s="625"/>
      <c r="V240" s="625"/>
      <c r="W240" s="625"/>
      <c r="X240" s="625"/>
      <c r="Y240" s="625"/>
      <c r="Z240" s="625"/>
      <c r="AA240" s="625"/>
      <c r="AB240" s="624"/>
      <c r="AC240" s="624"/>
      <c r="AD240" s="624"/>
    </row>
    <row r="241" spans="1:30">
      <c r="A241" s="551" t="s">
        <v>64</v>
      </c>
      <c r="B241" s="551" t="s">
        <v>503</v>
      </c>
      <c r="C241" s="551" t="s">
        <v>499</v>
      </c>
      <c r="D241" s="551">
        <v>1</v>
      </c>
      <c r="E241" s="635">
        <v>3324.9346810000002</v>
      </c>
      <c r="F241" s="635">
        <v>1003.603085</v>
      </c>
      <c r="G241" s="634">
        <f t="shared" si="27"/>
        <v>13893.540298999998</v>
      </c>
      <c r="H241" s="635">
        <v>17218.474979999999</v>
      </c>
      <c r="I241" s="641">
        <v>6.5437496270000004</v>
      </c>
      <c r="J241" s="635">
        <v>29.857610680000001</v>
      </c>
      <c r="K241" s="635">
        <v>4.2194092827</v>
      </c>
      <c r="L241" s="635">
        <v>1992.2023696799999</v>
      </c>
      <c r="M241">
        <v>1</v>
      </c>
      <c r="N241" s="645">
        <f t="shared" si="28"/>
        <v>7505.2071014382573</v>
      </c>
      <c r="O241" s="645">
        <f t="shared" ca="1" si="29"/>
        <v>463.60756420585039</v>
      </c>
      <c r="P241" s="625"/>
      <c r="Q241" s="625"/>
      <c r="R241" s="625"/>
      <c r="S241" s="625"/>
      <c r="T241" s="625"/>
      <c r="U241" s="625"/>
      <c r="V241" s="625"/>
      <c r="W241" s="625"/>
      <c r="X241" s="625"/>
      <c r="Y241" s="625"/>
      <c r="Z241" s="625"/>
      <c r="AA241" s="625"/>
      <c r="AB241" s="624"/>
      <c r="AC241" s="624"/>
      <c r="AD241" s="624"/>
    </row>
    <row r="242" spans="1:30">
      <c r="A242" s="551" t="s">
        <v>64</v>
      </c>
      <c r="B242" s="551" t="s">
        <v>503</v>
      </c>
      <c r="C242" s="551" t="s">
        <v>499</v>
      </c>
      <c r="D242" s="551">
        <v>2</v>
      </c>
      <c r="E242" s="635">
        <v>3404.8289009999999</v>
      </c>
      <c r="F242" s="635">
        <v>984.76732660000005</v>
      </c>
      <c r="G242" s="634">
        <f t="shared" si="27"/>
        <v>13633.322699</v>
      </c>
      <c r="H242" s="635">
        <v>17038.151600000001</v>
      </c>
      <c r="I242" s="641">
        <v>5.9802352250000004</v>
      </c>
      <c r="J242" s="635">
        <v>29.857610680000001</v>
      </c>
      <c r="K242" s="635">
        <v>5.7056489703400004</v>
      </c>
      <c r="L242" s="635">
        <v>2119.9018990200002</v>
      </c>
      <c r="M242">
        <v>2</v>
      </c>
      <c r="N242" s="645">
        <f t="shared" si="28"/>
        <v>7364.3483597528884</v>
      </c>
      <c r="O242" s="645">
        <f t="shared" ca="1" si="29"/>
        <v>604.46630589121924</v>
      </c>
      <c r="P242" s="625"/>
      <c r="Q242" s="625"/>
      <c r="R242" s="625"/>
      <c r="S242" s="625"/>
      <c r="T242" s="625"/>
      <c r="U242" s="625"/>
      <c r="V242" s="625"/>
      <c r="W242" s="625"/>
      <c r="X242" s="625"/>
      <c r="Y242" s="625"/>
      <c r="Z242" s="625"/>
      <c r="AA242" s="625"/>
      <c r="AB242" s="624"/>
      <c r="AC242" s="624"/>
      <c r="AD242" s="624"/>
    </row>
    <row r="243" spans="1:30">
      <c r="A243" s="551" t="s">
        <v>64</v>
      </c>
      <c r="B243" s="551" t="s">
        <v>503</v>
      </c>
      <c r="C243" s="551" t="s">
        <v>499</v>
      </c>
      <c r="D243" s="551">
        <v>3</v>
      </c>
      <c r="E243" s="635">
        <v>3512.6862999999998</v>
      </c>
      <c r="F243" s="635">
        <v>965.66696709999997</v>
      </c>
      <c r="G243" s="634">
        <f t="shared" si="27"/>
        <v>13372.6042</v>
      </c>
      <c r="H243" s="635">
        <v>16885.290499999999</v>
      </c>
      <c r="I243" s="641">
        <v>5.9150588190000004</v>
      </c>
      <c r="J243" s="635">
        <v>29.857610680000001</v>
      </c>
      <c r="K243" s="635">
        <v>7.1163171484400003</v>
      </c>
      <c r="L243" s="635">
        <v>2077.58744454</v>
      </c>
      <c r="M243">
        <v>3</v>
      </c>
      <c r="N243" s="645">
        <f t="shared" si="28"/>
        <v>7221.5108616403513</v>
      </c>
      <c r="O243" s="645">
        <f t="shared" ca="1" si="29"/>
        <v>747.30380400375634</v>
      </c>
      <c r="P243" s="625"/>
      <c r="Q243" s="625"/>
      <c r="R243" s="625"/>
      <c r="S243" s="625"/>
      <c r="T243" s="625"/>
      <c r="U243" s="625"/>
      <c r="V243" s="625"/>
      <c r="W243" s="625"/>
      <c r="X243" s="625"/>
      <c r="Y243" s="625"/>
      <c r="Z243" s="625"/>
      <c r="AA243" s="625"/>
      <c r="AB243" s="624"/>
      <c r="AC243" s="624"/>
      <c r="AD243" s="624"/>
    </row>
    <row r="244" spans="1:30">
      <c r="A244" s="551" t="s">
        <v>64</v>
      </c>
      <c r="B244" s="551" t="s">
        <v>503</v>
      </c>
      <c r="C244" s="551" t="s">
        <v>499</v>
      </c>
      <c r="D244" s="551">
        <v>4</v>
      </c>
      <c r="E244" s="635">
        <v>3662.147152</v>
      </c>
      <c r="F244" s="635">
        <v>945.39776410000002</v>
      </c>
      <c r="G244" s="634">
        <f t="shared" si="27"/>
        <v>13086.437518000001</v>
      </c>
      <c r="H244" s="635">
        <v>16748.58467</v>
      </c>
      <c r="I244" s="641">
        <v>6.1500832079999999</v>
      </c>
      <c r="J244" s="635">
        <v>29.857610680000001</v>
      </c>
      <c r="K244" s="635">
        <v>9.5472007053300008</v>
      </c>
      <c r="L244" s="635">
        <v>1938.28761607</v>
      </c>
      <c r="M244">
        <v>4</v>
      </c>
      <c r="N244" s="645">
        <f t="shared" si="28"/>
        <v>7069.9324452626315</v>
      </c>
      <c r="O244" s="645">
        <f t="shared" ca="1" si="29"/>
        <v>898.88222038147615</v>
      </c>
      <c r="P244" s="625"/>
      <c r="Q244" s="625"/>
      <c r="R244" s="625"/>
      <c r="S244" s="625"/>
      <c r="T244" s="625"/>
      <c r="U244" s="625"/>
      <c r="V244" s="625"/>
      <c r="W244" s="625"/>
      <c r="X244" s="625"/>
      <c r="Y244" s="625"/>
      <c r="Z244" s="625"/>
      <c r="AA244" s="625"/>
      <c r="AB244" s="624"/>
      <c r="AC244" s="624"/>
      <c r="AD244" s="624"/>
    </row>
    <row r="245" spans="1:30">
      <c r="A245" s="551" t="s">
        <v>64</v>
      </c>
      <c r="B245" s="551" t="s">
        <v>503</v>
      </c>
      <c r="C245" s="551" t="s">
        <v>499</v>
      </c>
      <c r="D245" s="551">
        <v>5</v>
      </c>
      <c r="E245" s="635">
        <v>3823.8272959999999</v>
      </c>
      <c r="F245" s="635">
        <v>920.4855609</v>
      </c>
      <c r="G245" s="634">
        <f t="shared" si="27"/>
        <v>12741.434863999999</v>
      </c>
      <c r="H245" s="635">
        <v>16565.262159999998</v>
      </c>
      <c r="I245" s="641">
        <v>6.1988155980000004</v>
      </c>
      <c r="J245" s="635">
        <v>29.857610680000001</v>
      </c>
      <c r="K245" s="635">
        <v>12.2488821714</v>
      </c>
      <c r="L245" s="635">
        <v>1852.4336582999999</v>
      </c>
      <c r="M245">
        <v>5</v>
      </c>
      <c r="N245" s="645">
        <f t="shared" si="28"/>
        <v>6883.6324555918018</v>
      </c>
      <c r="O245" s="645">
        <f t="shared" ca="1" si="29"/>
        <v>1085.1822100523059</v>
      </c>
      <c r="P245" s="625"/>
      <c r="Q245" s="625"/>
      <c r="R245" s="625"/>
      <c r="S245" s="625"/>
      <c r="T245" s="625"/>
      <c r="U245" s="625"/>
      <c r="V245" s="625"/>
      <c r="W245" s="625"/>
      <c r="X245" s="625"/>
      <c r="Y245" s="625"/>
      <c r="Z245" s="625"/>
      <c r="AA245" s="625"/>
      <c r="AB245" s="624"/>
      <c r="AC245" s="624"/>
      <c r="AD245" s="624"/>
    </row>
    <row r="246" spans="1:30">
      <c r="A246" s="551" t="s">
        <v>64</v>
      </c>
      <c r="B246" s="551" t="s">
        <v>503</v>
      </c>
      <c r="C246" s="551" t="s">
        <v>499</v>
      </c>
      <c r="D246" s="551">
        <v>6</v>
      </c>
      <c r="E246" s="635">
        <v>4299.9331300000003</v>
      </c>
      <c r="F246" s="635">
        <v>838.50447469999995</v>
      </c>
      <c r="G246" s="634">
        <f t="shared" si="27"/>
        <v>11609.71686</v>
      </c>
      <c r="H246" s="635">
        <v>15909.64999</v>
      </c>
      <c r="I246" s="641">
        <v>6.0444785899999998</v>
      </c>
      <c r="J246" s="635">
        <v>29.857610680000001</v>
      </c>
      <c r="K246" s="635">
        <v>21.481201587000001</v>
      </c>
      <c r="L246" s="635">
        <v>1933.9727299799999</v>
      </c>
      <c r="M246">
        <v>6</v>
      </c>
      <c r="N246" s="645">
        <f t="shared" si="28"/>
        <v>6270.556390434168</v>
      </c>
      <c r="O246" s="645">
        <f t="shared" ca="1" si="29"/>
        <v>1698.2582752099397</v>
      </c>
      <c r="P246" s="625"/>
      <c r="Q246" s="625"/>
      <c r="R246" s="625"/>
      <c r="S246" s="625"/>
      <c r="T246" s="625"/>
      <c r="U246" s="625"/>
      <c r="V246" s="625"/>
      <c r="W246" s="625"/>
      <c r="X246" s="625"/>
      <c r="Y246" s="625"/>
      <c r="Z246" s="625"/>
      <c r="AA246" s="625"/>
      <c r="AB246" s="624"/>
      <c r="AC246" s="624"/>
      <c r="AD246" s="624"/>
    </row>
    <row r="247" spans="1:30" s="559" customFormat="1">
      <c r="A247" s="560" t="s">
        <v>64</v>
      </c>
      <c r="B247" s="560" t="s">
        <v>503</v>
      </c>
      <c r="C247" s="560" t="s">
        <v>99</v>
      </c>
      <c r="D247" s="560">
        <v>0</v>
      </c>
      <c r="E247" s="638" t="s">
        <v>69</v>
      </c>
      <c r="F247" s="638" t="s">
        <v>69</v>
      </c>
      <c r="G247" s="638" t="s">
        <v>69</v>
      </c>
      <c r="H247" s="638" t="s">
        <v>69</v>
      </c>
      <c r="I247" s="643" t="s">
        <v>69</v>
      </c>
      <c r="J247" s="638" t="s">
        <v>69</v>
      </c>
      <c r="K247" s="638" t="s">
        <v>69</v>
      </c>
      <c r="L247" s="638" t="s">
        <v>69</v>
      </c>
      <c r="M247" s="560">
        <v>0</v>
      </c>
      <c r="N247" s="645"/>
      <c r="O247" s="645"/>
      <c r="P247" s="627"/>
      <c r="Q247" s="627"/>
      <c r="R247" s="627"/>
      <c r="S247" s="627"/>
      <c r="T247" s="627"/>
      <c r="U247" s="627"/>
      <c r="V247" s="627"/>
      <c r="W247" s="627"/>
      <c r="X247" s="627"/>
      <c r="Y247" s="627"/>
      <c r="Z247" s="627"/>
      <c r="AA247" s="627"/>
      <c r="AB247" s="624"/>
      <c r="AC247" s="624"/>
      <c r="AD247" s="624"/>
    </row>
    <row r="248" spans="1:30" s="559" customFormat="1">
      <c r="A248" s="560" t="s">
        <v>64</v>
      </c>
      <c r="B248" s="560" t="s">
        <v>503</v>
      </c>
      <c r="C248" s="560" t="s">
        <v>99</v>
      </c>
      <c r="D248" s="560">
        <v>1</v>
      </c>
      <c r="E248" s="638" t="s">
        <v>69</v>
      </c>
      <c r="F248" s="638" t="s">
        <v>69</v>
      </c>
      <c r="G248" s="638" t="s">
        <v>69</v>
      </c>
      <c r="H248" s="638" t="s">
        <v>69</v>
      </c>
      <c r="I248" s="643" t="s">
        <v>69</v>
      </c>
      <c r="J248" s="638" t="s">
        <v>69</v>
      </c>
      <c r="K248" s="638" t="s">
        <v>69</v>
      </c>
      <c r="L248" s="638" t="s">
        <v>69</v>
      </c>
      <c r="M248" s="560">
        <v>1</v>
      </c>
      <c r="N248" s="645"/>
      <c r="O248" s="645"/>
      <c r="P248" s="627"/>
      <c r="Q248" s="627"/>
      <c r="R248" s="627"/>
      <c r="S248" s="627"/>
      <c r="T248" s="627"/>
      <c r="U248" s="627"/>
      <c r="V248" s="627"/>
      <c r="W248" s="627"/>
      <c r="X248" s="627"/>
      <c r="Y248" s="627"/>
      <c r="Z248" s="627"/>
      <c r="AA248" s="627"/>
      <c r="AB248" s="624"/>
      <c r="AC248" s="624"/>
      <c r="AD248" s="624"/>
    </row>
    <row r="249" spans="1:30" s="559" customFormat="1">
      <c r="A249" s="560" t="s">
        <v>64</v>
      </c>
      <c r="B249" s="560" t="s">
        <v>503</v>
      </c>
      <c r="C249" s="560" t="s">
        <v>99</v>
      </c>
      <c r="D249" s="560">
        <v>2</v>
      </c>
      <c r="E249" s="638" t="s">
        <v>69</v>
      </c>
      <c r="F249" s="638" t="s">
        <v>69</v>
      </c>
      <c r="G249" s="638" t="s">
        <v>69</v>
      </c>
      <c r="H249" s="638" t="s">
        <v>69</v>
      </c>
      <c r="I249" s="643" t="s">
        <v>69</v>
      </c>
      <c r="J249" s="638" t="s">
        <v>69</v>
      </c>
      <c r="K249" s="638" t="s">
        <v>69</v>
      </c>
      <c r="L249" s="638" t="s">
        <v>69</v>
      </c>
      <c r="M249" s="560">
        <v>2</v>
      </c>
      <c r="N249" s="645"/>
      <c r="O249" s="645"/>
      <c r="P249" s="627"/>
      <c r="Q249" s="627"/>
      <c r="R249" s="627"/>
      <c r="S249" s="627"/>
      <c r="T249" s="627"/>
      <c r="U249" s="627"/>
      <c r="V249" s="627"/>
      <c r="W249" s="627"/>
      <c r="X249" s="627"/>
      <c r="Y249" s="627"/>
      <c r="Z249" s="627"/>
      <c r="AA249" s="627"/>
      <c r="AB249" s="624"/>
      <c r="AC249" s="624"/>
      <c r="AD249" s="624"/>
    </row>
    <row r="250" spans="1:30" s="559" customFormat="1">
      <c r="A250" s="560" t="s">
        <v>64</v>
      </c>
      <c r="B250" s="560" t="s">
        <v>503</v>
      </c>
      <c r="C250" s="560" t="s">
        <v>99</v>
      </c>
      <c r="D250" s="560">
        <v>3</v>
      </c>
      <c r="E250" s="638" t="s">
        <v>69</v>
      </c>
      <c r="F250" s="638" t="s">
        <v>69</v>
      </c>
      <c r="G250" s="638" t="s">
        <v>69</v>
      </c>
      <c r="H250" s="638" t="s">
        <v>69</v>
      </c>
      <c r="I250" s="643" t="s">
        <v>69</v>
      </c>
      <c r="J250" s="638" t="s">
        <v>69</v>
      </c>
      <c r="K250" s="638" t="s">
        <v>69</v>
      </c>
      <c r="L250" s="638" t="s">
        <v>69</v>
      </c>
      <c r="M250" s="560">
        <v>3</v>
      </c>
      <c r="N250" s="645"/>
      <c r="O250" s="645"/>
      <c r="P250" s="627"/>
      <c r="Q250" s="627"/>
      <c r="R250" s="627"/>
      <c r="S250" s="627"/>
      <c r="T250" s="627"/>
      <c r="U250" s="627"/>
      <c r="V250" s="627"/>
      <c r="W250" s="627"/>
      <c r="X250" s="627"/>
      <c r="Y250" s="627"/>
      <c r="Z250" s="627"/>
      <c r="AA250" s="627"/>
      <c r="AB250" s="624"/>
      <c r="AC250" s="624"/>
      <c r="AD250" s="624"/>
    </row>
    <row r="251" spans="1:30" s="559" customFormat="1">
      <c r="A251" s="560" t="s">
        <v>64</v>
      </c>
      <c r="B251" s="560" t="s">
        <v>503</v>
      </c>
      <c r="C251" s="560" t="s">
        <v>99</v>
      </c>
      <c r="D251" s="560">
        <v>4</v>
      </c>
      <c r="E251" s="638" t="s">
        <v>69</v>
      </c>
      <c r="F251" s="638" t="s">
        <v>69</v>
      </c>
      <c r="G251" s="638" t="s">
        <v>69</v>
      </c>
      <c r="H251" s="638" t="s">
        <v>69</v>
      </c>
      <c r="I251" s="643" t="s">
        <v>69</v>
      </c>
      <c r="J251" s="638" t="s">
        <v>69</v>
      </c>
      <c r="K251" s="638" t="s">
        <v>69</v>
      </c>
      <c r="L251" s="638" t="s">
        <v>69</v>
      </c>
      <c r="M251" s="560">
        <v>4</v>
      </c>
      <c r="N251" s="645"/>
      <c r="O251" s="645"/>
      <c r="P251" s="627"/>
      <c r="Q251" s="627"/>
      <c r="R251" s="627"/>
      <c r="S251" s="627"/>
      <c r="T251" s="627"/>
      <c r="U251" s="627"/>
      <c r="V251" s="627"/>
      <c r="W251" s="627"/>
      <c r="X251" s="627"/>
      <c r="Y251" s="627"/>
      <c r="Z251" s="627"/>
      <c r="AA251" s="627"/>
      <c r="AB251" s="624"/>
      <c r="AC251" s="624"/>
      <c r="AD251" s="624"/>
    </row>
    <row r="252" spans="1:30" s="559" customFormat="1">
      <c r="A252" s="560" t="s">
        <v>64</v>
      </c>
      <c r="B252" s="560" t="s">
        <v>503</v>
      </c>
      <c r="C252" s="560" t="s">
        <v>99</v>
      </c>
      <c r="D252" s="560">
        <v>5</v>
      </c>
      <c r="E252" s="638" t="s">
        <v>69</v>
      </c>
      <c r="F252" s="638" t="s">
        <v>69</v>
      </c>
      <c r="G252" s="638" t="s">
        <v>69</v>
      </c>
      <c r="H252" s="638" t="s">
        <v>69</v>
      </c>
      <c r="I252" s="643" t="s">
        <v>69</v>
      </c>
      <c r="J252" s="638" t="s">
        <v>69</v>
      </c>
      <c r="K252" s="638" t="s">
        <v>69</v>
      </c>
      <c r="L252" s="638" t="s">
        <v>69</v>
      </c>
      <c r="M252" s="560">
        <v>5</v>
      </c>
      <c r="N252" s="645"/>
      <c r="O252" s="645"/>
      <c r="P252" s="627"/>
      <c r="Q252" s="627"/>
      <c r="R252" s="627"/>
      <c r="S252" s="627"/>
      <c r="T252" s="627"/>
      <c r="U252" s="627"/>
      <c r="V252" s="627"/>
      <c r="W252" s="627"/>
      <c r="X252" s="627"/>
      <c r="Y252" s="627"/>
      <c r="Z252" s="627"/>
      <c r="AA252" s="627"/>
      <c r="AB252" s="624"/>
      <c r="AC252" s="624"/>
      <c r="AD252" s="624"/>
    </row>
    <row r="253" spans="1:30" s="559" customFormat="1">
      <c r="A253" s="560" t="s">
        <v>64</v>
      </c>
      <c r="B253" s="560" t="s">
        <v>503</v>
      </c>
      <c r="C253" s="560" t="s">
        <v>99</v>
      </c>
      <c r="D253" s="560">
        <v>6</v>
      </c>
      <c r="E253" s="638" t="s">
        <v>69</v>
      </c>
      <c r="F253" s="638" t="s">
        <v>69</v>
      </c>
      <c r="G253" s="638" t="s">
        <v>69</v>
      </c>
      <c r="H253" s="638" t="s">
        <v>69</v>
      </c>
      <c r="I253" s="643" t="s">
        <v>69</v>
      </c>
      <c r="J253" s="638" t="s">
        <v>69</v>
      </c>
      <c r="K253" s="638" t="s">
        <v>69</v>
      </c>
      <c r="L253" s="638" t="s">
        <v>69</v>
      </c>
      <c r="M253" s="560">
        <v>6</v>
      </c>
      <c r="N253" s="645"/>
      <c r="O253" s="645"/>
      <c r="P253" s="627"/>
      <c r="Q253" s="627"/>
      <c r="R253" s="627"/>
      <c r="S253" s="627"/>
      <c r="T253" s="627"/>
      <c r="U253" s="627"/>
      <c r="V253" s="627"/>
      <c r="W253" s="627"/>
      <c r="X253" s="627"/>
      <c r="Y253" s="627"/>
      <c r="Z253" s="627"/>
      <c r="AA253" s="627"/>
      <c r="AB253" s="624"/>
      <c r="AC253" s="624"/>
      <c r="AD253" s="624"/>
    </row>
    <row r="254" spans="1:30">
      <c r="A254" t="s">
        <v>32</v>
      </c>
      <c r="B254" t="s">
        <v>240</v>
      </c>
      <c r="C254" t="s">
        <v>497</v>
      </c>
      <c r="D254">
        <v>0</v>
      </c>
      <c r="E254" s="634">
        <v>2144.0885994700002</v>
      </c>
      <c r="F254" s="634">
        <v>5659.8073619099996</v>
      </c>
      <c r="G254" s="634">
        <f t="shared" si="27"/>
        <v>80214.743547630002</v>
      </c>
      <c r="H254" s="634">
        <v>82358.832147099994</v>
      </c>
      <c r="I254" s="640" t="s">
        <v>476</v>
      </c>
      <c r="J254" s="634">
        <v>30.2178435394</v>
      </c>
      <c r="M254">
        <v>0</v>
      </c>
      <c r="N254" s="645">
        <f t="shared" si="28"/>
        <v>42325.523944936322</v>
      </c>
      <c r="O254" s="645">
        <f t="shared" ca="1" si="29"/>
        <v>0</v>
      </c>
      <c r="P254" s="624"/>
      <c r="Q254" s="624"/>
      <c r="AA254" s="624"/>
      <c r="AB254" s="624"/>
      <c r="AC254" s="624"/>
      <c r="AD254" s="624"/>
    </row>
    <row r="255" spans="1:30">
      <c r="A255" t="s">
        <v>32</v>
      </c>
      <c r="B255" t="s">
        <v>240</v>
      </c>
      <c r="C255" t="s">
        <v>497</v>
      </c>
      <c r="D255">
        <v>1</v>
      </c>
      <c r="E255" s="634">
        <v>2255.0099619100001</v>
      </c>
      <c r="F255" s="634">
        <v>5591.8714201299999</v>
      </c>
      <c r="G255" s="634">
        <f t="shared" si="27"/>
        <v>79277.995061489986</v>
      </c>
      <c r="H255" s="634">
        <v>81533.005023399994</v>
      </c>
      <c r="I255" s="640">
        <v>1.6327345957480499</v>
      </c>
      <c r="J255" s="634">
        <v>30.2178435394</v>
      </c>
      <c r="K255" s="634">
        <v>1.84588338705</v>
      </c>
      <c r="L255" s="634">
        <v>8181.56160525</v>
      </c>
      <c r="M255">
        <v>1</v>
      </c>
      <c r="N255" s="645">
        <f t="shared" si="28"/>
        <v>41817.481153606968</v>
      </c>
      <c r="O255" s="645">
        <f t="shared" ca="1" si="29"/>
        <v>508.04279132935335</v>
      </c>
      <c r="P255" s="624"/>
      <c r="Q255" s="624"/>
      <c r="AA255" s="624"/>
      <c r="AB255" s="624"/>
      <c r="AC255" s="624"/>
      <c r="AD255" s="624"/>
    </row>
    <row r="256" spans="1:30">
      <c r="A256" t="s">
        <v>32</v>
      </c>
      <c r="B256" t="s">
        <v>240</v>
      </c>
      <c r="C256" t="s">
        <v>497</v>
      </c>
      <c r="D256">
        <v>2</v>
      </c>
      <c r="E256" s="634">
        <v>2282.6325227100001</v>
      </c>
      <c r="F256" s="634">
        <v>5550.1559986100001</v>
      </c>
      <c r="G256" s="634">
        <f t="shared" si="27"/>
        <v>78683.107485789995</v>
      </c>
      <c r="H256" s="634">
        <v>80965.740008499997</v>
      </c>
      <c r="I256" s="640">
        <v>1.26349476254542</v>
      </c>
      <c r="J256" s="634">
        <v>30.2178435394</v>
      </c>
      <c r="K256" s="634">
        <v>3.1936712569600001</v>
      </c>
      <c r="L256" s="634">
        <v>9663.86883915</v>
      </c>
      <c r="M256">
        <v>2</v>
      </c>
      <c r="N256" s="645">
        <f t="shared" si="28"/>
        <v>41505.522290077373</v>
      </c>
      <c r="O256" s="645">
        <f t="shared" ca="1" si="29"/>
        <v>820.00165485894831</v>
      </c>
      <c r="P256" s="624"/>
      <c r="Q256" s="624"/>
      <c r="AA256" s="624"/>
      <c r="AB256" s="624"/>
      <c r="AC256" s="624"/>
      <c r="AD256" s="624"/>
    </row>
    <row r="257" spans="1:30">
      <c r="A257" t="s">
        <v>32</v>
      </c>
      <c r="B257" t="s">
        <v>240</v>
      </c>
      <c r="C257" t="s">
        <v>497</v>
      </c>
      <c r="D257">
        <v>3</v>
      </c>
      <c r="E257" s="634">
        <v>2364.8259683599999</v>
      </c>
      <c r="F257" s="634">
        <v>5503.3559933200004</v>
      </c>
      <c r="G257" s="634">
        <f t="shared" si="27"/>
        <v>78056.940022939991</v>
      </c>
      <c r="H257" s="634">
        <v>80421.765991299995</v>
      </c>
      <c r="I257" s="640">
        <v>1.4109008497228901</v>
      </c>
      <c r="J257" s="634">
        <v>30.2178435394</v>
      </c>
      <c r="K257" s="634">
        <v>5.4644008203899999</v>
      </c>
      <c r="L257" s="634">
        <v>8373.9161361400002</v>
      </c>
      <c r="M257">
        <v>3</v>
      </c>
      <c r="N257" s="645">
        <f t="shared" si="28"/>
        <v>41155.539575496688</v>
      </c>
      <c r="O257" s="645">
        <f t="shared" ca="1" si="29"/>
        <v>1169.9843694396332</v>
      </c>
      <c r="P257" s="624"/>
      <c r="Q257" s="624"/>
      <c r="AA257" s="624"/>
      <c r="AB257" s="624"/>
      <c r="AC257" s="624"/>
      <c r="AD257" s="624"/>
    </row>
    <row r="258" spans="1:30">
      <c r="A258" t="s">
        <v>32</v>
      </c>
      <c r="B258" t="s">
        <v>240</v>
      </c>
      <c r="C258" t="s">
        <v>497</v>
      </c>
      <c r="D258">
        <v>4</v>
      </c>
      <c r="E258" s="634">
        <v>2447.8756724300001</v>
      </c>
      <c r="F258" s="634">
        <v>5421.2106302000002</v>
      </c>
      <c r="G258" s="634">
        <f t="shared" si="27"/>
        <v>76966.341929770002</v>
      </c>
      <c r="H258" s="634">
        <v>79414.217602200006</v>
      </c>
      <c r="I258" s="640">
        <v>1.2732239489702299</v>
      </c>
      <c r="J258" s="634">
        <v>30.2178435394</v>
      </c>
      <c r="K258" s="634">
        <v>6.3726926457699999</v>
      </c>
      <c r="L258" s="634">
        <v>8997.2868771600006</v>
      </c>
      <c r="M258">
        <v>4</v>
      </c>
      <c r="N258" s="645">
        <f t="shared" si="28"/>
        <v>40541.235004443632</v>
      </c>
      <c r="O258" s="645">
        <f t="shared" ca="1" si="29"/>
        <v>1784.28894049269</v>
      </c>
      <c r="P258" s="624"/>
      <c r="Q258" s="624"/>
      <c r="AA258" s="624"/>
      <c r="AB258" s="624"/>
      <c r="AC258" s="624"/>
      <c r="AD258" s="624"/>
    </row>
    <row r="259" spans="1:30">
      <c r="A259" t="s">
        <v>32</v>
      </c>
      <c r="B259" t="s">
        <v>240</v>
      </c>
      <c r="C259" t="s">
        <v>497</v>
      </c>
      <c r="D259">
        <v>5</v>
      </c>
      <c r="E259" s="634">
        <v>2584.4338675700001</v>
      </c>
      <c r="F259" s="634">
        <v>5311.4366975299999</v>
      </c>
      <c r="G259" s="634">
        <f t="shared" ref="G259:G288" si="30">H259-E259</f>
        <v>75364.906136229998</v>
      </c>
      <c r="H259" s="634">
        <v>77949.340003799996</v>
      </c>
      <c r="I259" s="640">
        <v>1.26401363005998</v>
      </c>
      <c r="J259" s="634">
        <v>30.2178435394</v>
      </c>
      <c r="K259" s="634">
        <v>8.0574274831500006</v>
      </c>
      <c r="L259" s="634">
        <v>10144.655669100001</v>
      </c>
      <c r="M259">
        <v>5</v>
      </c>
      <c r="N259" s="645">
        <f t="shared" si="28"/>
        <v>39720.316743687494</v>
      </c>
      <c r="O259" s="645">
        <f t="shared" ca="1" si="29"/>
        <v>2605.2072012488279</v>
      </c>
      <c r="P259" s="624"/>
      <c r="Q259" s="624"/>
      <c r="AA259" s="624"/>
      <c r="AB259" s="624"/>
      <c r="AC259" s="624"/>
      <c r="AD259" s="624"/>
    </row>
    <row r="260" spans="1:30">
      <c r="A260" t="s">
        <v>32</v>
      </c>
      <c r="B260" t="s">
        <v>240</v>
      </c>
      <c r="C260" t="s">
        <v>497</v>
      </c>
      <c r="D260">
        <v>6</v>
      </c>
      <c r="E260" s="634">
        <v>3132.95839437</v>
      </c>
      <c r="F260" s="634">
        <v>4918.9893600200003</v>
      </c>
      <c r="G260" s="634">
        <f t="shared" si="30"/>
        <v>69787.636742629998</v>
      </c>
      <c r="H260" s="634">
        <v>72920.595136999997</v>
      </c>
      <c r="I260" s="640">
        <v>1.3348349964177599</v>
      </c>
      <c r="J260" s="634">
        <v>30.2178435394</v>
      </c>
      <c r="K260" s="634">
        <v>13.082332258999999</v>
      </c>
      <c r="L260" s="634">
        <v>12208.718179</v>
      </c>
      <c r="M260">
        <v>6</v>
      </c>
      <c r="N260" s="645">
        <f t="shared" si="28"/>
        <v>36785.492620044446</v>
      </c>
      <c r="O260" s="645">
        <f t="shared" ca="1" si="29"/>
        <v>5540.0313248918756</v>
      </c>
      <c r="P260" s="624"/>
      <c r="Q260" s="624"/>
      <c r="AA260" s="624"/>
      <c r="AB260" s="624"/>
      <c r="AC260" s="624"/>
      <c r="AD260" s="624"/>
    </row>
    <row r="261" spans="1:30">
      <c r="A261" t="s">
        <v>32</v>
      </c>
      <c r="B261" t="s">
        <v>240</v>
      </c>
      <c r="C261" t="s">
        <v>499</v>
      </c>
      <c r="D261">
        <v>0</v>
      </c>
      <c r="E261" s="634">
        <v>2144.0885990000002</v>
      </c>
      <c r="F261" s="634">
        <v>5659.8073619999996</v>
      </c>
      <c r="G261" s="634">
        <f t="shared" si="30"/>
        <v>80214.743551000007</v>
      </c>
      <c r="H261" s="634">
        <v>82358.832150000002</v>
      </c>
      <c r="I261" s="640" t="s">
        <v>476</v>
      </c>
      <c r="J261" s="634">
        <v>30.217843540000001</v>
      </c>
      <c r="M261">
        <v>0</v>
      </c>
      <c r="N261" s="645">
        <f t="shared" si="28"/>
        <v>42325.523945609362</v>
      </c>
      <c r="O261" s="645">
        <f t="shared" ca="1" si="29"/>
        <v>0</v>
      </c>
      <c r="P261" s="624"/>
      <c r="Q261" s="624"/>
      <c r="AA261" s="624"/>
      <c r="AB261" s="624"/>
      <c r="AC261" s="624"/>
      <c r="AD261" s="624"/>
    </row>
    <row r="262" spans="1:30">
      <c r="A262" t="s">
        <v>32</v>
      </c>
      <c r="B262" t="s">
        <v>240</v>
      </c>
      <c r="C262" t="s">
        <v>499</v>
      </c>
      <c r="D262">
        <v>1</v>
      </c>
      <c r="E262" s="634">
        <v>2255.0099620000001</v>
      </c>
      <c r="F262" s="634">
        <v>5591.8714200000004</v>
      </c>
      <c r="G262" s="634">
        <f t="shared" si="30"/>
        <v>79277.995058</v>
      </c>
      <c r="H262" s="634">
        <v>81533.005019999997</v>
      </c>
      <c r="I262" s="640">
        <v>1.6327345959999999</v>
      </c>
      <c r="J262" s="634">
        <v>30.217843540000001</v>
      </c>
      <c r="K262" s="634">
        <v>1.84588338705</v>
      </c>
      <c r="L262" s="634">
        <v>8181.56160525</v>
      </c>
      <c r="M262">
        <v>1</v>
      </c>
      <c r="N262" s="645">
        <f t="shared" ref="N262:N288" si="31">F262/$O$297</f>
        <v>41817.481152634798</v>
      </c>
      <c r="O262" s="645">
        <f t="shared" ca="1" si="29"/>
        <v>508.04279297456378</v>
      </c>
      <c r="P262" s="624"/>
      <c r="Q262" s="624"/>
      <c r="AA262" s="624"/>
      <c r="AB262" s="624"/>
      <c r="AC262" s="624"/>
      <c r="AD262" s="624"/>
    </row>
    <row r="263" spans="1:30">
      <c r="A263" t="s">
        <v>32</v>
      </c>
      <c r="B263" t="s">
        <v>240</v>
      </c>
      <c r="C263" t="s">
        <v>499</v>
      </c>
      <c r="D263">
        <v>2</v>
      </c>
      <c r="E263" s="634">
        <v>2282.6325230000002</v>
      </c>
      <c r="F263" s="634">
        <v>5550.1559989999996</v>
      </c>
      <c r="G263" s="634">
        <f t="shared" si="30"/>
        <v>78683.107487000001</v>
      </c>
      <c r="H263" s="634">
        <v>80965.740009999994</v>
      </c>
      <c r="I263" s="640">
        <v>1.263494763</v>
      </c>
      <c r="J263" s="634">
        <v>30.217843540000001</v>
      </c>
      <c r="K263" s="634">
        <v>3.1936712569600001</v>
      </c>
      <c r="L263" s="634">
        <v>9663.86883915</v>
      </c>
      <c r="M263">
        <v>2</v>
      </c>
      <c r="N263" s="645">
        <f t="shared" si="31"/>
        <v>41505.522292993897</v>
      </c>
      <c r="O263" s="645">
        <f t="shared" ca="1" si="29"/>
        <v>820.00165261546499</v>
      </c>
      <c r="P263" s="624"/>
      <c r="Q263" s="624"/>
      <c r="AA263" s="624"/>
      <c r="AB263" s="624"/>
      <c r="AC263" s="624"/>
      <c r="AD263" s="624"/>
    </row>
    <row r="264" spans="1:30">
      <c r="A264" t="s">
        <v>32</v>
      </c>
      <c r="B264" t="s">
        <v>240</v>
      </c>
      <c r="C264" t="s">
        <v>499</v>
      </c>
      <c r="D264">
        <v>3</v>
      </c>
      <c r="E264" s="634">
        <v>2364.8259680000001</v>
      </c>
      <c r="F264" s="634">
        <v>5503.3559930000001</v>
      </c>
      <c r="G264" s="634">
        <f t="shared" si="30"/>
        <v>78056.940021999995</v>
      </c>
      <c r="H264" s="634">
        <v>80421.76599</v>
      </c>
      <c r="I264" s="640">
        <v>1.41090085</v>
      </c>
      <c r="J264" s="634">
        <v>30.217843540000001</v>
      </c>
      <c r="K264" s="634">
        <v>5.4644008203899999</v>
      </c>
      <c r="L264" s="634">
        <v>8373.9161361400002</v>
      </c>
      <c r="M264">
        <v>3</v>
      </c>
      <c r="N264" s="645">
        <f t="shared" si="31"/>
        <v>41155.539573103641</v>
      </c>
      <c r="O264" s="645">
        <f t="shared" ca="1" si="29"/>
        <v>1169.9843725057217</v>
      </c>
      <c r="P264" s="624"/>
      <c r="Q264" s="624"/>
      <c r="AA264" s="624"/>
      <c r="AB264" s="624"/>
      <c r="AC264" s="624"/>
      <c r="AD264" s="624"/>
    </row>
    <row r="265" spans="1:30">
      <c r="A265" t="s">
        <v>32</v>
      </c>
      <c r="B265" t="s">
        <v>240</v>
      </c>
      <c r="C265" t="s">
        <v>499</v>
      </c>
      <c r="D265">
        <v>4</v>
      </c>
      <c r="E265" s="634">
        <v>2447.8756720000001</v>
      </c>
      <c r="F265" s="634">
        <v>5421.2106299999996</v>
      </c>
      <c r="G265" s="634">
        <f t="shared" si="30"/>
        <v>76966.341928000009</v>
      </c>
      <c r="H265" s="634">
        <v>79414.217600000004</v>
      </c>
      <c r="I265" s="640">
        <v>1.2732239489999999</v>
      </c>
      <c r="J265" s="634">
        <v>30.217843540000001</v>
      </c>
      <c r="K265" s="634">
        <v>6.3726926457699999</v>
      </c>
      <c r="L265" s="634">
        <v>8997.2868771600006</v>
      </c>
      <c r="M265">
        <v>4</v>
      </c>
      <c r="N265" s="645">
        <f t="shared" si="31"/>
        <v>40541.235002947971</v>
      </c>
      <c r="O265" s="645">
        <f t="shared" ca="1" si="29"/>
        <v>1784.288942661391</v>
      </c>
      <c r="P265" s="624"/>
      <c r="Q265" s="624"/>
      <c r="AA265" s="624"/>
      <c r="AB265" s="624"/>
      <c r="AC265" s="624"/>
      <c r="AD265" s="624"/>
    </row>
    <row r="266" spans="1:30">
      <c r="A266" t="s">
        <v>32</v>
      </c>
      <c r="B266" t="s">
        <v>240</v>
      </c>
      <c r="C266" t="s">
        <v>499</v>
      </c>
      <c r="D266">
        <v>5</v>
      </c>
      <c r="E266" s="634">
        <v>2584.4338680000001</v>
      </c>
      <c r="F266" s="634">
        <v>5311.4366980000004</v>
      </c>
      <c r="G266" s="634">
        <f t="shared" si="30"/>
        <v>75364.906132000004</v>
      </c>
      <c r="H266" s="634">
        <v>77949.34</v>
      </c>
      <c r="I266" s="640">
        <v>1.26401363</v>
      </c>
      <c r="J266" s="634">
        <v>30.217843540000001</v>
      </c>
      <c r="K266" s="634">
        <v>8.0574274831500006</v>
      </c>
      <c r="L266" s="634">
        <v>10144.655669100001</v>
      </c>
      <c r="M266">
        <v>5</v>
      </c>
      <c r="N266" s="645">
        <f t="shared" si="31"/>
        <v>39720.316747202283</v>
      </c>
      <c r="O266" s="645">
        <f t="shared" ca="1" si="29"/>
        <v>2605.207198407079</v>
      </c>
      <c r="P266" s="624"/>
      <c r="Q266" s="624"/>
      <c r="AA266" s="624"/>
      <c r="AB266" s="624"/>
      <c r="AC266" s="624"/>
      <c r="AD266" s="624"/>
    </row>
    <row r="267" spans="1:30">
      <c r="A267" t="s">
        <v>32</v>
      </c>
      <c r="B267" t="s">
        <v>240</v>
      </c>
      <c r="C267" t="s">
        <v>499</v>
      </c>
      <c r="D267">
        <v>6</v>
      </c>
      <c r="E267" s="634">
        <v>3132.9583940000002</v>
      </c>
      <c r="F267" s="634">
        <v>4918.9893599999996</v>
      </c>
      <c r="G267" s="634">
        <f t="shared" si="30"/>
        <v>69787.636746000004</v>
      </c>
      <c r="H267" s="634">
        <v>72920.595140000005</v>
      </c>
      <c r="I267" s="640">
        <v>1.3348349960000001</v>
      </c>
      <c r="J267" s="634">
        <v>30.217843540000001</v>
      </c>
      <c r="K267" s="634">
        <v>13.082332258999999</v>
      </c>
      <c r="L267" s="634">
        <v>12208.718179</v>
      </c>
      <c r="M267">
        <v>6</v>
      </c>
      <c r="N267" s="645">
        <f t="shared" si="31"/>
        <v>36785.492619894874</v>
      </c>
      <c r="O267" s="645">
        <f t="shared" ref="O267:O288" ca="1" si="32">OFFSET(M267,-M267,1)-N267</f>
        <v>5540.031325714488</v>
      </c>
      <c r="P267" s="624"/>
      <c r="Q267" s="624"/>
      <c r="AA267" s="624"/>
      <c r="AB267" s="624"/>
      <c r="AC267" s="624"/>
      <c r="AD267" s="624"/>
    </row>
    <row r="268" spans="1:30" s="559" customFormat="1">
      <c r="A268" s="560" t="s">
        <v>32</v>
      </c>
      <c r="B268" s="560" t="s">
        <v>240</v>
      </c>
      <c r="C268" s="560" t="s">
        <v>99</v>
      </c>
      <c r="D268" s="560">
        <v>0</v>
      </c>
      <c r="E268" s="638" t="s">
        <v>69</v>
      </c>
      <c r="F268" s="638" t="s">
        <v>69</v>
      </c>
      <c r="G268" s="638" t="s">
        <v>69</v>
      </c>
      <c r="H268" s="638" t="s">
        <v>69</v>
      </c>
      <c r="I268" s="643" t="s">
        <v>69</v>
      </c>
      <c r="J268" s="638" t="s">
        <v>69</v>
      </c>
      <c r="K268" s="638" t="s">
        <v>69</v>
      </c>
      <c r="L268" s="638" t="s">
        <v>69</v>
      </c>
      <c r="M268" s="560">
        <v>0</v>
      </c>
      <c r="N268" s="645"/>
      <c r="O268" s="645"/>
      <c r="P268" s="627"/>
      <c r="Q268" s="627"/>
      <c r="R268" s="627"/>
      <c r="S268" s="627"/>
      <c r="T268" s="627"/>
      <c r="U268" s="627"/>
      <c r="V268" s="627"/>
      <c r="W268" s="627"/>
      <c r="X268" s="627"/>
      <c r="Y268" s="627"/>
      <c r="Z268" s="627"/>
      <c r="AA268" s="627"/>
      <c r="AB268" s="624"/>
      <c r="AC268" s="624"/>
      <c r="AD268" s="624"/>
    </row>
    <row r="269" spans="1:30" s="559" customFormat="1">
      <c r="A269" s="560" t="s">
        <v>32</v>
      </c>
      <c r="B269" s="560" t="s">
        <v>240</v>
      </c>
      <c r="C269" s="560" t="s">
        <v>99</v>
      </c>
      <c r="D269" s="560">
        <v>1</v>
      </c>
      <c r="E269" s="638" t="s">
        <v>69</v>
      </c>
      <c r="F269" s="638" t="s">
        <v>69</v>
      </c>
      <c r="G269" s="638" t="s">
        <v>69</v>
      </c>
      <c r="H269" s="638" t="s">
        <v>69</v>
      </c>
      <c r="I269" s="643" t="s">
        <v>69</v>
      </c>
      <c r="J269" s="638" t="s">
        <v>69</v>
      </c>
      <c r="K269" s="638" t="s">
        <v>69</v>
      </c>
      <c r="L269" s="638" t="s">
        <v>69</v>
      </c>
      <c r="M269" s="560">
        <v>1</v>
      </c>
      <c r="N269" s="645"/>
      <c r="O269" s="645"/>
      <c r="P269" s="627"/>
      <c r="Q269" s="627"/>
      <c r="R269" s="627"/>
      <c r="S269" s="627"/>
      <c r="T269" s="627"/>
      <c r="U269" s="627"/>
      <c r="V269" s="627"/>
      <c r="W269" s="627"/>
      <c r="X269" s="627"/>
      <c r="Y269" s="627"/>
      <c r="Z269" s="627"/>
      <c r="AA269" s="627"/>
      <c r="AB269" s="624"/>
      <c r="AC269" s="624"/>
      <c r="AD269" s="624"/>
    </row>
    <row r="270" spans="1:30" s="559" customFormat="1">
      <c r="A270" s="560" t="s">
        <v>32</v>
      </c>
      <c r="B270" s="560" t="s">
        <v>240</v>
      </c>
      <c r="C270" s="560" t="s">
        <v>99</v>
      </c>
      <c r="D270" s="560">
        <v>2</v>
      </c>
      <c r="E270" s="638" t="s">
        <v>69</v>
      </c>
      <c r="F270" s="638" t="s">
        <v>69</v>
      </c>
      <c r="G270" s="638" t="s">
        <v>69</v>
      </c>
      <c r="H270" s="638" t="s">
        <v>69</v>
      </c>
      <c r="I270" s="643" t="s">
        <v>69</v>
      </c>
      <c r="J270" s="638" t="s">
        <v>69</v>
      </c>
      <c r="K270" s="638" t="s">
        <v>69</v>
      </c>
      <c r="L270" s="638" t="s">
        <v>69</v>
      </c>
      <c r="M270" s="560">
        <v>2</v>
      </c>
      <c r="N270" s="645"/>
      <c r="O270" s="645"/>
      <c r="P270" s="627"/>
      <c r="Q270" s="627"/>
      <c r="R270" s="627"/>
      <c r="S270" s="627"/>
      <c r="T270" s="627"/>
      <c r="U270" s="627"/>
      <c r="V270" s="627"/>
      <c r="W270" s="627"/>
      <c r="X270" s="627"/>
      <c r="Y270" s="627"/>
      <c r="Z270" s="627"/>
      <c r="AA270" s="627"/>
      <c r="AB270" s="624"/>
      <c r="AC270" s="624"/>
      <c r="AD270" s="624"/>
    </row>
    <row r="271" spans="1:30" s="559" customFormat="1">
      <c r="A271" s="560" t="s">
        <v>32</v>
      </c>
      <c r="B271" s="560" t="s">
        <v>240</v>
      </c>
      <c r="C271" s="560" t="s">
        <v>99</v>
      </c>
      <c r="D271" s="560">
        <v>3</v>
      </c>
      <c r="E271" s="638" t="s">
        <v>69</v>
      </c>
      <c r="F271" s="638" t="s">
        <v>69</v>
      </c>
      <c r="G271" s="638" t="s">
        <v>69</v>
      </c>
      <c r="H271" s="638" t="s">
        <v>69</v>
      </c>
      <c r="I271" s="643" t="s">
        <v>69</v>
      </c>
      <c r="J271" s="638" t="s">
        <v>69</v>
      </c>
      <c r="K271" s="638" t="s">
        <v>69</v>
      </c>
      <c r="L271" s="638" t="s">
        <v>69</v>
      </c>
      <c r="M271" s="560">
        <v>3</v>
      </c>
      <c r="N271" s="645"/>
      <c r="O271" s="645"/>
      <c r="P271" s="627"/>
      <c r="Q271" s="627"/>
      <c r="R271" s="627"/>
      <c r="S271" s="627"/>
      <c r="T271" s="627"/>
      <c r="U271" s="627"/>
      <c r="V271" s="627"/>
      <c r="W271" s="627"/>
      <c r="X271" s="627"/>
      <c r="Y271" s="627"/>
      <c r="Z271" s="627"/>
      <c r="AA271" s="627"/>
      <c r="AB271" s="624"/>
      <c r="AC271" s="624"/>
      <c r="AD271" s="624"/>
    </row>
    <row r="272" spans="1:30" s="559" customFormat="1">
      <c r="A272" s="560" t="s">
        <v>32</v>
      </c>
      <c r="B272" s="560" t="s">
        <v>240</v>
      </c>
      <c r="C272" s="560" t="s">
        <v>99</v>
      </c>
      <c r="D272" s="560">
        <v>4</v>
      </c>
      <c r="E272" s="638" t="s">
        <v>69</v>
      </c>
      <c r="F272" s="638" t="s">
        <v>69</v>
      </c>
      <c r="G272" s="638" t="s">
        <v>69</v>
      </c>
      <c r="H272" s="638" t="s">
        <v>69</v>
      </c>
      <c r="I272" s="643" t="s">
        <v>69</v>
      </c>
      <c r="J272" s="638" t="s">
        <v>69</v>
      </c>
      <c r="K272" s="638" t="s">
        <v>69</v>
      </c>
      <c r="L272" s="638" t="s">
        <v>69</v>
      </c>
      <c r="M272" s="560">
        <v>4</v>
      </c>
      <c r="N272" s="645"/>
      <c r="O272" s="645"/>
      <c r="P272" s="627"/>
      <c r="Q272" s="627"/>
      <c r="R272" s="627"/>
      <c r="S272" s="627"/>
      <c r="T272" s="627"/>
      <c r="U272" s="627"/>
      <c r="V272" s="627"/>
      <c r="W272" s="627"/>
      <c r="X272" s="627"/>
      <c r="Y272" s="627"/>
      <c r="Z272" s="627"/>
      <c r="AA272" s="627"/>
      <c r="AB272" s="624"/>
      <c r="AC272" s="624"/>
      <c r="AD272" s="624"/>
    </row>
    <row r="273" spans="1:30" s="559" customFormat="1">
      <c r="A273" s="560" t="s">
        <v>32</v>
      </c>
      <c r="B273" s="560" t="s">
        <v>240</v>
      </c>
      <c r="C273" s="560" t="s">
        <v>99</v>
      </c>
      <c r="D273" s="560">
        <v>5</v>
      </c>
      <c r="E273" s="638" t="s">
        <v>69</v>
      </c>
      <c r="F273" s="638" t="s">
        <v>69</v>
      </c>
      <c r="G273" s="638" t="s">
        <v>69</v>
      </c>
      <c r="H273" s="638" t="s">
        <v>69</v>
      </c>
      <c r="I273" s="643" t="s">
        <v>69</v>
      </c>
      <c r="J273" s="638" t="s">
        <v>69</v>
      </c>
      <c r="K273" s="638" t="s">
        <v>69</v>
      </c>
      <c r="L273" s="638" t="s">
        <v>69</v>
      </c>
      <c r="M273" s="560">
        <v>5</v>
      </c>
      <c r="N273" s="645"/>
      <c r="O273" s="645"/>
      <c r="P273" s="627"/>
      <c r="Q273" s="627"/>
      <c r="R273" s="627"/>
      <c r="S273" s="627"/>
      <c r="T273" s="627"/>
      <c r="U273" s="627"/>
      <c r="V273" s="627"/>
      <c r="W273" s="627"/>
      <c r="X273" s="627"/>
      <c r="Y273" s="627"/>
      <c r="Z273" s="627"/>
      <c r="AA273" s="627"/>
      <c r="AB273" s="624"/>
      <c r="AC273" s="624"/>
      <c r="AD273" s="624"/>
    </row>
    <row r="274" spans="1:30" s="559" customFormat="1">
      <c r="A274" s="560" t="s">
        <v>32</v>
      </c>
      <c r="B274" s="560" t="s">
        <v>240</v>
      </c>
      <c r="C274" s="560" t="s">
        <v>99</v>
      </c>
      <c r="D274" s="560">
        <v>6</v>
      </c>
      <c r="E274" s="638" t="s">
        <v>69</v>
      </c>
      <c r="F274" s="638" t="s">
        <v>69</v>
      </c>
      <c r="G274" s="638" t="s">
        <v>69</v>
      </c>
      <c r="H274" s="638" t="s">
        <v>69</v>
      </c>
      <c r="I274" s="643" t="s">
        <v>69</v>
      </c>
      <c r="J274" s="638" t="s">
        <v>69</v>
      </c>
      <c r="K274" s="638" t="s">
        <v>69</v>
      </c>
      <c r="L274" s="638" t="s">
        <v>69</v>
      </c>
      <c r="M274" s="560">
        <v>6</v>
      </c>
      <c r="N274" s="645"/>
      <c r="O274" s="645"/>
      <c r="P274" s="627"/>
      <c r="Q274" s="627"/>
      <c r="R274" s="627"/>
      <c r="S274" s="627"/>
      <c r="T274" s="627"/>
      <c r="U274" s="627"/>
      <c r="V274" s="627"/>
      <c r="W274" s="627"/>
      <c r="X274" s="627"/>
      <c r="Y274" s="627"/>
      <c r="Z274" s="627"/>
      <c r="AA274" s="627"/>
      <c r="AB274" s="624"/>
      <c r="AC274" s="624"/>
      <c r="AD274" s="624"/>
    </row>
    <row r="275" spans="1:30">
      <c r="A275" s="551" t="s">
        <v>32</v>
      </c>
      <c r="B275" s="551" t="s">
        <v>503</v>
      </c>
      <c r="C275" s="551" t="s">
        <v>497</v>
      </c>
      <c r="D275" s="551">
        <v>0</v>
      </c>
      <c r="E275" s="635">
        <v>2144.0885994700002</v>
      </c>
      <c r="F275" s="635">
        <v>5659.8073619099996</v>
      </c>
      <c r="G275" s="634">
        <f t="shared" si="30"/>
        <v>80214.743547630002</v>
      </c>
      <c r="H275" s="635">
        <v>82358.832147099994</v>
      </c>
      <c r="I275" s="641" t="s">
        <v>476</v>
      </c>
      <c r="J275" s="635">
        <v>30.2178435394</v>
      </c>
      <c r="K275" s="635"/>
      <c r="L275" s="635"/>
      <c r="M275">
        <v>0</v>
      </c>
      <c r="N275" s="645">
        <f t="shared" si="31"/>
        <v>42325.523944936322</v>
      </c>
      <c r="O275" s="645">
        <f t="shared" ca="1" si="32"/>
        <v>0</v>
      </c>
      <c r="P275" s="625"/>
      <c r="Q275" s="625"/>
      <c r="R275" s="625"/>
      <c r="S275" s="625"/>
      <c r="T275" s="625"/>
      <c r="U275" s="625"/>
      <c r="V275" s="625"/>
      <c r="W275" s="625"/>
      <c r="X275" s="625"/>
      <c r="Y275" s="625"/>
      <c r="Z275" s="625"/>
      <c r="AA275" s="625"/>
      <c r="AB275" s="624"/>
      <c r="AC275" s="624"/>
      <c r="AD275" s="624"/>
    </row>
    <row r="276" spans="1:30">
      <c r="A276" s="551" t="s">
        <v>32</v>
      </c>
      <c r="B276" s="551" t="s">
        <v>503</v>
      </c>
      <c r="C276" s="551" t="s">
        <v>497</v>
      </c>
      <c r="D276" s="551">
        <v>1</v>
      </c>
      <c r="E276" s="635">
        <v>2255.0099619100001</v>
      </c>
      <c r="F276" s="635">
        <v>5591.8714201299999</v>
      </c>
      <c r="G276" s="634">
        <f t="shared" si="30"/>
        <v>79277.995061489986</v>
      </c>
      <c r="H276" s="635">
        <v>81533.005023399994</v>
      </c>
      <c r="I276" s="641">
        <v>1.6327345957480499</v>
      </c>
      <c r="J276" s="635">
        <v>30.2178435394</v>
      </c>
      <c r="K276" s="635">
        <v>1.84588338705</v>
      </c>
      <c r="L276" s="635">
        <v>8181.56160525</v>
      </c>
      <c r="M276">
        <v>1</v>
      </c>
      <c r="N276" s="645">
        <f t="shared" si="31"/>
        <v>41817.481153606968</v>
      </c>
      <c r="O276" s="645">
        <f t="shared" ca="1" si="32"/>
        <v>508.04279132935335</v>
      </c>
      <c r="P276" s="625"/>
      <c r="Q276" s="625"/>
      <c r="R276" s="625"/>
      <c r="S276" s="625"/>
      <c r="T276" s="625"/>
      <c r="U276" s="625"/>
      <c r="V276" s="625"/>
      <c r="W276" s="625"/>
      <c r="X276" s="625"/>
      <c r="Y276" s="625"/>
      <c r="Z276" s="625"/>
      <c r="AA276" s="625"/>
      <c r="AB276" s="624"/>
      <c r="AC276" s="624"/>
      <c r="AD276" s="624"/>
    </row>
    <row r="277" spans="1:30">
      <c r="A277" s="551" t="s">
        <v>32</v>
      </c>
      <c r="B277" s="551" t="s">
        <v>503</v>
      </c>
      <c r="C277" s="551" t="s">
        <v>497</v>
      </c>
      <c r="D277" s="551">
        <v>2</v>
      </c>
      <c r="E277" s="635">
        <v>2282.6325227100001</v>
      </c>
      <c r="F277" s="635">
        <v>5550.1559986100001</v>
      </c>
      <c r="G277" s="634">
        <f t="shared" si="30"/>
        <v>78683.107485789995</v>
      </c>
      <c r="H277" s="635">
        <v>80965.740008499997</v>
      </c>
      <c r="I277" s="641">
        <v>1.26349476254542</v>
      </c>
      <c r="J277" s="635">
        <v>30.2178435394</v>
      </c>
      <c r="K277" s="635">
        <v>3.1936712569600001</v>
      </c>
      <c r="L277" s="635">
        <v>9663.86883915</v>
      </c>
      <c r="M277">
        <v>2</v>
      </c>
      <c r="N277" s="645">
        <f t="shared" si="31"/>
        <v>41505.522290077373</v>
      </c>
      <c r="O277" s="645">
        <f t="shared" ca="1" si="32"/>
        <v>820.00165485894831</v>
      </c>
      <c r="P277" s="625"/>
      <c r="Q277" s="625"/>
      <c r="R277" s="625"/>
      <c r="S277" s="625"/>
      <c r="T277" s="625"/>
      <c r="U277" s="625"/>
      <c r="V277" s="625"/>
      <c r="W277" s="625"/>
      <c r="X277" s="625"/>
      <c r="Y277" s="625"/>
      <c r="Z277" s="625"/>
      <c r="AA277" s="625"/>
      <c r="AB277" s="624"/>
      <c r="AC277" s="624"/>
      <c r="AD277" s="624"/>
    </row>
    <row r="278" spans="1:30">
      <c r="A278" s="551" t="s">
        <v>32</v>
      </c>
      <c r="B278" s="551" t="s">
        <v>503</v>
      </c>
      <c r="C278" s="551" t="s">
        <v>497</v>
      </c>
      <c r="D278" s="551">
        <v>3</v>
      </c>
      <c r="E278" s="635">
        <v>2364.8259683599999</v>
      </c>
      <c r="F278" s="635">
        <v>5503.3559933200004</v>
      </c>
      <c r="G278" s="634">
        <f t="shared" si="30"/>
        <v>78056.940022939991</v>
      </c>
      <c r="H278" s="635">
        <v>80421.765991299995</v>
      </c>
      <c r="I278" s="641">
        <v>1.4109008497228901</v>
      </c>
      <c r="J278" s="635">
        <v>30.2178435394</v>
      </c>
      <c r="K278" s="635">
        <v>5.4644008203899999</v>
      </c>
      <c r="L278" s="635">
        <v>8373.9161361400002</v>
      </c>
      <c r="M278">
        <v>3</v>
      </c>
      <c r="N278" s="645">
        <f t="shared" si="31"/>
        <v>41155.539575496688</v>
      </c>
      <c r="O278" s="645">
        <f t="shared" ca="1" si="32"/>
        <v>1169.9843694396332</v>
      </c>
      <c r="P278" s="625"/>
      <c r="Q278" s="625"/>
      <c r="R278" s="625"/>
      <c r="S278" s="625"/>
      <c r="T278" s="625"/>
      <c r="U278" s="625"/>
      <c r="V278" s="625"/>
      <c r="W278" s="625"/>
      <c r="X278" s="625"/>
      <c r="Y278" s="625"/>
      <c r="Z278" s="625"/>
      <c r="AA278" s="625"/>
      <c r="AB278" s="624"/>
      <c r="AC278" s="624"/>
      <c r="AD278" s="624"/>
    </row>
    <row r="279" spans="1:30">
      <c r="A279" s="551" t="s">
        <v>32</v>
      </c>
      <c r="B279" s="551" t="s">
        <v>503</v>
      </c>
      <c r="C279" s="551" t="s">
        <v>497</v>
      </c>
      <c r="D279" s="551">
        <v>4</v>
      </c>
      <c r="E279" s="635">
        <v>2447.8756724300001</v>
      </c>
      <c r="F279" s="635">
        <v>5421.2106302000002</v>
      </c>
      <c r="G279" s="634">
        <f t="shared" si="30"/>
        <v>76966.341929770002</v>
      </c>
      <c r="H279" s="635">
        <v>79414.217602200006</v>
      </c>
      <c r="I279" s="641">
        <v>1.2732239489702299</v>
      </c>
      <c r="J279" s="635">
        <v>30.2178435394</v>
      </c>
      <c r="K279" s="635">
        <v>6.3726926457699999</v>
      </c>
      <c r="L279" s="635">
        <v>8997.2868771600006</v>
      </c>
      <c r="M279">
        <v>4</v>
      </c>
      <c r="N279" s="645">
        <f t="shared" si="31"/>
        <v>40541.235004443632</v>
      </c>
      <c r="O279" s="645">
        <f t="shared" ca="1" si="32"/>
        <v>1784.28894049269</v>
      </c>
      <c r="P279" s="625"/>
      <c r="Q279" s="625"/>
      <c r="R279" s="625"/>
      <c r="S279" s="625"/>
      <c r="T279" s="625"/>
      <c r="U279" s="625"/>
      <c r="V279" s="625"/>
      <c r="W279" s="625"/>
      <c r="X279" s="625"/>
      <c r="Y279" s="625"/>
      <c r="Z279" s="625"/>
      <c r="AA279" s="625"/>
      <c r="AB279" s="624"/>
      <c r="AC279" s="624"/>
      <c r="AD279" s="624"/>
    </row>
    <row r="280" spans="1:30">
      <c r="A280" s="551" t="s">
        <v>32</v>
      </c>
      <c r="B280" s="551" t="s">
        <v>503</v>
      </c>
      <c r="C280" s="551" t="s">
        <v>497</v>
      </c>
      <c r="D280" s="551">
        <v>5</v>
      </c>
      <c r="E280" s="635">
        <v>2584.4338675700001</v>
      </c>
      <c r="F280" s="635">
        <v>5311.4366975299999</v>
      </c>
      <c r="G280" s="634">
        <f t="shared" si="30"/>
        <v>75364.906136229998</v>
      </c>
      <c r="H280" s="635">
        <v>77949.340003799996</v>
      </c>
      <c r="I280" s="641">
        <v>1.26401363005998</v>
      </c>
      <c r="J280" s="635">
        <v>30.2178435394</v>
      </c>
      <c r="K280" s="635">
        <v>8.0574274831500006</v>
      </c>
      <c r="L280" s="635">
        <v>10144.655669100001</v>
      </c>
      <c r="M280">
        <v>5</v>
      </c>
      <c r="N280" s="645">
        <f t="shared" si="31"/>
        <v>39720.316743687494</v>
      </c>
      <c r="O280" s="645">
        <f t="shared" ca="1" si="32"/>
        <v>2605.2072012488279</v>
      </c>
      <c r="P280" s="625"/>
      <c r="Q280" s="625"/>
      <c r="R280" s="625"/>
      <c r="S280" s="625"/>
      <c r="T280" s="625"/>
      <c r="U280" s="625"/>
      <c r="V280" s="625"/>
      <c r="W280" s="625"/>
      <c r="X280" s="625"/>
      <c r="Y280" s="625"/>
      <c r="Z280" s="625"/>
      <c r="AA280" s="625"/>
      <c r="AB280" s="624"/>
      <c r="AC280" s="624"/>
      <c r="AD280" s="624"/>
    </row>
    <row r="281" spans="1:30">
      <c r="A281" s="551" t="s">
        <v>32</v>
      </c>
      <c r="B281" s="551" t="s">
        <v>503</v>
      </c>
      <c r="C281" s="551" t="s">
        <v>497</v>
      </c>
      <c r="D281" s="551">
        <v>6</v>
      </c>
      <c r="E281" s="635">
        <v>3132.95839437</v>
      </c>
      <c r="F281" s="635">
        <v>4918.9893600200003</v>
      </c>
      <c r="G281" s="634">
        <f t="shared" si="30"/>
        <v>69787.636742629998</v>
      </c>
      <c r="H281" s="635">
        <v>72920.595136999997</v>
      </c>
      <c r="I281" s="641">
        <v>1.3348349964177599</v>
      </c>
      <c r="J281" s="635">
        <v>30.2178435394</v>
      </c>
      <c r="K281" s="635">
        <v>13.082332258999999</v>
      </c>
      <c r="L281" s="635">
        <v>12208.718179</v>
      </c>
      <c r="M281">
        <v>6</v>
      </c>
      <c r="N281" s="645">
        <f t="shared" si="31"/>
        <v>36785.492620044446</v>
      </c>
      <c r="O281" s="645">
        <f t="shared" ca="1" si="32"/>
        <v>5540.0313248918756</v>
      </c>
      <c r="P281" s="625"/>
      <c r="Q281" s="625"/>
      <c r="R281" s="625"/>
      <c r="S281" s="625"/>
      <c r="T281" s="625"/>
      <c r="U281" s="625"/>
      <c r="V281" s="625"/>
      <c r="W281" s="625"/>
      <c r="X281" s="625"/>
      <c r="Y281" s="625"/>
      <c r="Z281" s="625"/>
      <c r="AA281" s="625"/>
      <c r="AB281" s="624"/>
      <c r="AC281" s="624"/>
      <c r="AD281" s="624"/>
    </row>
    <row r="282" spans="1:30">
      <c r="A282" s="551" t="s">
        <v>32</v>
      </c>
      <c r="B282" s="551" t="s">
        <v>503</v>
      </c>
      <c r="C282" s="551" t="s">
        <v>499</v>
      </c>
      <c r="D282" s="551">
        <v>0</v>
      </c>
      <c r="E282" s="635">
        <v>2144.0885990000002</v>
      </c>
      <c r="F282" s="635">
        <v>5659.8073619999996</v>
      </c>
      <c r="G282" s="634">
        <f t="shared" si="30"/>
        <v>80214.743551000007</v>
      </c>
      <c r="H282" s="635">
        <v>82358.832150000002</v>
      </c>
      <c r="I282" s="641" t="s">
        <v>476</v>
      </c>
      <c r="J282" s="635">
        <v>30.217843540000001</v>
      </c>
      <c r="K282" s="635"/>
      <c r="L282" s="635"/>
      <c r="M282">
        <v>0</v>
      </c>
      <c r="N282" s="645">
        <f t="shared" si="31"/>
        <v>42325.523945609362</v>
      </c>
      <c r="O282" s="645">
        <f t="shared" ca="1" si="32"/>
        <v>0</v>
      </c>
      <c r="P282" s="625"/>
      <c r="Q282" s="625"/>
      <c r="R282" s="625"/>
      <c r="S282" s="625"/>
      <c r="T282" s="625"/>
      <c r="U282" s="625"/>
      <c r="V282" s="625"/>
      <c r="W282" s="625"/>
      <c r="X282" s="625"/>
      <c r="Y282" s="625"/>
      <c r="Z282" s="625"/>
      <c r="AA282" s="625"/>
      <c r="AB282" s="624"/>
      <c r="AC282" s="624"/>
      <c r="AD282" s="624"/>
    </row>
    <row r="283" spans="1:30">
      <c r="A283" s="551" t="s">
        <v>32</v>
      </c>
      <c r="B283" s="551" t="s">
        <v>503</v>
      </c>
      <c r="C283" s="551" t="s">
        <v>499</v>
      </c>
      <c r="D283" s="551">
        <v>1</v>
      </c>
      <c r="E283" s="635">
        <v>2255.0099620000001</v>
      </c>
      <c r="F283" s="635">
        <v>5591.8714200000004</v>
      </c>
      <c r="G283" s="634">
        <f t="shared" si="30"/>
        <v>79277.995058</v>
      </c>
      <c r="H283" s="635">
        <v>81533.005019999997</v>
      </c>
      <c r="I283" s="641">
        <v>1.6327345959999999</v>
      </c>
      <c r="J283" s="635">
        <v>30.217843540000001</v>
      </c>
      <c r="K283" s="635">
        <v>1.84588338705</v>
      </c>
      <c r="L283" s="635">
        <v>8181.56160525</v>
      </c>
      <c r="M283">
        <v>1</v>
      </c>
      <c r="N283" s="645">
        <f t="shared" si="31"/>
        <v>41817.481152634798</v>
      </c>
      <c r="O283" s="645">
        <f t="shared" ca="1" si="32"/>
        <v>508.04279297456378</v>
      </c>
      <c r="P283" s="625"/>
      <c r="Q283" s="625"/>
      <c r="R283" s="625"/>
      <c r="S283" s="625"/>
      <c r="T283" s="625"/>
      <c r="U283" s="625"/>
      <c r="V283" s="625"/>
      <c r="W283" s="625"/>
      <c r="X283" s="625"/>
      <c r="Y283" s="625"/>
      <c r="Z283" s="625"/>
      <c r="AA283" s="625"/>
      <c r="AB283" s="624"/>
      <c r="AC283" s="624"/>
      <c r="AD283" s="624"/>
    </row>
    <row r="284" spans="1:30">
      <c r="A284" s="551" t="s">
        <v>32</v>
      </c>
      <c r="B284" s="551" t="s">
        <v>503</v>
      </c>
      <c r="C284" s="551" t="s">
        <v>499</v>
      </c>
      <c r="D284" s="551">
        <v>2</v>
      </c>
      <c r="E284" s="635">
        <v>2282.6325230000002</v>
      </c>
      <c r="F284" s="635">
        <v>5550.1559989999996</v>
      </c>
      <c r="G284" s="634">
        <f t="shared" si="30"/>
        <v>78683.107487000001</v>
      </c>
      <c r="H284" s="635">
        <v>80965.740009999994</v>
      </c>
      <c r="I284" s="641">
        <v>1.263494763</v>
      </c>
      <c r="J284" s="635">
        <v>30.217843540000001</v>
      </c>
      <c r="K284" s="635">
        <v>3.1936712569600001</v>
      </c>
      <c r="L284" s="635">
        <v>9663.86883915</v>
      </c>
      <c r="M284">
        <v>2</v>
      </c>
      <c r="N284" s="645">
        <f t="shared" si="31"/>
        <v>41505.522292993897</v>
      </c>
      <c r="O284" s="645">
        <f t="shared" ca="1" si="32"/>
        <v>820.00165261546499</v>
      </c>
      <c r="P284" s="625"/>
      <c r="Q284" s="625"/>
      <c r="R284" s="625"/>
      <c r="S284" s="625"/>
      <c r="T284" s="625"/>
      <c r="U284" s="625"/>
      <c r="V284" s="625"/>
      <c r="W284" s="625"/>
      <c r="X284" s="625"/>
      <c r="Y284" s="625"/>
      <c r="Z284" s="625"/>
      <c r="AA284" s="625"/>
      <c r="AB284" s="624"/>
      <c r="AC284" s="624"/>
      <c r="AD284" s="624"/>
    </row>
    <row r="285" spans="1:30">
      <c r="A285" s="551" t="s">
        <v>32</v>
      </c>
      <c r="B285" s="551" t="s">
        <v>503</v>
      </c>
      <c r="C285" s="551" t="s">
        <v>499</v>
      </c>
      <c r="D285" s="551">
        <v>3</v>
      </c>
      <c r="E285" s="635">
        <v>2364.8259680000001</v>
      </c>
      <c r="F285" s="635">
        <v>5503.3559930000001</v>
      </c>
      <c r="G285" s="634">
        <f t="shared" si="30"/>
        <v>78056.940021999995</v>
      </c>
      <c r="H285" s="635">
        <v>80421.76599</v>
      </c>
      <c r="I285" s="641">
        <v>1.41090085</v>
      </c>
      <c r="J285" s="635">
        <v>30.217843540000001</v>
      </c>
      <c r="K285" s="635">
        <v>5.4644008203899999</v>
      </c>
      <c r="L285" s="635">
        <v>8373.9161361400002</v>
      </c>
      <c r="M285">
        <v>3</v>
      </c>
      <c r="N285" s="645">
        <f t="shared" si="31"/>
        <v>41155.539573103641</v>
      </c>
      <c r="O285" s="645">
        <f t="shared" ca="1" si="32"/>
        <v>1169.9843725057217</v>
      </c>
      <c r="P285" s="625"/>
      <c r="Q285" s="625"/>
      <c r="R285" s="625"/>
      <c r="S285" s="625"/>
      <c r="T285" s="625"/>
      <c r="U285" s="625"/>
      <c r="V285" s="625"/>
      <c r="W285" s="625"/>
      <c r="X285" s="625"/>
      <c r="Y285" s="625"/>
      <c r="Z285" s="625"/>
      <c r="AA285" s="625"/>
      <c r="AB285" s="624"/>
      <c r="AC285" s="624"/>
      <c r="AD285" s="624"/>
    </row>
    <row r="286" spans="1:30">
      <c r="A286" s="551" t="s">
        <v>32</v>
      </c>
      <c r="B286" s="551" t="s">
        <v>503</v>
      </c>
      <c r="C286" s="551" t="s">
        <v>499</v>
      </c>
      <c r="D286" s="551">
        <v>4</v>
      </c>
      <c r="E286" s="635">
        <v>2447.8756720000001</v>
      </c>
      <c r="F286" s="635">
        <v>5421.2106299999996</v>
      </c>
      <c r="G286" s="634">
        <f t="shared" si="30"/>
        <v>76966.341928000009</v>
      </c>
      <c r="H286" s="635">
        <v>79414.217600000004</v>
      </c>
      <c r="I286" s="641">
        <v>1.2732239489999999</v>
      </c>
      <c r="J286" s="635">
        <v>30.217843540000001</v>
      </c>
      <c r="K286" s="635">
        <v>6.3726926457699999</v>
      </c>
      <c r="L286" s="635">
        <v>8997.2868771600006</v>
      </c>
      <c r="M286">
        <v>4</v>
      </c>
      <c r="N286" s="645">
        <f t="shared" si="31"/>
        <v>40541.235002947971</v>
      </c>
      <c r="O286" s="645">
        <f t="shared" ca="1" si="32"/>
        <v>1784.288942661391</v>
      </c>
      <c r="P286" s="625"/>
      <c r="Q286" s="625"/>
      <c r="R286" s="625"/>
      <c r="S286" s="625"/>
      <c r="T286" s="625"/>
      <c r="U286" s="625"/>
      <c r="V286" s="625"/>
      <c r="W286" s="625"/>
      <c r="X286" s="625"/>
      <c r="Y286" s="625"/>
      <c r="Z286" s="625"/>
      <c r="AA286" s="625"/>
      <c r="AB286" s="624"/>
      <c r="AC286" s="624"/>
      <c r="AD286" s="624"/>
    </row>
    <row r="287" spans="1:30">
      <c r="A287" s="551" t="s">
        <v>32</v>
      </c>
      <c r="B287" s="551" t="s">
        <v>503</v>
      </c>
      <c r="C287" s="551" t="s">
        <v>499</v>
      </c>
      <c r="D287" s="551">
        <v>5</v>
      </c>
      <c r="E287" s="635">
        <v>2584.4338680000001</v>
      </c>
      <c r="F287" s="635">
        <v>5311.4366980000004</v>
      </c>
      <c r="G287" s="634">
        <f t="shared" si="30"/>
        <v>75364.906132000004</v>
      </c>
      <c r="H287" s="635">
        <v>77949.34</v>
      </c>
      <c r="I287" s="641">
        <v>1.26401363</v>
      </c>
      <c r="J287" s="635">
        <v>30.217843540000001</v>
      </c>
      <c r="K287" s="635">
        <v>8.0574274831500006</v>
      </c>
      <c r="L287" s="635">
        <v>10144.655669100001</v>
      </c>
      <c r="M287">
        <v>5</v>
      </c>
      <c r="N287" s="645">
        <f t="shared" si="31"/>
        <v>39720.316747202283</v>
      </c>
      <c r="O287" s="645">
        <f t="shared" ca="1" si="32"/>
        <v>2605.207198407079</v>
      </c>
      <c r="P287" s="625"/>
      <c r="Q287" s="625"/>
      <c r="R287" s="625"/>
      <c r="S287" s="625"/>
      <c r="T287" s="625"/>
      <c r="U287" s="625"/>
      <c r="V287" s="625"/>
      <c r="W287" s="625"/>
      <c r="X287" s="625"/>
      <c r="Y287" s="625"/>
      <c r="Z287" s="625"/>
      <c r="AA287" s="625"/>
      <c r="AB287" s="624"/>
      <c r="AC287" s="624"/>
      <c r="AD287" s="624"/>
    </row>
    <row r="288" spans="1:30">
      <c r="A288" s="551" t="s">
        <v>32</v>
      </c>
      <c r="B288" s="551" t="s">
        <v>503</v>
      </c>
      <c r="C288" s="551" t="s">
        <v>499</v>
      </c>
      <c r="D288" s="551">
        <v>6</v>
      </c>
      <c r="E288" s="635">
        <v>3132.9583940000002</v>
      </c>
      <c r="F288" s="635">
        <v>4918.9893599999996</v>
      </c>
      <c r="G288" s="634">
        <f t="shared" si="30"/>
        <v>69787.636746000004</v>
      </c>
      <c r="H288" s="635">
        <v>72920.595140000005</v>
      </c>
      <c r="I288" s="641">
        <v>1.3348349960000001</v>
      </c>
      <c r="J288" s="635">
        <v>30.217843540000001</v>
      </c>
      <c r="K288" s="635">
        <v>13.082332258999999</v>
      </c>
      <c r="L288" s="635">
        <v>12208.718179</v>
      </c>
      <c r="M288">
        <v>6</v>
      </c>
      <c r="N288" s="645">
        <f t="shared" si="31"/>
        <v>36785.492619894874</v>
      </c>
      <c r="O288" s="645">
        <f t="shared" ca="1" si="32"/>
        <v>5540.031325714488</v>
      </c>
      <c r="P288" s="625"/>
      <c r="Q288" s="625"/>
      <c r="R288" s="625"/>
      <c r="S288" s="625"/>
      <c r="T288" s="625"/>
      <c r="U288" s="625"/>
      <c r="V288" s="625"/>
      <c r="W288" s="625"/>
      <c r="X288" s="625"/>
      <c r="Y288" s="625"/>
      <c r="Z288" s="625"/>
      <c r="AA288" s="625"/>
      <c r="AB288" s="624"/>
      <c r="AC288" s="624"/>
      <c r="AD288" s="624"/>
    </row>
    <row r="289" spans="1:30" s="559" customFormat="1">
      <c r="A289" s="560" t="s">
        <v>32</v>
      </c>
      <c r="B289" s="560" t="s">
        <v>503</v>
      </c>
      <c r="C289" s="560" t="s">
        <v>99</v>
      </c>
      <c r="D289" s="560">
        <v>0</v>
      </c>
      <c r="E289" s="638" t="s">
        <v>69</v>
      </c>
      <c r="F289" s="638" t="s">
        <v>69</v>
      </c>
      <c r="G289" s="638" t="s">
        <v>69</v>
      </c>
      <c r="H289" s="638" t="s">
        <v>69</v>
      </c>
      <c r="I289" s="643" t="s">
        <v>69</v>
      </c>
      <c r="J289" s="638" t="s">
        <v>69</v>
      </c>
      <c r="K289" s="638" t="s">
        <v>69</v>
      </c>
      <c r="L289" s="638" t="s">
        <v>69</v>
      </c>
      <c r="M289" s="560">
        <v>0</v>
      </c>
      <c r="N289" s="645"/>
      <c r="O289" s="645"/>
      <c r="P289" s="627"/>
      <c r="Q289" s="627"/>
      <c r="R289" s="627"/>
      <c r="S289" s="627"/>
      <c r="T289" s="627"/>
      <c r="U289" s="627"/>
      <c r="V289" s="627"/>
      <c r="W289" s="627"/>
      <c r="X289" s="627"/>
      <c r="Y289" s="627"/>
      <c r="Z289" s="627"/>
      <c r="AA289" s="627"/>
      <c r="AB289" s="624"/>
      <c r="AC289" s="624"/>
      <c r="AD289" s="624"/>
    </row>
    <row r="290" spans="1:30" s="559" customFormat="1">
      <c r="A290" s="560" t="s">
        <v>32</v>
      </c>
      <c r="B290" s="560" t="s">
        <v>503</v>
      </c>
      <c r="C290" s="560" t="s">
        <v>99</v>
      </c>
      <c r="D290" s="560">
        <v>1</v>
      </c>
      <c r="E290" s="638" t="s">
        <v>69</v>
      </c>
      <c r="F290" s="638" t="s">
        <v>69</v>
      </c>
      <c r="G290" s="638" t="s">
        <v>69</v>
      </c>
      <c r="H290" s="638" t="s">
        <v>69</v>
      </c>
      <c r="I290" s="643" t="s">
        <v>69</v>
      </c>
      <c r="J290" s="638" t="s">
        <v>69</v>
      </c>
      <c r="K290" s="638" t="s">
        <v>69</v>
      </c>
      <c r="L290" s="638" t="s">
        <v>69</v>
      </c>
      <c r="M290" s="560">
        <v>1</v>
      </c>
      <c r="N290" s="645"/>
      <c r="O290" s="645"/>
      <c r="P290" s="627"/>
      <c r="Q290" s="627"/>
      <c r="R290" s="627"/>
      <c r="S290" s="627"/>
      <c r="T290" s="627"/>
      <c r="U290" s="627"/>
      <c r="V290" s="627"/>
      <c r="W290" s="627"/>
      <c r="X290" s="627"/>
      <c r="Y290" s="627"/>
      <c r="Z290" s="627"/>
      <c r="AA290" s="627"/>
      <c r="AB290" s="624"/>
      <c r="AC290" s="624"/>
      <c r="AD290" s="624"/>
    </row>
    <row r="291" spans="1:30" s="559" customFormat="1">
      <c r="A291" s="560" t="s">
        <v>32</v>
      </c>
      <c r="B291" s="560" t="s">
        <v>503</v>
      </c>
      <c r="C291" s="560" t="s">
        <v>99</v>
      </c>
      <c r="D291" s="560">
        <v>2</v>
      </c>
      <c r="E291" s="638" t="s">
        <v>69</v>
      </c>
      <c r="F291" s="638" t="s">
        <v>69</v>
      </c>
      <c r="G291" s="638" t="s">
        <v>69</v>
      </c>
      <c r="H291" s="638" t="s">
        <v>69</v>
      </c>
      <c r="I291" s="643" t="s">
        <v>69</v>
      </c>
      <c r="J291" s="638" t="s">
        <v>69</v>
      </c>
      <c r="K291" s="638" t="s">
        <v>69</v>
      </c>
      <c r="L291" s="638" t="s">
        <v>69</v>
      </c>
      <c r="M291" s="560">
        <v>2</v>
      </c>
      <c r="N291" s="645"/>
      <c r="O291" s="645"/>
      <c r="P291" s="627"/>
      <c r="Q291" s="627"/>
      <c r="R291" s="627"/>
      <c r="S291" s="627"/>
      <c r="T291" s="627"/>
      <c r="U291" s="627"/>
      <c r="V291" s="627"/>
      <c r="W291" s="627"/>
      <c r="X291" s="627"/>
      <c r="Y291" s="627"/>
      <c r="Z291" s="627"/>
      <c r="AA291" s="627"/>
      <c r="AB291" s="624"/>
      <c r="AC291" s="624"/>
      <c r="AD291" s="624"/>
    </row>
    <row r="292" spans="1:30" s="559" customFormat="1">
      <c r="A292" s="560" t="s">
        <v>32</v>
      </c>
      <c r="B292" s="560" t="s">
        <v>503</v>
      </c>
      <c r="C292" s="560" t="s">
        <v>99</v>
      </c>
      <c r="D292" s="560">
        <v>3</v>
      </c>
      <c r="E292" s="638" t="s">
        <v>69</v>
      </c>
      <c r="F292" s="638" t="s">
        <v>69</v>
      </c>
      <c r="G292" s="638" t="s">
        <v>69</v>
      </c>
      <c r="H292" s="638" t="s">
        <v>69</v>
      </c>
      <c r="I292" s="643" t="s">
        <v>69</v>
      </c>
      <c r="J292" s="638" t="s">
        <v>69</v>
      </c>
      <c r="K292" s="638" t="s">
        <v>69</v>
      </c>
      <c r="L292" s="638" t="s">
        <v>69</v>
      </c>
      <c r="M292" s="560">
        <v>3</v>
      </c>
      <c r="N292" s="645"/>
      <c r="O292" s="645"/>
      <c r="P292" s="627"/>
      <c r="Q292" s="627"/>
      <c r="R292" s="627"/>
      <c r="S292" s="627"/>
      <c r="T292" s="627"/>
      <c r="U292" s="627"/>
      <c r="V292" s="627"/>
      <c r="W292" s="627"/>
      <c r="X292" s="627"/>
      <c r="Y292" s="627"/>
      <c r="Z292" s="627"/>
      <c r="AA292" s="627"/>
      <c r="AB292" s="624"/>
      <c r="AC292" s="624"/>
      <c r="AD292" s="624"/>
    </row>
    <row r="293" spans="1:30" s="559" customFormat="1">
      <c r="A293" s="560" t="s">
        <v>32</v>
      </c>
      <c r="B293" s="560" t="s">
        <v>503</v>
      </c>
      <c r="C293" s="560" t="s">
        <v>99</v>
      </c>
      <c r="D293" s="560">
        <v>4</v>
      </c>
      <c r="E293" s="638" t="s">
        <v>69</v>
      </c>
      <c r="F293" s="638" t="s">
        <v>69</v>
      </c>
      <c r="G293" s="638" t="s">
        <v>69</v>
      </c>
      <c r="H293" s="638" t="s">
        <v>69</v>
      </c>
      <c r="I293" s="643" t="s">
        <v>69</v>
      </c>
      <c r="J293" s="638" t="s">
        <v>69</v>
      </c>
      <c r="K293" s="638" t="s">
        <v>69</v>
      </c>
      <c r="L293" s="638" t="s">
        <v>69</v>
      </c>
      <c r="M293" s="560">
        <v>4</v>
      </c>
      <c r="N293" s="645"/>
      <c r="O293" s="645"/>
      <c r="P293" s="627"/>
      <c r="Q293" s="627"/>
      <c r="R293" s="627"/>
      <c r="S293" s="627"/>
      <c r="T293" s="627"/>
      <c r="U293" s="627"/>
      <c r="V293" s="627"/>
      <c r="W293" s="627"/>
      <c r="X293" s="627"/>
      <c r="Y293" s="627"/>
      <c r="Z293" s="627"/>
      <c r="AA293" s="627"/>
      <c r="AB293" s="624"/>
      <c r="AC293" s="624"/>
      <c r="AD293" s="624"/>
    </row>
    <row r="294" spans="1:30" s="559" customFormat="1">
      <c r="A294" s="560" t="s">
        <v>32</v>
      </c>
      <c r="B294" s="560" t="s">
        <v>503</v>
      </c>
      <c r="C294" s="560" t="s">
        <v>99</v>
      </c>
      <c r="D294" s="560">
        <v>5</v>
      </c>
      <c r="E294" s="638" t="s">
        <v>69</v>
      </c>
      <c r="F294" s="638" t="s">
        <v>69</v>
      </c>
      <c r="G294" s="638" t="s">
        <v>69</v>
      </c>
      <c r="H294" s="638" t="s">
        <v>69</v>
      </c>
      <c r="I294" s="643" t="s">
        <v>69</v>
      </c>
      <c r="J294" s="638" t="s">
        <v>69</v>
      </c>
      <c r="K294" s="638" t="s">
        <v>69</v>
      </c>
      <c r="L294" s="638" t="s">
        <v>69</v>
      </c>
      <c r="M294" s="560">
        <v>5</v>
      </c>
      <c r="N294" s="645"/>
      <c r="O294" s="645"/>
      <c r="P294" s="627"/>
      <c r="Q294" s="627"/>
      <c r="R294" s="627"/>
      <c r="S294" s="627"/>
      <c r="T294" s="627"/>
      <c r="U294" s="627"/>
      <c r="V294" s="627"/>
      <c r="W294" s="627"/>
      <c r="X294" s="627"/>
      <c r="Y294" s="627"/>
      <c r="Z294" s="627"/>
      <c r="AA294" s="627"/>
      <c r="AB294" s="624"/>
      <c r="AC294" s="624"/>
      <c r="AD294" s="624"/>
    </row>
    <row r="295" spans="1:30" s="559" customFormat="1">
      <c r="A295" s="560" t="s">
        <v>32</v>
      </c>
      <c r="B295" s="560" t="s">
        <v>503</v>
      </c>
      <c r="C295" s="560" t="s">
        <v>99</v>
      </c>
      <c r="D295" s="560">
        <v>6</v>
      </c>
      <c r="E295" s="638" t="s">
        <v>69</v>
      </c>
      <c r="F295" s="638" t="s">
        <v>69</v>
      </c>
      <c r="G295" s="638" t="s">
        <v>69</v>
      </c>
      <c r="H295" s="638" t="s">
        <v>69</v>
      </c>
      <c r="I295" s="643" t="s">
        <v>69</v>
      </c>
      <c r="J295" s="638" t="s">
        <v>69</v>
      </c>
      <c r="K295" s="638" t="s">
        <v>69</v>
      </c>
      <c r="L295" s="638" t="s">
        <v>69</v>
      </c>
      <c r="M295" s="560">
        <v>6</v>
      </c>
      <c r="N295" s="645"/>
      <c r="O295" s="645"/>
      <c r="P295" s="627"/>
      <c r="Q295" s="627"/>
      <c r="R295" s="627"/>
      <c r="S295" s="627"/>
      <c r="T295" s="627"/>
      <c r="U295" s="627"/>
      <c r="V295" s="627"/>
      <c r="W295" s="627"/>
      <c r="X295" s="627"/>
      <c r="Y295" s="627"/>
      <c r="Z295" s="627"/>
      <c r="AA295" s="627"/>
      <c r="AB295" s="624"/>
      <c r="AC295" s="624"/>
      <c r="AD295" s="624"/>
    </row>
    <row r="297" spans="1:30">
      <c r="O297">
        <f>AVERAGE('Example Calculation'!E97:E103)</f>
        <v>0.13372090489117547</v>
      </c>
    </row>
  </sheetData>
  <pageMargins left="0.25" right="0.25" top="0.75" bottom="0.75" header="0.3" footer="0.3"/>
  <pageSetup scale="7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XFD152"/>
  <sheetViews>
    <sheetView topLeftCell="N49" zoomScale="129" zoomScaleNormal="129" zoomScalePageLayoutView="129" workbookViewId="0">
      <selection activeCell="C49" sqref="C49"/>
    </sheetView>
  </sheetViews>
  <sheetFormatPr defaultColWidth="8.77734375" defaultRowHeight="12" customHeight="1"/>
  <cols>
    <col min="1" max="1" width="2.6640625" style="38" customWidth="1"/>
    <col min="2" max="2" width="25.44140625" style="38" customWidth="1"/>
    <col min="3" max="3" width="96.109375" style="38" customWidth="1"/>
    <col min="4" max="4" width="2.6640625" style="38" customWidth="1"/>
    <col min="5" max="5" width="11.6640625" style="38" customWidth="1"/>
    <col min="6" max="11" width="11.6640625" style="49" customWidth="1"/>
    <col min="12" max="12" width="2.6640625" style="49" customWidth="1"/>
    <col min="13" max="13" width="9.44140625" style="49" customWidth="1"/>
    <col min="14" max="14" width="9.44140625" style="280" customWidth="1"/>
    <col min="15" max="19" width="9.44140625" style="49" customWidth="1"/>
    <col min="20" max="20" width="18" style="49" customWidth="1"/>
    <col min="21" max="25" width="9.44140625" style="49" customWidth="1"/>
    <col min="26" max="28" width="8" style="49" customWidth="1"/>
    <col min="29" max="29" width="12.33203125" style="49" customWidth="1"/>
    <col min="30" max="30" width="12.33203125" style="286" customWidth="1"/>
    <col min="31" max="32" width="12.33203125" style="49" customWidth="1"/>
    <col min="33" max="34" width="8.109375" style="49" customWidth="1"/>
    <col min="35" max="35" width="10.6640625" style="49" customWidth="1"/>
    <col min="36" max="36" width="17.33203125" style="49" customWidth="1"/>
    <col min="37" max="37" width="10.6640625" style="49" customWidth="1"/>
    <col min="38" max="38" width="12.33203125" style="49" customWidth="1"/>
    <col min="39" max="39" width="16.44140625" style="38" customWidth="1"/>
    <col min="40" max="40" width="15.44140625" style="38" customWidth="1"/>
    <col min="41" max="42" width="10.6640625" style="38" customWidth="1"/>
    <col min="43" max="43" width="17.77734375" style="38" customWidth="1"/>
    <col min="44" max="44" width="8.77734375" style="38"/>
    <col min="45" max="49" width="5.77734375" style="38" customWidth="1"/>
    <col min="50" max="69" width="5.77734375" style="40" customWidth="1"/>
    <col min="70" max="76" width="5.77734375" style="38" customWidth="1"/>
    <col min="77" max="87" width="5.77734375" style="40" customWidth="1"/>
    <col min="88" max="128" width="8.77734375" style="40"/>
    <col min="129" max="16384" width="8.77734375" style="38"/>
  </cols>
  <sheetData>
    <row r="1" spans="1:131" s="35" customFormat="1" ht="12" customHeight="1">
      <c r="B1" s="36" t="s">
        <v>177</v>
      </c>
      <c r="F1" s="48"/>
      <c r="G1" s="48"/>
      <c r="H1" s="48"/>
      <c r="I1" s="48"/>
      <c r="J1" s="48"/>
      <c r="K1" s="48"/>
      <c r="L1" s="48"/>
      <c r="M1" s="48"/>
      <c r="N1" s="279"/>
      <c r="O1" s="48"/>
      <c r="P1" s="48"/>
      <c r="Q1" s="48"/>
      <c r="R1" s="48"/>
      <c r="S1" s="48"/>
      <c r="T1" s="48"/>
      <c r="U1" s="48"/>
      <c r="V1" s="48"/>
      <c r="W1" s="48"/>
      <c r="X1" s="48"/>
      <c r="Y1" s="48"/>
      <c r="Z1" s="48"/>
      <c r="AA1" s="48"/>
      <c r="AB1" s="48"/>
      <c r="AC1" s="48"/>
      <c r="AD1" s="285"/>
      <c r="AE1" s="48"/>
      <c r="AF1" s="48"/>
      <c r="AG1" s="48"/>
      <c r="AH1" s="48"/>
      <c r="AI1" s="48"/>
      <c r="AJ1" s="48"/>
      <c r="AK1" s="48"/>
      <c r="AL1" s="48"/>
      <c r="BA1" s="37"/>
      <c r="BB1" s="37"/>
      <c r="BC1" s="37"/>
      <c r="BD1" s="37"/>
      <c r="BE1" s="37"/>
      <c r="BF1" s="37"/>
      <c r="BG1" s="37"/>
      <c r="BH1" s="37"/>
      <c r="BI1" s="37"/>
      <c r="BJ1" s="37"/>
      <c r="BK1" s="37"/>
      <c r="BL1" s="37"/>
      <c r="BM1" s="37"/>
      <c r="BN1" s="37"/>
      <c r="BO1" s="37"/>
      <c r="BP1" s="37"/>
      <c r="BQ1" s="37"/>
      <c r="BR1" s="37"/>
      <c r="BS1" s="37"/>
      <c r="BT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row>
    <row r="2" spans="1:131" ht="12" customHeight="1">
      <c r="B2" s="39"/>
      <c r="F2" s="38"/>
      <c r="G2" s="38"/>
      <c r="H2" s="38"/>
      <c r="I2" s="38"/>
      <c r="AX2" s="38"/>
      <c r="AY2" s="38"/>
      <c r="AZ2" s="38"/>
      <c r="BR2" s="40"/>
      <c r="BS2" s="40"/>
      <c r="BT2" s="40"/>
      <c r="BY2" s="38"/>
      <c r="BZ2" s="38"/>
      <c r="CA2" s="38"/>
      <c r="DY2" s="40"/>
      <c r="DZ2" s="40"/>
      <c r="EA2" s="40"/>
    </row>
    <row r="3" spans="1:131" ht="12" customHeight="1">
      <c r="A3" s="245"/>
      <c r="B3" s="661" t="s">
        <v>523</v>
      </c>
      <c r="C3" s="661"/>
      <c r="E3" s="78" t="s">
        <v>63</v>
      </c>
      <c r="F3" s="78"/>
      <c r="G3" s="78"/>
      <c r="H3" s="78"/>
      <c r="I3" s="78"/>
      <c r="J3" s="78"/>
      <c r="K3" s="78"/>
      <c r="M3" s="77" t="s">
        <v>408</v>
      </c>
      <c r="N3" s="281"/>
      <c r="O3" s="77"/>
      <c r="P3" s="77"/>
      <c r="Q3" s="77"/>
      <c r="R3" s="77"/>
      <c r="S3" s="77"/>
      <c r="T3" s="77"/>
      <c r="U3" s="77"/>
      <c r="V3" s="77"/>
      <c r="W3" s="77"/>
      <c r="X3" s="77"/>
      <c r="Y3" s="77"/>
      <c r="Z3" s="77"/>
      <c r="AA3" s="77"/>
      <c r="AB3" s="77"/>
      <c r="AC3" s="77"/>
      <c r="AD3" s="287"/>
      <c r="AE3" s="77"/>
      <c r="AF3" s="77"/>
      <c r="AG3" s="77"/>
      <c r="AH3" s="77"/>
      <c r="AI3" s="77"/>
      <c r="AJ3" s="77"/>
      <c r="AK3" s="77"/>
      <c r="AL3" s="77"/>
      <c r="AM3" s="77"/>
      <c r="AN3" s="77"/>
      <c r="AO3" s="77"/>
      <c r="AP3" s="77"/>
      <c r="AQ3" s="245"/>
      <c r="AX3" s="38"/>
      <c r="AY3" s="38"/>
      <c r="AZ3" s="38"/>
      <c r="BR3" s="40"/>
      <c r="BS3" s="40"/>
      <c r="BT3" s="40"/>
      <c r="BY3" s="38"/>
      <c r="BZ3" s="38"/>
      <c r="CA3" s="38"/>
      <c r="DY3" s="40"/>
      <c r="DZ3" s="40"/>
      <c r="EA3" s="40"/>
    </row>
    <row r="4" spans="1:131" ht="12" customHeight="1" thickBot="1">
      <c r="A4" s="244"/>
      <c r="B4" s="238" t="s">
        <v>138</v>
      </c>
      <c r="C4" s="238" t="s">
        <v>175</v>
      </c>
      <c r="E4" s="703" t="s">
        <v>589</v>
      </c>
      <c r="F4" s="703"/>
      <c r="G4" s="703"/>
      <c r="H4" s="703"/>
      <c r="I4" s="703"/>
      <c r="J4" s="703"/>
      <c r="K4" s="703"/>
      <c r="AM4" s="49"/>
      <c r="AN4" s="49"/>
      <c r="AO4" s="49"/>
      <c r="AP4" s="49"/>
      <c r="AX4" s="38"/>
      <c r="AY4" s="38"/>
      <c r="AZ4" s="38"/>
      <c r="BR4" s="40"/>
      <c r="BS4" s="40"/>
      <c r="BT4" s="40"/>
      <c r="BY4" s="38"/>
      <c r="BZ4" s="38"/>
      <c r="CA4" s="38"/>
      <c r="DY4" s="40"/>
      <c r="DZ4" s="40"/>
      <c r="EA4" s="40"/>
    </row>
    <row r="5" spans="1:131" ht="12" customHeight="1">
      <c r="A5" s="678" t="s">
        <v>544</v>
      </c>
      <c r="B5" s="590" t="s">
        <v>364</v>
      </c>
      <c r="C5" s="591" t="s">
        <v>584</v>
      </c>
      <c r="E5" s="703"/>
      <c r="F5" s="703"/>
      <c r="G5" s="703"/>
      <c r="H5" s="703"/>
      <c r="I5" s="703"/>
      <c r="J5" s="703"/>
      <c r="K5" s="703"/>
      <c r="M5" s="661" t="s">
        <v>409</v>
      </c>
      <c r="N5" s="661"/>
      <c r="O5" s="661"/>
      <c r="P5" s="661"/>
      <c r="Q5" s="661"/>
      <c r="R5" s="661"/>
      <c r="S5" s="661"/>
      <c r="T5" s="661"/>
      <c r="U5" s="661"/>
      <c r="V5" s="661"/>
      <c r="W5" s="661"/>
      <c r="X5" s="661"/>
      <c r="Y5" s="661"/>
      <c r="AC5" s="662" t="s">
        <v>413</v>
      </c>
      <c r="AD5" s="662"/>
      <c r="AE5" s="662"/>
      <c r="AI5" s="685" t="s">
        <v>418</v>
      </c>
      <c r="AJ5" s="685"/>
      <c r="AK5" s="685"/>
      <c r="AL5" s="685"/>
      <c r="AM5" s="685"/>
      <c r="AN5" s="685"/>
      <c r="AO5" s="685"/>
      <c r="AP5" s="685"/>
      <c r="AX5" s="38"/>
      <c r="AY5" s="38"/>
      <c r="AZ5" s="38"/>
      <c r="BR5" s="40"/>
      <c r="BS5" s="40"/>
      <c r="BT5" s="40"/>
      <c r="BY5" s="38"/>
      <c r="BZ5" s="38"/>
      <c r="CA5" s="38"/>
      <c r="DY5" s="40"/>
      <c r="DZ5" s="40"/>
      <c r="EA5" s="40"/>
    </row>
    <row r="6" spans="1:131" ht="12" customHeight="1">
      <c r="A6" s="679"/>
      <c r="B6" s="590" t="s">
        <v>174</v>
      </c>
      <c r="C6" s="591" t="s">
        <v>585</v>
      </c>
      <c r="E6" s="703"/>
      <c r="F6" s="703"/>
      <c r="G6" s="703"/>
      <c r="H6" s="703"/>
      <c r="I6" s="703"/>
      <c r="J6" s="703"/>
      <c r="K6" s="703"/>
      <c r="M6" s="50"/>
      <c r="N6" s="686" t="s">
        <v>383</v>
      </c>
      <c r="O6" s="686"/>
      <c r="P6" s="51" t="s">
        <v>384</v>
      </c>
      <c r="Q6" s="686" t="s">
        <v>29</v>
      </c>
      <c r="R6" s="686"/>
      <c r="S6" s="686"/>
      <c r="T6" s="623" t="s">
        <v>628</v>
      </c>
      <c r="U6" s="686" t="s">
        <v>83</v>
      </c>
      <c r="V6" s="686"/>
      <c r="W6" s="51" t="s">
        <v>32</v>
      </c>
      <c r="X6" s="686" t="s">
        <v>64</v>
      </c>
      <c r="Y6" s="686"/>
      <c r="AC6" s="51" t="s">
        <v>0</v>
      </c>
      <c r="AD6" s="288" t="s">
        <v>221</v>
      </c>
      <c r="AE6" s="51" t="s">
        <v>222</v>
      </c>
      <c r="AI6" s="51" t="s">
        <v>0</v>
      </c>
      <c r="AJ6" s="52" t="s">
        <v>383</v>
      </c>
      <c r="AK6" s="52" t="s">
        <v>384</v>
      </c>
      <c r="AL6" s="52" t="s">
        <v>29</v>
      </c>
      <c r="AM6" s="623" t="s">
        <v>628</v>
      </c>
      <c r="AN6" s="52" t="s">
        <v>31</v>
      </c>
      <c r="AO6" s="51" t="s">
        <v>32</v>
      </c>
      <c r="AP6" s="51" t="s">
        <v>627</v>
      </c>
      <c r="AX6" s="38"/>
      <c r="AY6" s="38"/>
      <c r="AZ6" s="38"/>
      <c r="BR6" s="40"/>
      <c r="BS6" s="40"/>
      <c r="BT6" s="40"/>
      <c r="BY6" s="38"/>
      <c r="BZ6" s="38"/>
      <c r="CA6" s="38"/>
      <c r="DY6" s="40"/>
      <c r="DZ6" s="40"/>
      <c r="EA6" s="40"/>
    </row>
    <row r="7" spans="1:131" ht="12" customHeight="1">
      <c r="A7" s="679"/>
      <c r="B7" s="590" t="s">
        <v>365</v>
      </c>
      <c r="C7" s="591" t="s">
        <v>366</v>
      </c>
      <c r="E7" s="703"/>
      <c r="F7" s="703"/>
      <c r="G7" s="703"/>
      <c r="H7" s="703"/>
      <c r="I7" s="703"/>
      <c r="J7" s="703"/>
      <c r="K7" s="703"/>
      <c r="M7" s="43" t="s">
        <v>0</v>
      </c>
      <c r="N7" s="282" t="s">
        <v>211</v>
      </c>
      <c r="O7" s="54" t="s">
        <v>212</v>
      </c>
      <c r="P7" s="43" t="s">
        <v>213</v>
      </c>
      <c r="Q7" s="53" t="s">
        <v>214</v>
      </c>
      <c r="R7" s="54" t="s">
        <v>587</v>
      </c>
      <c r="S7" s="55" t="s">
        <v>215</v>
      </c>
      <c r="T7" s="43" t="s">
        <v>216</v>
      </c>
      <c r="U7" s="54" t="s">
        <v>194</v>
      </c>
      <c r="V7" s="54" t="s">
        <v>217</v>
      </c>
      <c r="W7" s="43" t="s">
        <v>220</v>
      </c>
      <c r="X7" s="54" t="s">
        <v>218</v>
      </c>
      <c r="Y7" s="55" t="s">
        <v>219</v>
      </c>
      <c r="AC7" s="72" t="s">
        <v>21</v>
      </c>
      <c r="AD7" s="290">
        <f>AJ7+AL7+AN7+AO7</f>
        <v>8.3741201927800629E-2</v>
      </c>
      <c r="AE7" s="73">
        <f>AK7+AM7+AP7</f>
        <v>8.1820755111622318E-2</v>
      </c>
      <c r="AI7" s="56" t="s">
        <v>21</v>
      </c>
      <c r="AJ7" s="543">
        <v>3.7420898278694272E-3</v>
      </c>
      <c r="AK7" s="543">
        <v>3.4330437392157499E-2</v>
      </c>
      <c r="AL7" s="543">
        <v>6.7579093142704702E-2</v>
      </c>
      <c r="AM7" s="543">
        <v>2.2209541765459345E-2</v>
      </c>
      <c r="AN7" s="543">
        <v>7.1611932758656772E-3</v>
      </c>
      <c r="AO7" s="543">
        <v>5.2588256813608297E-3</v>
      </c>
      <c r="AP7" s="543">
        <v>2.5280775954005477E-2</v>
      </c>
      <c r="AX7" s="38"/>
      <c r="AY7" s="38"/>
      <c r="AZ7" s="38"/>
      <c r="BR7" s="40"/>
      <c r="BS7" s="40"/>
      <c r="BT7" s="40"/>
      <c r="BY7" s="38"/>
      <c r="BZ7" s="38"/>
      <c r="CA7" s="38"/>
      <c r="DY7" s="40"/>
      <c r="DZ7" s="40"/>
      <c r="EA7" s="40"/>
    </row>
    <row r="8" spans="1:131" ht="12" customHeight="1">
      <c r="A8" s="679"/>
      <c r="B8" s="590" t="s">
        <v>367</v>
      </c>
      <c r="C8" s="591" t="s">
        <v>368</v>
      </c>
      <c r="E8" s="703"/>
      <c r="F8" s="703"/>
      <c r="G8" s="703"/>
      <c r="H8" s="703"/>
      <c r="I8" s="703"/>
      <c r="J8" s="703"/>
      <c r="K8" s="703"/>
      <c r="M8" s="56" t="s">
        <v>21</v>
      </c>
      <c r="N8" s="315">
        <v>0.10332049030145279</v>
      </c>
      <c r="O8" s="59">
        <v>2.1415837294194783E-2</v>
      </c>
      <c r="P8" s="62">
        <v>0.14926277127025001</v>
      </c>
      <c r="Q8" s="47">
        <v>1.262678357816047E-2</v>
      </c>
      <c r="R8" s="47">
        <v>4.4800092978960412E-2</v>
      </c>
      <c r="S8" s="47">
        <v>0.16783676725189481</v>
      </c>
      <c r="T8" s="62">
        <v>6.7301641713513161E-2</v>
      </c>
      <c r="U8" s="47">
        <v>0.316824228447462</v>
      </c>
      <c r="V8" s="47">
        <v>4.1235435345821858E-2</v>
      </c>
      <c r="W8" s="62">
        <v>0.17529418937869434</v>
      </c>
      <c r="X8" s="58">
        <v>3.1777291514706589E-2</v>
      </c>
      <c r="Y8" s="59">
        <v>0.38956897438538468</v>
      </c>
      <c r="AC8" s="72" t="s">
        <v>14</v>
      </c>
      <c r="AD8" s="290">
        <f t="shared" ref="AD8:AD15" si="0">AJ8+AL8+AN8+AO8</f>
        <v>7.8772430357563886E-2</v>
      </c>
      <c r="AE8" s="73">
        <f t="shared" ref="AE8:AE15" si="1">AK8+AM8+AP8</f>
        <v>0.15080338217976288</v>
      </c>
      <c r="AI8" s="56" t="s">
        <v>14</v>
      </c>
      <c r="AJ8" s="543">
        <v>7.7762490030480547E-3</v>
      </c>
      <c r="AK8" s="543">
        <v>0.11737060896276988</v>
      </c>
      <c r="AL8" s="543">
        <v>5.9085869817674795E-2</v>
      </c>
      <c r="AM8" s="543">
        <v>1.6333542011359715E-2</v>
      </c>
      <c r="AN8" s="543">
        <v>4.8131833129521837E-3</v>
      </c>
      <c r="AO8" s="543">
        <v>7.0971282238888479E-3</v>
      </c>
      <c r="AP8" s="543">
        <v>1.7099231205633281E-2</v>
      </c>
      <c r="AX8" s="38"/>
      <c r="AY8" s="38"/>
      <c r="AZ8" s="38"/>
      <c r="BR8" s="40"/>
      <c r="BS8" s="40"/>
      <c r="BT8" s="40"/>
      <c r="BY8" s="38"/>
      <c r="BZ8" s="38"/>
      <c r="CA8" s="38"/>
      <c r="DY8" s="40"/>
      <c r="DZ8" s="40"/>
      <c r="EA8" s="40"/>
    </row>
    <row r="9" spans="1:131" ht="12" customHeight="1">
      <c r="A9" s="679"/>
      <c r="B9" s="590" t="s">
        <v>176</v>
      </c>
      <c r="C9" s="591" t="s">
        <v>586</v>
      </c>
      <c r="E9" s="703"/>
      <c r="F9" s="703"/>
      <c r="G9" s="703"/>
      <c r="H9" s="703"/>
      <c r="I9" s="703"/>
      <c r="J9" s="703"/>
      <c r="K9" s="703"/>
      <c r="M9" s="56" t="s">
        <v>14</v>
      </c>
      <c r="N9" s="315">
        <v>0.22815374744695527</v>
      </c>
      <c r="O9" s="59">
        <v>3.1054552654646579E-2</v>
      </c>
      <c r="P9" s="62">
        <v>0.51030699549030378</v>
      </c>
      <c r="Q9" s="47">
        <v>1.3096349616091121E-2</v>
      </c>
      <c r="R9" s="47">
        <v>4.2421208281224337E-2</v>
      </c>
      <c r="S9" s="47">
        <v>0.14143534149493386</v>
      </c>
      <c r="T9" s="62">
        <v>4.9495581852605199E-2</v>
      </c>
      <c r="U9" s="47">
        <v>0.19067476457874258</v>
      </c>
      <c r="V9" s="47">
        <v>4.9984401068866612E-2</v>
      </c>
      <c r="W9" s="62">
        <v>0.23657094079629493</v>
      </c>
      <c r="X9" s="58">
        <v>5.263797714563169E-2</v>
      </c>
      <c r="Y9" s="59">
        <v>0.232349209614923</v>
      </c>
      <c r="AC9" s="72" t="s">
        <v>20</v>
      </c>
      <c r="AD9" s="290">
        <f t="shared" si="0"/>
        <v>6.0175186659187939E-2</v>
      </c>
      <c r="AE9" s="73">
        <f t="shared" si="1"/>
        <v>0.13274214954338207</v>
      </c>
      <c r="AI9" s="56" t="s">
        <v>20</v>
      </c>
      <c r="AJ9" s="543">
        <v>5.3342270109263141E-3</v>
      </c>
      <c r="AK9" s="543">
        <v>5.2232444641360842E-2</v>
      </c>
      <c r="AL9" s="543">
        <v>4.630009199327751E-2</v>
      </c>
      <c r="AM9" s="543">
        <v>6.9162056946379336E-2</v>
      </c>
      <c r="AN9" s="543">
        <v>3.2253381141023598E-3</v>
      </c>
      <c r="AO9" s="543">
        <v>5.3155295408817537E-3</v>
      </c>
      <c r="AP9" s="543">
        <v>1.13476479556419E-2</v>
      </c>
      <c r="AX9" s="38"/>
      <c r="AY9" s="38"/>
      <c r="AZ9" s="38"/>
      <c r="BR9" s="40"/>
      <c r="BS9" s="40"/>
      <c r="BT9" s="40"/>
      <c r="BY9" s="38"/>
      <c r="BZ9" s="38"/>
      <c r="CA9" s="38"/>
      <c r="DY9" s="40"/>
      <c r="DZ9" s="40"/>
      <c r="EA9" s="40"/>
    </row>
    <row r="10" spans="1:131" ht="12" customHeight="1">
      <c r="A10" s="679"/>
      <c r="B10" s="590" t="s">
        <v>348</v>
      </c>
      <c r="C10" s="592" t="s">
        <v>626</v>
      </c>
      <c r="E10" s="703"/>
      <c r="F10" s="703"/>
      <c r="G10" s="703"/>
      <c r="H10" s="703"/>
      <c r="I10" s="703"/>
      <c r="J10" s="703"/>
      <c r="K10" s="703"/>
      <c r="M10" s="56" t="s">
        <v>20</v>
      </c>
      <c r="N10" s="315">
        <v>0.13667514715139675</v>
      </c>
      <c r="O10" s="59">
        <v>4.1132419879480388E-2</v>
      </c>
      <c r="P10" s="62">
        <v>0.22709758539722105</v>
      </c>
      <c r="Q10" s="47">
        <v>2.9857680635629533E-2</v>
      </c>
      <c r="R10" s="47">
        <v>2.2962437260461262E-2</v>
      </c>
      <c r="S10" s="47">
        <v>0.10151352208150091</v>
      </c>
      <c r="T10" s="62">
        <v>0.20958199074660405</v>
      </c>
      <c r="U10" s="47">
        <v>0.106941932494585</v>
      </c>
      <c r="V10" s="47">
        <v>5.4324973210532992E-2</v>
      </c>
      <c r="W10" s="62">
        <v>0.1771843180293918</v>
      </c>
      <c r="X10" s="58">
        <v>7.7753464624354965E-2</v>
      </c>
      <c r="Y10" s="59">
        <v>0.11137400130301003</v>
      </c>
      <c r="AC10" s="72" t="s">
        <v>22</v>
      </c>
      <c r="AD10" s="290">
        <f t="shared" si="0"/>
        <v>5.5840114817475188E-2</v>
      </c>
      <c r="AE10" s="73">
        <f t="shared" si="1"/>
        <v>0.13798405345630924</v>
      </c>
      <c r="AI10" s="56" t="s">
        <v>22</v>
      </c>
      <c r="AJ10" s="543">
        <v>5.2062693349210669E-3</v>
      </c>
      <c r="AK10" s="543">
        <v>2.0798921668767706E-2</v>
      </c>
      <c r="AL10" s="543">
        <v>4.2796990936143996E-2</v>
      </c>
      <c r="AM10" s="543">
        <v>0.11234535466820267</v>
      </c>
      <c r="AN10" s="543">
        <v>2.7261905625067611E-3</v>
      </c>
      <c r="AO10" s="543">
        <v>5.1106639839033604E-3</v>
      </c>
      <c r="AP10" s="543">
        <v>4.8397771193388712E-3</v>
      </c>
      <c r="AX10" s="38"/>
      <c r="AY10" s="38"/>
      <c r="AZ10" s="38"/>
      <c r="BR10" s="40"/>
      <c r="BS10" s="40"/>
      <c r="BT10" s="40"/>
      <c r="BY10" s="38"/>
      <c r="BZ10" s="38"/>
      <c r="CA10" s="38"/>
      <c r="DY10" s="40"/>
      <c r="DZ10" s="40"/>
      <c r="EA10" s="40"/>
    </row>
    <row r="11" spans="1:131" ht="12" customHeight="1">
      <c r="A11" s="679"/>
      <c r="B11" s="590" t="s">
        <v>204</v>
      </c>
      <c r="C11" s="592" t="s">
        <v>205</v>
      </c>
      <c r="E11" s="703"/>
      <c r="F11" s="703"/>
      <c r="G11" s="703"/>
      <c r="H11" s="703"/>
      <c r="I11" s="703"/>
      <c r="J11" s="703"/>
      <c r="K11" s="703"/>
      <c r="M11" s="56" t="s">
        <v>22</v>
      </c>
      <c r="N11" s="315">
        <v>0.11516238030734945</v>
      </c>
      <c r="O11" s="59">
        <v>5.8379930856686128E-2</v>
      </c>
      <c r="P11" s="62">
        <v>9.0430094212033504E-2</v>
      </c>
      <c r="Q11" s="47">
        <v>4.2491945128222172E-2</v>
      </c>
      <c r="R11" s="47">
        <v>2.3138732364187321E-2</v>
      </c>
      <c r="S11" s="47">
        <v>7.7025958961403823E-2</v>
      </c>
      <c r="T11" s="62">
        <v>0.34044046869152322</v>
      </c>
      <c r="U11" s="47">
        <v>7.6830125496577001E-2</v>
      </c>
      <c r="V11" s="47">
        <v>5.9479402628761051E-2</v>
      </c>
      <c r="W11" s="62">
        <v>0.17035546613011202</v>
      </c>
      <c r="X11" s="58">
        <v>4.5538536348160727E-2</v>
      </c>
      <c r="Y11" s="59">
        <v>3.5124415640820465E-2</v>
      </c>
      <c r="AC11" s="72" t="s">
        <v>23</v>
      </c>
      <c r="AD11" s="290">
        <f t="shared" si="0"/>
        <v>6.1071606325592095E-2</v>
      </c>
      <c r="AE11" s="73">
        <f t="shared" si="1"/>
        <v>8.2705150394401905E-2</v>
      </c>
      <c r="AI11" s="56" t="s">
        <v>23</v>
      </c>
      <c r="AJ11" s="543">
        <v>2.5686586942064151E-3</v>
      </c>
      <c r="AK11" s="543">
        <v>4.2001849589998943E-3</v>
      </c>
      <c r="AL11" s="543">
        <v>5.4891155757845887E-2</v>
      </c>
      <c r="AM11" s="543">
        <v>7.740507589130112E-2</v>
      </c>
      <c r="AN11" s="543">
        <v>9.9426855179117891E-4</v>
      </c>
      <c r="AO11" s="543">
        <v>2.6175233217486131E-3</v>
      </c>
      <c r="AP11" s="543">
        <v>1.0998895441008915E-3</v>
      </c>
      <c r="AX11" s="38"/>
      <c r="AY11" s="38"/>
      <c r="AZ11" s="38"/>
      <c r="BR11" s="40"/>
      <c r="BS11" s="40"/>
      <c r="BT11" s="40"/>
      <c r="BY11" s="38"/>
      <c r="BZ11" s="38"/>
      <c r="CA11" s="38"/>
      <c r="DY11" s="40"/>
      <c r="DZ11" s="40"/>
      <c r="EA11" s="40"/>
    </row>
    <row r="12" spans="1:131" ht="12" customHeight="1">
      <c r="A12" s="679"/>
      <c r="B12" s="590" t="s">
        <v>178</v>
      </c>
      <c r="C12" s="593" t="s">
        <v>190</v>
      </c>
      <c r="E12" s="703"/>
      <c r="F12" s="703"/>
      <c r="G12" s="703"/>
      <c r="H12" s="703"/>
      <c r="I12" s="703"/>
      <c r="J12" s="703"/>
      <c r="K12" s="703"/>
      <c r="M12" s="56" t="s">
        <v>23</v>
      </c>
      <c r="N12" s="315">
        <v>3.1578373349059413E-2</v>
      </c>
      <c r="O12" s="59">
        <v>5.404358312448776E-2</v>
      </c>
      <c r="P12" s="62">
        <v>1.8261673734782147E-2</v>
      </c>
      <c r="Q12" s="47">
        <v>6.357554885675773E-2</v>
      </c>
      <c r="R12" s="47">
        <v>1.3944942704817012E-2</v>
      </c>
      <c r="S12" s="47">
        <v>0.10545002763124488</v>
      </c>
      <c r="T12" s="62">
        <v>0.2345608360342458</v>
      </c>
      <c r="U12" s="47">
        <v>1.2004707108840201E-2</v>
      </c>
      <c r="V12" s="47">
        <v>3.7708720480718744E-2</v>
      </c>
      <c r="W12" s="62">
        <v>8.7250777391620446E-2</v>
      </c>
      <c r="X12" s="58">
        <v>1.2010697787502E-2</v>
      </c>
      <c r="Y12" s="59">
        <v>6.3207946141795261E-3</v>
      </c>
      <c r="AC12" s="72" t="s">
        <v>24</v>
      </c>
      <c r="AD12" s="290">
        <f t="shared" si="0"/>
        <v>2.7354004884330162E-2</v>
      </c>
      <c r="AE12" s="73">
        <f t="shared" si="1"/>
        <v>2.8706848363816415E-2</v>
      </c>
      <c r="AI12" s="56" t="s">
        <v>24</v>
      </c>
      <c r="AJ12" s="543">
        <v>3.8009304256788148E-3</v>
      </c>
      <c r="AK12" s="543">
        <v>9.5458749068179404E-4</v>
      </c>
      <c r="AL12" s="543">
        <v>2.0674699253217441E-2</v>
      </c>
      <c r="AM12" s="543">
        <v>2.754698472625898E-2</v>
      </c>
      <c r="AN12" s="543">
        <v>6.0473335432723236E-4</v>
      </c>
      <c r="AO12" s="543">
        <v>2.2736418511066707E-3</v>
      </c>
      <c r="AP12" s="543">
        <v>2.0527614687563996E-4</v>
      </c>
      <c r="AX12" s="38"/>
      <c r="AY12" s="38"/>
      <c r="AZ12" s="38"/>
      <c r="BR12" s="40"/>
      <c r="BS12" s="40"/>
      <c r="BT12" s="40"/>
      <c r="BY12" s="38"/>
      <c r="BZ12" s="38"/>
      <c r="CA12" s="38"/>
      <c r="DY12" s="40"/>
      <c r="DZ12" s="40"/>
      <c r="EA12" s="40"/>
    </row>
    <row r="13" spans="1:131" ht="12" customHeight="1">
      <c r="A13" s="679"/>
      <c r="B13" s="590" t="s">
        <v>179</v>
      </c>
      <c r="C13" s="594" t="s">
        <v>227</v>
      </c>
      <c r="E13" s="703"/>
      <c r="F13" s="703"/>
      <c r="G13" s="703"/>
      <c r="H13" s="703"/>
      <c r="I13" s="703"/>
      <c r="J13" s="703"/>
      <c r="K13" s="703"/>
      <c r="M13" s="56" t="s">
        <v>24</v>
      </c>
      <c r="N13" s="315">
        <v>1.4308950423792453E-2</v>
      </c>
      <c r="O13" s="59">
        <v>0.11238873043216804</v>
      </c>
      <c r="P13" s="62">
        <v>4.1503803942686693E-3</v>
      </c>
      <c r="Q13" s="47">
        <v>2.555675267285509E-2</v>
      </c>
      <c r="R13" s="47">
        <v>1.0754001327355085E-2</v>
      </c>
      <c r="S13" s="47">
        <v>3.2604910177181312E-2</v>
      </c>
      <c r="T13" s="62">
        <v>8.3475711291693871E-2</v>
      </c>
      <c r="U13" s="47">
        <v>6.7026281357691082E-3</v>
      </c>
      <c r="V13" s="47">
        <v>2.3534039580592508E-2</v>
      </c>
      <c r="W13" s="62">
        <v>7.578806170355569E-2</v>
      </c>
      <c r="X13" s="58">
        <v>2.2611232676876284E-3</v>
      </c>
      <c r="Y13" s="59">
        <v>1.1601458469063708E-3</v>
      </c>
      <c r="AC13" s="72" t="s">
        <v>25</v>
      </c>
      <c r="AD13" s="290">
        <f t="shared" si="0"/>
        <v>7.508822891065481E-3</v>
      </c>
      <c r="AE13" s="73">
        <f t="shared" si="1"/>
        <v>4.3354504078915246E-3</v>
      </c>
      <c r="AI13" s="56" t="s">
        <v>25</v>
      </c>
      <c r="AJ13" s="543">
        <v>1.0557920225605865E-3</v>
      </c>
      <c r="AK13" s="543">
        <v>9.5458749068179398E-5</v>
      </c>
      <c r="AL13" s="543">
        <v>4.7504834805419689E-3</v>
      </c>
      <c r="AM13" s="543">
        <v>4.1149898861716242E-3</v>
      </c>
      <c r="AN13" s="543">
        <v>3.7457958112188487E-4</v>
      </c>
      <c r="AO13" s="543">
        <v>1.3279678068410402E-3</v>
      </c>
      <c r="AP13" s="543">
        <v>1.2500177265172116E-4</v>
      </c>
      <c r="AX13" s="38"/>
      <c r="AY13" s="38"/>
      <c r="AZ13" s="38"/>
      <c r="BR13" s="40"/>
      <c r="BS13" s="40"/>
      <c r="BT13" s="40"/>
      <c r="BY13" s="38"/>
      <c r="BZ13" s="38"/>
      <c r="CA13" s="38"/>
      <c r="DY13" s="40"/>
      <c r="DZ13" s="40"/>
      <c r="EA13" s="40"/>
    </row>
    <row r="14" spans="1:131" ht="12" customHeight="1">
      <c r="A14" s="679"/>
      <c r="B14" s="590" t="s">
        <v>180</v>
      </c>
      <c r="C14" s="593" t="s">
        <v>328</v>
      </c>
      <c r="E14" s="703"/>
      <c r="F14" s="703"/>
      <c r="G14" s="703"/>
      <c r="H14" s="703"/>
      <c r="I14" s="703"/>
      <c r="J14" s="703"/>
      <c r="K14" s="703"/>
      <c r="M14" s="56" t="s">
        <v>25</v>
      </c>
      <c r="N14" s="315">
        <v>2.1710131677478246E-3</v>
      </c>
      <c r="O14" s="59">
        <v>3.3022054250938397E-2</v>
      </c>
      <c r="P14" s="62">
        <v>4.1503803942686694E-4</v>
      </c>
      <c r="Q14" s="47">
        <v>7.355488803635386E-3</v>
      </c>
      <c r="R14" s="47">
        <v>8.0214272195848844E-3</v>
      </c>
      <c r="S14" s="47">
        <v>4.5802891191962567E-4</v>
      </c>
      <c r="T14" s="62">
        <v>1.2469666321732194E-2</v>
      </c>
      <c r="U14" s="47">
        <v>3.4013336808380538E-3</v>
      </c>
      <c r="V14" s="47">
        <v>1.532764537525619E-2</v>
      </c>
      <c r="W14" s="62">
        <v>4.4265593561368007E-2</v>
      </c>
      <c r="X14" s="58">
        <v>2.4313153415996008E-4</v>
      </c>
      <c r="Y14" s="59">
        <v>1.8402313433687261E-3</v>
      </c>
      <c r="AC14" s="72" t="s">
        <v>26</v>
      </c>
      <c r="AD14" s="290">
        <f t="shared" si="0"/>
        <v>4.1039325077194917E-3</v>
      </c>
      <c r="AE14" s="73">
        <f t="shared" si="1"/>
        <v>8.3962514530534316E-4</v>
      </c>
      <c r="AI14" s="56" t="s">
        <v>26</v>
      </c>
      <c r="AJ14" s="543">
        <v>3.9927264887789867E-4</v>
      </c>
      <c r="AK14" s="543">
        <v>1.7356136194214439E-5</v>
      </c>
      <c r="AL14" s="543">
        <v>2.9108961999486055E-3</v>
      </c>
      <c r="AM14" s="543">
        <v>8.1986870735890861E-4</v>
      </c>
      <c r="AN14" s="543">
        <v>1.0051324733272082E-4</v>
      </c>
      <c r="AO14" s="543">
        <v>6.9325041156026641E-4</v>
      </c>
      <c r="AP14" s="543">
        <v>2.4003017522200762E-6</v>
      </c>
      <c r="AX14" s="38"/>
      <c r="AY14" s="38"/>
      <c r="AZ14" s="38"/>
      <c r="BR14" s="40"/>
      <c r="BS14" s="40"/>
      <c r="BT14" s="40"/>
      <c r="BY14" s="38"/>
      <c r="BZ14" s="38"/>
      <c r="CA14" s="38"/>
      <c r="DY14" s="40"/>
      <c r="DZ14" s="40"/>
      <c r="EA14" s="40"/>
    </row>
    <row r="15" spans="1:131" ht="12" customHeight="1">
      <c r="A15" s="679"/>
      <c r="B15" s="590" t="s">
        <v>349</v>
      </c>
      <c r="C15" s="618" t="s">
        <v>607</v>
      </c>
      <c r="E15" s="703"/>
      <c r="F15" s="703"/>
      <c r="G15" s="703"/>
      <c r="H15" s="703"/>
      <c r="I15" s="703"/>
      <c r="J15" s="703"/>
      <c r="K15" s="703"/>
      <c r="L15" s="38"/>
      <c r="M15" s="56" t="s">
        <v>26</v>
      </c>
      <c r="N15" s="315">
        <v>1.0450467930204299E-4</v>
      </c>
      <c r="O15" s="59">
        <v>1.3204583616627913E-2</v>
      </c>
      <c r="P15" s="62">
        <v>7.5461461713975824E-5</v>
      </c>
      <c r="Q15" s="47">
        <v>5.0303494857689059E-3</v>
      </c>
      <c r="R15" s="47">
        <v>4.6277464728374544E-3</v>
      </c>
      <c r="S15" s="47">
        <v>4.4891374555658625E-5</v>
      </c>
      <c r="T15" s="62">
        <v>2.4844506283603291E-3</v>
      </c>
      <c r="U15" s="47">
        <v>3.6014121326520573E-3</v>
      </c>
      <c r="V15" s="47">
        <v>1.4242502339839843E-3</v>
      </c>
      <c r="W15" s="62">
        <v>2.3108347052008881E-2</v>
      </c>
      <c r="X15" s="58">
        <v>0</v>
      </c>
      <c r="Y15" s="59">
        <v>4.0005029203667941E-5</v>
      </c>
      <c r="AC15" s="72" t="s">
        <v>27</v>
      </c>
      <c r="AD15" s="290">
        <f t="shared" si="0"/>
        <v>1.4326996292651265E-3</v>
      </c>
      <c r="AE15" s="73">
        <f t="shared" si="1"/>
        <v>6.2585397508313427E-5</v>
      </c>
      <c r="AI15" s="57" t="s">
        <v>27</v>
      </c>
      <c r="AJ15" s="544">
        <v>1.1651103191142257E-4</v>
      </c>
      <c r="AK15" s="544">
        <v>0</v>
      </c>
      <c r="AL15" s="544">
        <v>1.0107194186450899E-3</v>
      </c>
      <c r="AM15" s="544">
        <v>6.2585397508313427E-5</v>
      </c>
      <c r="AN15" s="543">
        <v>0</v>
      </c>
      <c r="AO15" s="544">
        <v>3.0546917870861393E-4</v>
      </c>
      <c r="AP15" s="544">
        <v>0</v>
      </c>
      <c r="AX15" s="38"/>
      <c r="AY15" s="38"/>
      <c r="AZ15" s="38"/>
      <c r="BR15" s="40"/>
      <c r="BS15" s="40"/>
      <c r="BT15" s="40"/>
      <c r="BY15" s="38"/>
      <c r="BZ15" s="38"/>
      <c r="CA15" s="38"/>
      <c r="DY15" s="40"/>
      <c r="DZ15" s="40"/>
      <c r="EA15" s="40"/>
    </row>
    <row r="16" spans="1:131" ht="12" customHeight="1">
      <c r="A16" s="679"/>
      <c r="B16" s="590" t="s">
        <v>181</v>
      </c>
      <c r="C16" s="596" t="s">
        <v>191</v>
      </c>
      <c r="E16" s="703"/>
      <c r="F16" s="703"/>
      <c r="G16" s="703"/>
      <c r="H16" s="703"/>
      <c r="I16" s="703"/>
      <c r="J16" s="703"/>
      <c r="K16" s="703"/>
      <c r="L16" s="38"/>
      <c r="M16" s="56" t="s">
        <v>27</v>
      </c>
      <c r="N16" s="315">
        <v>0</v>
      </c>
      <c r="O16" s="59">
        <v>3.8837010637140859E-3</v>
      </c>
      <c r="P16" s="63">
        <v>0</v>
      </c>
      <c r="Q16" s="47">
        <v>1.0507841148050606E-3</v>
      </c>
      <c r="R16" s="47">
        <v>2.3182806140119058E-3</v>
      </c>
      <c r="S16" s="47">
        <v>0</v>
      </c>
      <c r="T16" s="63">
        <v>1.8965271972216189E-4</v>
      </c>
      <c r="U16" s="47">
        <v>0</v>
      </c>
      <c r="V16" s="47">
        <v>0</v>
      </c>
      <c r="W16" s="63">
        <v>1.0182305956953798E-2</v>
      </c>
      <c r="X16" s="60">
        <v>0</v>
      </c>
      <c r="Y16" s="61">
        <v>0</v>
      </c>
      <c r="AC16" s="44" t="s">
        <v>71</v>
      </c>
      <c r="AD16" s="291">
        <f>SUM(AD7:AD15)</f>
        <v>0.38</v>
      </c>
      <c r="AE16" s="75">
        <f>SUM(AE7:AE15)</f>
        <v>0.62000000000000011</v>
      </c>
      <c r="AI16" s="44" t="s">
        <v>71</v>
      </c>
      <c r="AJ16" s="272">
        <f>SUM(AJ7:AJ15)</f>
        <v>0.03</v>
      </c>
      <c r="AK16" s="272">
        <f t="shared" ref="AK16:AP16" si="2">SUM(AK7:AK15)</f>
        <v>0.23000000000000004</v>
      </c>
      <c r="AL16" s="272">
        <f t="shared" si="2"/>
        <v>0.30000000000000004</v>
      </c>
      <c r="AM16" s="272">
        <f t="shared" si="2"/>
        <v>0.33</v>
      </c>
      <c r="AN16" s="272">
        <f t="shared" si="2"/>
        <v>1.9999999999999997E-2</v>
      </c>
      <c r="AO16" s="272">
        <f t="shared" si="2"/>
        <v>0.03</v>
      </c>
      <c r="AP16" s="272">
        <f t="shared" si="2"/>
        <v>0.06</v>
      </c>
      <c r="AX16" s="38"/>
      <c r="AY16" s="38"/>
      <c r="AZ16" s="38"/>
      <c r="BR16" s="40"/>
      <c r="BS16" s="40"/>
      <c r="BT16" s="40"/>
      <c r="BY16" s="38"/>
      <c r="BZ16" s="38"/>
      <c r="CA16" s="38"/>
      <c r="DY16" s="40"/>
      <c r="DZ16" s="40"/>
      <c r="EA16" s="40"/>
    </row>
    <row r="17" spans="1:16384" ht="12" customHeight="1">
      <c r="A17" s="679"/>
      <c r="B17" s="597" t="s">
        <v>0</v>
      </c>
      <c r="C17" s="598" t="s">
        <v>192</v>
      </c>
      <c r="E17" s="703"/>
      <c r="F17" s="703"/>
      <c r="G17" s="703"/>
      <c r="H17" s="703"/>
      <c r="I17" s="703"/>
      <c r="J17" s="703"/>
      <c r="K17" s="703"/>
      <c r="L17" s="38"/>
      <c r="M17" s="44" t="s">
        <v>71</v>
      </c>
      <c r="N17" s="284">
        <f>SUM(N8:O16)</f>
        <v>1</v>
      </c>
      <c r="O17" s="76"/>
      <c r="P17" s="45">
        <f>SUM(P8:P16)</f>
        <v>1</v>
      </c>
      <c r="Q17" s="64">
        <f>SUM(Q8:S16)</f>
        <v>1</v>
      </c>
      <c r="R17" s="79"/>
      <c r="S17" s="76"/>
      <c r="T17" s="45">
        <f>SUM(T8:T16)</f>
        <v>1</v>
      </c>
      <c r="U17" s="64">
        <f>SUM(U8:V16)</f>
        <v>0.99999999999999989</v>
      </c>
      <c r="V17" s="76"/>
      <c r="W17" s="45">
        <f>SUM(W8:W16)</f>
        <v>1</v>
      </c>
      <c r="X17" s="64">
        <f>SUM(X8:Y16)</f>
        <v>1.0000000000000002</v>
      </c>
      <c r="Y17" s="76"/>
      <c r="AM17" s="49"/>
      <c r="AN17" s="49"/>
      <c r="AO17" s="49"/>
      <c r="AP17" s="49"/>
      <c r="AX17" s="38"/>
      <c r="AY17" s="38"/>
      <c r="AZ17" s="38"/>
      <c r="BR17" s="40"/>
      <c r="BS17" s="40"/>
      <c r="BT17" s="40"/>
      <c r="BY17" s="38"/>
      <c r="BZ17" s="38"/>
      <c r="CA17" s="38"/>
      <c r="DY17" s="40"/>
      <c r="DZ17" s="40"/>
      <c r="EA17" s="40"/>
    </row>
    <row r="18" spans="1:16384" s="41" customFormat="1" ht="12" customHeight="1" thickBot="1">
      <c r="A18" s="680"/>
      <c r="B18" s="590" t="s">
        <v>182</v>
      </c>
      <c r="C18" s="595" t="s">
        <v>329</v>
      </c>
      <c r="D18" s="38"/>
      <c r="E18" s="703"/>
      <c r="F18" s="703"/>
      <c r="G18" s="703"/>
      <c r="H18" s="703"/>
      <c r="I18" s="703"/>
      <c r="J18" s="703"/>
      <c r="K18" s="703"/>
      <c r="L18" s="38"/>
      <c r="M18" s="49"/>
      <c r="N18" s="280"/>
      <c r="O18" s="49"/>
      <c r="P18" s="49"/>
      <c r="Q18" s="49"/>
      <c r="R18" s="49"/>
      <c r="S18" s="49"/>
      <c r="T18" s="49"/>
      <c r="U18" s="49"/>
      <c r="V18" s="49"/>
      <c r="W18" s="49"/>
      <c r="X18" s="49"/>
      <c r="Y18" s="49"/>
      <c r="Z18" s="49"/>
      <c r="AA18" s="49"/>
      <c r="AB18" s="49"/>
      <c r="AC18" s="49"/>
      <c r="AD18" s="286"/>
      <c r="AE18" s="49"/>
      <c r="AF18" s="49"/>
      <c r="AG18" s="49"/>
      <c r="AH18" s="49"/>
      <c r="AI18" s="49"/>
      <c r="AJ18" s="49"/>
      <c r="AK18" s="49"/>
      <c r="AL18" s="49"/>
      <c r="AM18" s="49"/>
      <c r="AN18" s="49"/>
      <c r="AO18" s="49"/>
      <c r="AP18" s="49"/>
      <c r="AQ18" s="38"/>
      <c r="AR18" s="38"/>
      <c r="AS18" s="38"/>
      <c r="AT18" s="38"/>
      <c r="AU18" s="38"/>
      <c r="AV18" s="38"/>
      <c r="AW18" s="38"/>
      <c r="AX18" s="38"/>
      <c r="AY18" s="38"/>
      <c r="AZ18" s="38"/>
      <c r="BA18" s="40"/>
      <c r="BB18" s="40"/>
      <c r="BC18" s="40"/>
      <c r="BD18" s="40"/>
      <c r="BE18" s="40"/>
      <c r="BF18" s="40"/>
      <c r="BG18" s="40"/>
      <c r="BH18" s="40"/>
      <c r="BI18" s="40"/>
      <c r="BJ18" s="40"/>
      <c r="BK18" s="40"/>
      <c r="BL18" s="40"/>
      <c r="BM18" s="40"/>
      <c r="BN18" s="40"/>
      <c r="BO18" s="40"/>
      <c r="BP18" s="40"/>
      <c r="BQ18" s="40"/>
      <c r="BR18" s="40"/>
      <c r="BS18" s="40"/>
      <c r="BT18" s="40"/>
      <c r="BU18" s="38"/>
      <c r="BV18" s="38"/>
      <c r="BW18" s="38"/>
      <c r="BX18" s="38"/>
      <c r="BY18" s="38"/>
      <c r="BZ18" s="38"/>
      <c r="CA18" s="38"/>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c r="IW18" s="38"/>
      <c r="IX18" s="38"/>
      <c r="IY18" s="38"/>
      <c r="IZ18" s="38"/>
      <c r="JA18" s="38"/>
      <c r="JB18" s="38"/>
      <c r="JC18" s="38"/>
      <c r="JD18" s="38"/>
      <c r="JE18" s="38"/>
      <c r="JF18" s="38"/>
      <c r="JG18" s="38"/>
      <c r="JH18" s="38"/>
      <c r="JI18" s="38"/>
      <c r="JJ18" s="38"/>
      <c r="JK18" s="38"/>
      <c r="JL18" s="38"/>
      <c r="JM18" s="38"/>
      <c r="JN18" s="38"/>
      <c r="JO18" s="38"/>
      <c r="JP18" s="38"/>
      <c r="JQ18" s="38"/>
      <c r="JR18" s="38"/>
      <c r="JS18" s="38"/>
      <c r="JT18" s="38"/>
      <c r="JU18" s="38"/>
      <c r="JV18" s="38"/>
      <c r="JW18" s="38"/>
      <c r="JX18" s="38"/>
      <c r="JY18" s="38"/>
      <c r="JZ18" s="38"/>
      <c r="KA18" s="38"/>
      <c r="KB18" s="38"/>
      <c r="KC18" s="38"/>
      <c r="KD18" s="38"/>
      <c r="KE18" s="38"/>
      <c r="KF18" s="38"/>
      <c r="KG18" s="38"/>
      <c r="KH18" s="38"/>
      <c r="KI18" s="38"/>
      <c r="KJ18" s="38"/>
      <c r="KK18" s="38"/>
      <c r="KL18" s="38"/>
      <c r="KM18" s="38"/>
      <c r="KN18" s="38"/>
      <c r="KO18" s="38"/>
      <c r="KP18" s="38"/>
      <c r="KQ18" s="38"/>
      <c r="KR18" s="38"/>
      <c r="KS18" s="38"/>
      <c r="KT18" s="38"/>
      <c r="KU18" s="38"/>
      <c r="KV18" s="38"/>
      <c r="KW18" s="38"/>
      <c r="KX18" s="38"/>
      <c r="KY18" s="38"/>
      <c r="KZ18" s="38"/>
      <c r="LA18" s="38"/>
      <c r="LB18" s="38"/>
      <c r="LC18" s="38"/>
      <c r="LD18" s="38"/>
      <c r="LE18" s="38"/>
      <c r="LF18" s="38"/>
      <c r="LG18" s="38"/>
      <c r="LH18" s="38"/>
      <c r="LI18" s="38"/>
      <c r="LJ18" s="38"/>
      <c r="LK18" s="38"/>
      <c r="LL18" s="38"/>
      <c r="LM18" s="38"/>
      <c r="LN18" s="38"/>
      <c r="LO18" s="38"/>
      <c r="LP18" s="38"/>
      <c r="LQ18" s="38"/>
      <c r="LR18" s="38"/>
      <c r="LS18" s="38"/>
      <c r="LT18" s="38"/>
      <c r="LU18" s="38"/>
      <c r="LV18" s="38"/>
      <c r="LW18" s="38"/>
      <c r="LX18" s="38"/>
      <c r="LY18" s="38"/>
      <c r="LZ18" s="38"/>
      <c r="MA18" s="38"/>
      <c r="MB18" s="38"/>
      <c r="MC18" s="38"/>
      <c r="MD18" s="38"/>
      <c r="ME18" s="38"/>
      <c r="MF18" s="38"/>
      <c r="MG18" s="38"/>
      <c r="MH18" s="38"/>
      <c r="MI18" s="38"/>
      <c r="MJ18" s="38"/>
      <c r="MK18" s="38"/>
      <c r="ML18" s="38"/>
      <c r="MM18" s="38"/>
      <c r="MN18" s="38"/>
      <c r="MO18" s="38"/>
      <c r="MP18" s="38"/>
      <c r="MQ18" s="38"/>
      <c r="MR18" s="38"/>
      <c r="MS18" s="38"/>
      <c r="MT18" s="38"/>
      <c r="MU18" s="38"/>
      <c r="MV18" s="38"/>
      <c r="MW18" s="38"/>
      <c r="MX18" s="38"/>
      <c r="MY18" s="38"/>
      <c r="MZ18" s="38"/>
      <c r="NA18" s="38"/>
      <c r="NB18" s="38"/>
      <c r="NC18" s="38"/>
      <c r="ND18" s="38"/>
      <c r="NE18" s="38"/>
      <c r="NF18" s="38"/>
      <c r="NG18" s="38"/>
      <c r="NH18" s="38"/>
      <c r="NI18" s="38"/>
      <c r="NJ18" s="38"/>
      <c r="NK18" s="38"/>
      <c r="NL18" s="38"/>
      <c r="NM18" s="38"/>
      <c r="NN18" s="38"/>
      <c r="NO18" s="38"/>
      <c r="NP18" s="38"/>
      <c r="NQ18" s="38"/>
      <c r="NR18" s="38"/>
      <c r="NS18" s="38"/>
      <c r="NT18" s="38"/>
      <c r="NU18" s="38"/>
      <c r="NV18" s="38"/>
      <c r="NW18" s="38"/>
      <c r="NX18" s="38"/>
      <c r="NY18" s="38"/>
      <c r="NZ18" s="38"/>
      <c r="OA18" s="38"/>
      <c r="OB18" s="38"/>
      <c r="OC18" s="38"/>
      <c r="OD18" s="38"/>
      <c r="OE18" s="38"/>
      <c r="OF18" s="38"/>
      <c r="OG18" s="38"/>
      <c r="OH18" s="38"/>
      <c r="OI18" s="38"/>
      <c r="OJ18" s="38"/>
      <c r="OK18" s="38"/>
      <c r="OL18" s="38"/>
      <c r="OM18" s="38"/>
      <c r="ON18" s="38"/>
      <c r="OO18" s="38"/>
      <c r="OP18" s="38"/>
      <c r="OQ18" s="38"/>
      <c r="OR18" s="38"/>
      <c r="OS18" s="38"/>
      <c r="OT18" s="38"/>
      <c r="OU18" s="38"/>
      <c r="OV18" s="38"/>
      <c r="OW18" s="38"/>
      <c r="OX18" s="38"/>
      <c r="OY18" s="38"/>
      <c r="OZ18" s="38"/>
      <c r="PA18" s="38"/>
      <c r="PB18" s="38"/>
      <c r="PC18" s="38"/>
      <c r="PD18" s="38"/>
      <c r="PE18" s="38"/>
      <c r="PF18" s="38"/>
      <c r="PG18" s="38"/>
      <c r="PH18" s="38"/>
      <c r="PI18" s="38"/>
      <c r="PJ18" s="38"/>
      <c r="PK18" s="38"/>
      <c r="PL18" s="38"/>
      <c r="PM18" s="38"/>
      <c r="PN18" s="38"/>
      <c r="PO18" s="38"/>
      <c r="PP18" s="38"/>
      <c r="PQ18" s="38"/>
      <c r="PR18" s="38"/>
      <c r="PS18" s="38"/>
      <c r="PT18" s="38"/>
      <c r="PU18" s="38"/>
      <c r="PV18" s="38"/>
      <c r="PW18" s="38"/>
      <c r="PX18" s="38"/>
      <c r="PY18" s="38"/>
      <c r="PZ18" s="38"/>
      <c r="QA18" s="38"/>
      <c r="QB18" s="38"/>
      <c r="QC18" s="38"/>
      <c r="QD18" s="38"/>
      <c r="QE18" s="38"/>
      <c r="QF18" s="38"/>
      <c r="QG18" s="38"/>
      <c r="QH18" s="38"/>
      <c r="QI18" s="38"/>
      <c r="QJ18" s="38"/>
      <c r="QK18" s="38"/>
      <c r="QL18" s="38"/>
      <c r="QM18" s="38"/>
      <c r="QN18" s="38"/>
      <c r="QO18" s="38"/>
      <c r="QP18" s="38"/>
      <c r="QQ18" s="38"/>
      <c r="QR18" s="38"/>
      <c r="QS18" s="38"/>
      <c r="QT18" s="38"/>
      <c r="QU18" s="38"/>
      <c r="QV18" s="38"/>
      <c r="QW18" s="38"/>
      <c r="QX18" s="38"/>
      <c r="QY18" s="38"/>
      <c r="QZ18" s="38"/>
      <c r="RA18" s="38"/>
      <c r="RB18" s="38"/>
      <c r="RC18" s="38"/>
      <c r="RD18" s="38"/>
      <c r="RE18" s="38"/>
      <c r="RF18" s="38"/>
      <c r="RG18" s="38"/>
      <c r="RH18" s="38"/>
      <c r="RI18" s="38"/>
      <c r="RJ18" s="38"/>
      <c r="RK18" s="38"/>
      <c r="RL18" s="38"/>
      <c r="RM18" s="38"/>
      <c r="RN18" s="38"/>
      <c r="RO18" s="38"/>
      <c r="RP18" s="38"/>
      <c r="RQ18" s="38"/>
      <c r="RR18" s="38"/>
      <c r="RS18" s="38"/>
      <c r="RT18" s="38"/>
      <c r="RU18" s="38"/>
      <c r="RV18" s="38"/>
      <c r="RW18" s="38"/>
      <c r="RX18" s="38"/>
      <c r="RY18" s="38"/>
      <c r="RZ18" s="38"/>
      <c r="SA18" s="38"/>
      <c r="SB18" s="38"/>
      <c r="SC18" s="38"/>
      <c r="SD18" s="38"/>
      <c r="SE18" s="38"/>
      <c r="SF18" s="38"/>
      <c r="SG18" s="38"/>
      <c r="SH18" s="38"/>
      <c r="SI18" s="38"/>
      <c r="SJ18" s="38"/>
      <c r="SK18" s="38"/>
      <c r="SL18" s="38"/>
      <c r="SM18" s="38"/>
      <c r="SN18" s="38"/>
      <c r="SO18" s="38"/>
      <c r="SP18" s="38"/>
      <c r="SQ18" s="38"/>
      <c r="SR18" s="38"/>
      <c r="SS18" s="38"/>
      <c r="ST18" s="38"/>
      <c r="SU18" s="38"/>
      <c r="SV18" s="38"/>
      <c r="SW18" s="38"/>
      <c r="SX18" s="38"/>
      <c r="SY18" s="38"/>
      <c r="SZ18" s="38"/>
      <c r="TA18" s="38"/>
      <c r="TB18" s="38"/>
      <c r="TC18" s="38"/>
      <c r="TD18" s="38"/>
      <c r="TE18" s="38"/>
      <c r="TF18" s="38"/>
      <c r="TG18" s="38"/>
      <c r="TH18" s="38"/>
      <c r="TI18" s="38"/>
      <c r="TJ18" s="38"/>
      <c r="TK18" s="38"/>
      <c r="TL18" s="38"/>
      <c r="TM18" s="38"/>
      <c r="TN18" s="38"/>
      <c r="TO18" s="38"/>
      <c r="TP18" s="38"/>
      <c r="TQ18" s="38"/>
      <c r="TR18" s="38"/>
      <c r="TS18" s="38"/>
      <c r="TT18" s="38"/>
      <c r="TU18" s="38"/>
      <c r="TV18" s="38"/>
      <c r="TW18" s="38"/>
      <c r="TX18" s="38"/>
      <c r="TY18" s="38"/>
      <c r="TZ18" s="38"/>
      <c r="UA18" s="38"/>
      <c r="UB18" s="38"/>
      <c r="UC18" s="38"/>
      <c r="UD18" s="38"/>
      <c r="UE18" s="38"/>
      <c r="UF18" s="38"/>
      <c r="UG18" s="38"/>
      <c r="UH18" s="38"/>
      <c r="UI18" s="38"/>
      <c r="UJ18" s="38"/>
      <c r="UK18" s="38"/>
      <c r="UL18" s="38"/>
      <c r="UM18" s="38"/>
      <c r="UN18" s="38"/>
      <c r="UO18" s="38"/>
      <c r="UP18" s="38"/>
      <c r="UQ18" s="38"/>
      <c r="UR18" s="38"/>
      <c r="US18" s="38"/>
      <c r="UT18" s="38"/>
      <c r="UU18" s="38"/>
      <c r="UV18" s="38"/>
      <c r="UW18" s="38"/>
      <c r="UX18" s="38"/>
      <c r="UY18" s="38"/>
      <c r="UZ18" s="38"/>
      <c r="VA18" s="38"/>
      <c r="VB18" s="38"/>
      <c r="VC18" s="38"/>
      <c r="VD18" s="38"/>
      <c r="VE18" s="38"/>
      <c r="VF18" s="38"/>
      <c r="VG18" s="38"/>
      <c r="VH18" s="38"/>
      <c r="VI18" s="38"/>
      <c r="VJ18" s="38"/>
      <c r="VK18" s="38"/>
      <c r="VL18" s="38"/>
      <c r="VM18" s="38"/>
      <c r="VN18" s="38"/>
      <c r="VO18" s="38"/>
      <c r="VP18" s="38"/>
      <c r="VQ18" s="38"/>
      <c r="VR18" s="38"/>
      <c r="VS18" s="38"/>
      <c r="VT18" s="38"/>
      <c r="VU18" s="38"/>
      <c r="VV18" s="38"/>
      <c r="VW18" s="38"/>
      <c r="VX18" s="38"/>
      <c r="VY18" s="38"/>
      <c r="VZ18" s="38"/>
      <c r="WA18" s="38"/>
      <c r="WB18" s="38"/>
      <c r="WC18" s="38"/>
      <c r="WD18" s="38"/>
      <c r="WE18" s="38"/>
      <c r="WF18" s="38"/>
      <c r="WG18" s="38"/>
      <c r="WH18" s="38"/>
      <c r="WI18" s="38"/>
      <c r="WJ18" s="38"/>
      <c r="WK18" s="38"/>
      <c r="WL18" s="38"/>
      <c r="WM18" s="38"/>
      <c r="WN18" s="38"/>
      <c r="WO18" s="38"/>
      <c r="WP18" s="38"/>
      <c r="WQ18" s="38"/>
      <c r="WR18" s="38"/>
      <c r="WS18" s="38"/>
      <c r="WT18" s="38"/>
      <c r="WU18" s="38"/>
      <c r="WV18" s="38"/>
      <c r="WW18" s="38"/>
      <c r="WX18" s="38"/>
      <c r="WY18" s="38"/>
      <c r="WZ18" s="38"/>
      <c r="XA18" s="38"/>
      <c r="XB18" s="38"/>
      <c r="XC18" s="38"/>
      <c r="XD18" s="38"/>
      <c r="XE18" s="38"/>
      <c r="XF18" s="38"/>
      <c r="XG18" s="38"/>
      <c r="XH18" s="38"/>
      <c r="XI18" s="38"/>
      <c r="XJ18" s="38"/>
      <c r="XK18" s="38"/>
      <c r="XL18" s="38"/>
      <c r="XM18" s="38"/>
      <c r="XN18" s="38"/>
      <c r="XO18" s="38"/>
      <c r="XP18" s="38"/>
      <c r="XQ18" s="38"/>
      <c r="XR18" s="38"/>
      <c r="XS18" s="38"/>
      <c r="XT18" s="38"/>
      <c r="XU18" s="38"/>
      <c r="XV18" s="38"/>
      <c r="XW18" s="38"/>
      <c r="XX18" s="38"/>
      <c r="XY18" s="38"/>
      <c r="XZ18" s="38"/>
      <c r="YA18" s="38"/>
      <c r="YB18" s="38"/>
      <c r="YC18" s="38"/>
      <c r="YD18" s="38"/>
      <c r="YE18" s="38"/>
      <c r="YF18" s="38"/>
      <c r="YG18" s="38"/>
      <c r="YH18" s="38"/>
      <c r="YI18" s="38"/>
      <c r="YJ18" s="38"/>
      <c r="YK18" s="38"/>
      <c r="YL18" s="38"/>
      <c r="YM18" s="38"/>
      <c r="YN18" s="38"/>
      <c r="YO18" s="38"/>
      <c r="YP18" s="38"/>
      <c r="YQ18" s="38"/>
      <c r="YR18" s="38"/>
      <c r="YS18" s="38"/>
      <c r="YT18" s="38"/>
      <c r="YU18" s="38"/>
      <c r="YV18" s="38"/>
      <c r="YW18" s="38"/>
      <c r="YX18" s="38"/>
      <c r="YY18" s="38"/>
      <c r="YZ18" s="38"/>
      <c r="ZA18" s="38"/>
      <c r="ZB18" s="38"/>
      <c r="ZC18" s="38"/>
      <c r="ZD18" s="38"/>
      <c r="ZE18" s="38"/>
      <c r="ZF18" s="38"/>
      <c r="ZG18" s="38"/>
      <c r="ZH18" s="38"/>
      <c r="ZI18" s="38"/>
      <c r="ZJ18" s="38"/>
      <c r="ZK18" s="38"/>
      <c r="ZL18" s="38"/>
      <c r="ZM18" s="38"/>
      <c r="ZN18" s="38"/>
      <c r="ZO18" s="38"/>
      <c r="ZP18" s="38"/>
      <c r="ZQ18" s="38"/>
      <c r="ZR18" s="38"/>
      <c r="ZS18" s="38"/>
      <c r="ZT18" s="38"/>
      <c r="ZU18" s="38"/>
      <c r="ZV18" s="38"/>
      <c r="ZW18" s="38"/>
      <c r="ZX18" s="38"/>
      <c r="ZY18" s="38"/>
      <c r="ZZ18" s="38"/>
      <c r="AAA18" s="38"/>
      <c r="AAB18" s="38"/>
      <c r="AAC18" s="38"/>
      <c r="AAD18" s="38"/>
      <c r="AAE18" s="38"/>
      <c r="AAF18" s="38"/>
      <c r="AAG18" s="38"/>
      <c r="AAH18" s="38"/>
      <c r="AAI18" s="38"/>
      <c r="AAJ18" s="38"/>
      <c r="AAK18" s="38"/>
      <c r="AAL18" s="38"/>
      <c r="AAM18" s="38"/>
      <c r="AAN18" s="38"/>
      <c r="AAO18" s="38"/>
      <c r="AAP18" s="38"/>
      <c r="AAQ18" s="38"/>
      <c r="AAR18" s="38"/>
      <c r="AAS18" s="38"/>
      <c r="AAT18" s="38"/>
      <c r="AAU18" s="38"/>
      <c r="AAV18" s="38"/>
      <c r="AAW18" s="38"/>
      <c r="AAX18" s="38"/>
      <c r="AAY18" s="38"/>
      <c r="AAZ18" s="38"/>
      <c r="ABA18" s="38"/>
      <c r="ABB18" s="38"/>
      <c r="ABC18" s="38"/>
      <c r="ABD18" s="38"/>
      <c r="ABE18" s="38"/>
      <c r="ABF18" s="38"/>
      <c r="ABG18" s="38"/>
      <c r="ABH18" s="38"/>
      <c r="ABI18" s="38"/>
      <c r="ABJ18" s="38"/>
      <c r="ABK18" s="38"/>
      <c r="ABL18" s="38"/>
      <c r="ABM18" s="38"/>
      <c r="ABN18" s="38"/>
      <c r="ABO18" s="38"/>
      <c r="ABP18" s="38"/>
      <c r="ABQ18" s="38"/>
      <c r="ABR18" s="38"/>
      <c r="ABS18" s="38"/>
      <c r="ABT18" s="38"/>
      <c r="ABU18" s="38"/>
      <c r="ABV18" s="38"/>
      <c r="ABW18" s="38"/>
      <c r="ABX18" s="38"/>
      <c r="ABY18" s="38"/>
      <c r="ABZ18" s="38"/>
      <c r="ACA18" s="38"/>
      <c r="ACB18" s="38"/>
      <c r="ACC18" s="38"/>
      <c r="ACD18" s="38"/>
      <c r="ACE18" s="38"/>
      <c r="ACF18" s="38"/>
      <c r="ACG18" s="38"/>
      <c r="ACH18" s="38"/>
      <c r="ACI18" s="38"/>
      <c r="ACJ18" s="38"/>
      <c r="ACK18" s="38"/>
      <c r="ACL18" s="38"/>
      <c r="ACM18" s="38"/>
      <c r="ACN18" s="38"/>
      <c r="ACO18" s="38"/>
      <c r="ACP18" s="38"/>
      <c r="ACQ18" s="38"/>
      <c r="ACR18" s="38"/>
      <c r="ACS18" s="38"/>
      <c r="ACT18" s="38"/>
      <c r="ACU18" s="38"/>
      <c r="ACV18" s="38"/>
      <c r="ACW18" s="38"/>
      <c r="ACX18" s="38"/>
      <c r="ACY18" s="38"/>
      <c r="ACZ18" s="38"/>
      <c r="ADA18" s="38"/>
      <c r="ADB18" s="38"/>
      <c r="ADC18" s="38"/>
      <c r="ADD18" s="38"/>
      <c r="ADE18" s="38"/>
      <c r="ADF18" s="38"/>
      <c r="ADG18" s="38"/>
      <c r="ADH18" s="38"/>
      <c r="ADI18" s="38"/>
      <c r="ADJ18" s="38"/>
      <c r="ADK18" s="38"/>
      <c r="ADL18" s="38"/>
      <c r="ADM18" s="38"/>
      <c r="ADN18" s="38"/>
      <c r="ADO18" s="38"/>
      <c r="ADP18" s="38"/>
      <c r="ADQ18" s="38"/>
      <c r="ADR18" s="38"/>
      <c r="ADS18" s="38"/>
      <c r="ADT18" s="38"/>
      <c r="ADU18" s="38"/>
      <c r="ADV18" s="38"/>
      <c r="ADW18" s="38"/>
      <c r="ADX18" s="38"/>
      <c r="ADY18" s="38"/>
      <c r="ADZ18" s="38"/>
      <c r="AEA18" s="38"/>
      <c r="AEB18" s="38"/>
      <c r="AEC18" s="38"/>
      <c r="AED18" s="38"/>
      <c r="AEE18" s="38"/>
      <c r="AEF18" s="38"/>
      <c r="AEG18" s="38"/>
      <c r="AEH18" s="38"/>
      <c r="AEI18" s="38"/>
      <c r="AEJ18" s="38"/>
      <c r="AEK18" s="38"/>
      <c r="AEL18" s="38"/>
      <c r="AEM18" s="38"/>
      <c r="AEN18" s="38"/>
      <c r="AEO18" s="38"/>
      <c r="AEP18" s="38"/>
      <c r="AEQ18" s="38"/>
      <c r="AER18" s="38"/>
      <c r="AES18" s="38"/>
      <c r="AET18" s="38"/>
      <c r="AEU18" s="38"/>
      <c r="AEV18" s="38"/>
      <c r="AEW18" s="38"/>
      <c r="AEX18" s="38"/>
      <c r="AEY18" s="38"/>
      <c r="AEZ18" s="38"/>
      <c r="AFA18" s="38"/>
      <c r="AFB18" s="38"/>
      <c r="AFC18" s="38"/>
      <c r="AFD18" s="38"/>
      <c r="AFE18" s="38"/>
      <c r="AFF18" s="38"/>
      <c r="AFG18" s="38"/>
      <c r="AFH18" s="38"/>
      <c r="AFI18" s="38"/>
      <c r="AFJ18" s="38"/>
      <c r="AFK18" s="38"/>
      <c r="AFL18" s="38"/>
      <c r="AFM18" s="38"/>
      <c r="AFN18" s="38"/>
      <c r="AFO18" s="38"/>
      <c r="AFP18" s="38"/>
      <c r="AFQ18" s="38"/>
      <c r="AFR18" s="38"/>
      <c r="AFS18" s="38"/>
      <c r="AFT18" s="38"/>
      <c r="AFU18" s="38"/>
      <c r="AFV18" s="38"/>
      <c r="AFW18" s="38"/>
      <c r="AFX18" s="38"/>
      <c r="AFY18" s="38"/>
      <c r="AFZ18" s="38"/>
      <c r="AGA18" s="38"/>
      <c r="AGB18" s="38"/>
      <c r="AGC18" s="38"/>
      <c r="AGD18" s="38"/>
      <c r="AGE18" s="38"/>
      <c r="AGF18" s="38"/>
      <c r="AGG18" s="38"/>
      <c r="AGH18" s="38"/>
      <c r="AGI18" s="38"/>
      <c r="AGJ18" s="38"/>
      <c r="AGK18" s="38"/>
      <c r="AGL18" s="38"/>
      <c r="AGM18" s="38"/>
      <c r="AGN18" s="38"/>
      <c r="AGO18" s="38"/>
      <c r="AGP18" s="38"/>
      <c r="AGQ18" s="38"/>
      <c r="AGR18" s="38"/>
      <c r="AGS18" s="38"/>
      <c r="AGT18" s="38"/>
      <c r="AGU18" s="38"/>
      <c r="AGV18" s="38"/>
      <c r="AGW18" s="38"/>
      <c r="AGX18" s="38"/>
      <c r="AGY18" s="38"/>
      <c r="AGZ18" s="38"/>
      <c r="AHA18" s="38"/>
      <c r="AHB18" s="38"/>
      <c r="AHC18" s="38"/>
      <c r="AHD18" s="38"/>
      <c r="AHE18" s="38"/>
      <c r="AHF18" s="38"/>
      <c r="AHG18" s="38"/>
      <c r="AHH18" s="38"/>
      <c r="AHI18" s="38"/>
      <c r="AHJ18" s="38"/>
      <c r="AHK18" s="38"/>
      <c r="AHL18" s="38"/>
      <c r="AHM18" s="38"/>
      <c r="AHN18" s="38"/>
      <c r="AHO18" s="38"/>
      <c r="AHP18" s="38"/>
      <c r="AHQ18" s="38"/>
      <c r="AHR18" s="38"/>
      <c r="AHS18" s="38"/>
      <c r="AHT18" s="38"/>
      <c r="AHU18" s="38"/>
      <c r="AHV18" s="38"/>
      <c r="AHW18" s="38"/>
      <c r="AHX18" s="38"/>
      <c r="AHY18" s="38"/>
      <c r="AHZ18" s="38"/>
      <c r="AIA18" s="38"/>
      <c r="AIB18" s="38"/>
      <c r="AIC18" s="38"/>
      <c r="AID18" s="38"/>
      <c r="AIE18" s="38"/>
      <c r="AIF18" s="38"/>
      <c r="AIG18" s="38"/>
      <c r="AIH18" s="38"/>
      <c r="AII18" s="38"/>
      <c r="AIJ18" s="38"/>
      <c r="AIK18" s="38"/>
      <c r="AIL18" s="38"/>
      <c r="AIM18" s="38"/>
      <c r="AIN18" s="38"/>
      <c r="AIO18" s="38"/>
      <c r="AIP18" s="38"/>
      <c r="AIQ18" s="38"/>
      <c r="AIR18" s="38"/>
      <c r="AIS18" s="38"/>
      <c r="AIT18" s="38"/>
      <c r="AIU18" s="38"/>
      <c r="AIV18" s="38"/>
      <c r="AIW18" s="38"/>
      <c r="AIX18" s="38"/>
      <c r="AIY18" s="38"/>
      <c r="AIZ18" s="38"/>
      <c r="AJA18" s="38"/>
      <c r="AJB18" s="38"/>
      <c r="AJC18" s="38"/>
      <c r="AJD18" s="38"/>
      <c r="AJE18" s="38"/>
      <c r="AJF18" s="38"/>
      <c r="AJG18" s="38"/>
      <c r="AJH18" s="38"/>
      <c r="AJI18" s="38"/>
      <c r="AJJ18" s="38"/>
      <c r="AJK18" s="38"/>
      <c r="AJL18" s="38"/>
      <c r="AJM18" s="38"/>
      <c r="AJN18" s="38"/>
      <c r="AJO18" s="38"/>
      <c r="AJP18" s="38"/>
      <c r="AJQ18" s="38"/>
      <c r="AJR18" s="38"/>
      <c r="AJS18" s="38"/>
      <c r="AJT18" s="38"/>
      <c r="AJU18" s="38"/>
      <c r="AJV18" s="38"/>
      <c r="AJW18" s="38"/>
      <c r="AJX18" s="38"/>
      <c r="AJY18" s="38"/>
      <c r="AJZ18" s="38"/>
      <c r="AKA18" s="38"/>
      <c r="AKB18" s="38"/>
      <c r="AKC18" s="38"/>
      <c r="AKD18" s="38"/>
      <c r="AKE18" s="38"/>
      <c r="AKF18" s="38"/>
      <c r="AKG18" s="38"/>
      <c r="AKH18" s="38"/>
      <c r="AKI18" s="38"/>
      <c r="AKJ18" s="38"/>
      <c r="AKK18" s="38"/>
      <c r="AKL18" s="38"/>
      <c r="AKM18" s="38"/>
      <c r="AKN18" s="38"/>
      <c r="AKO18" s="38"/>
      <c r="AKP18" s="38"/>
      <c r="AKQ18" s="38"/>
      <c r="AKR18" s="38"/>
      <c r="AKS18" s="38"/>
      <c r="AKT18" s="38"/>
      <c r="AKU18" s="38"/>
      <c r="AKV18" s="38"/>
      <c r="AKW18" s="38"/>
      <c r="AKX18" s="38"/>
      <c r="AKY18" s="38"/>
      <c r="AKZ18" s="38"/>
      <c r="ALA18" s="38"/>
      <c r="ALB18" s="38"/>
      <c r="ALC18" s="38"/>
      <c r="ALD18" s="38"/>
      <c r="ALE18" s="38"/>
      <c r="ALF18" s="38"/>
      <c r="ALG18" s="38"/>
      <c r="ALH18" s="38"/>
      <c r="ALI18" s="38"/>
      <c r="ALJ18" s="38"/>
      <c r="ALK18" s="38"/>
      <c r="ALL18" s="38"/>
      <c r="ALM18" s="38"/>
      <c r="ALN18" s="38"/>
      <c r="ALO18" s="38"/>
      <c r="ALP18" s="38"/>
      <c r="ALQ18" s="38"/>
      <c r="ALR18" s="38"/>
      <c r="ALS18" s="38"/>
      <c r="ALT18" s="38"/>
      <c r="ALU18" s="38"/>
      <c r="ALV18" s="38"/>
      <c r="ALW18" s="38"/>
      <c r="ALX18" s="38"/>
      <c r="ALY18" s="38"/>
      <c r="ALZ18" s="38"/>
      <c r="AMA18" s="38"/>
      <c r="AMB18" s="38"/>
      <c r="AMC18" s="38"/>
      <c r="AMD18" s="38"/>
      <c r="AME18" s="38"/>
      <c r="AMF18" s="38"/>
      <c r="AMG18" s="38"/>
      <c r="AMH18" s="38"/>
      <c r="AMI18" s="38"/>
      <c r="AMJ18" s="38"/>
      <c r="AMK18" s="38"/>
      <c r="AML18" s="38"/>
      <c r="AMM18" s="38"/>
      <c r="AMN18" s="38"/>
      <c r="AMO18" s="38"/>
      <c r="AMP18" s="38"/>
      <c r="AMQ18" s="38"/>
      <c r="AMR18" s="38"/>
      <c r="AMS18" s="38"/>
      <c r="AMT18" s="38"/>
      <c r="AMU18" s="38"/>
      <c r="AMV18" s="38"/>
      <c r="AMW18" s="38"/>
      <c r="AMX18" s="38"/>
      <c r="AMY18" s="38"/>
      <c r="AMZ18" s="38"/>
      <c r="ANA18" s="38"/>
      <c r="ANB18" s="38"/>
      <c r="ANC18" s="38"/>
      <c r="AND18" s="38"/>
      <c r="ANE18" s="38"/>
      <c r="ANF18" s="38"/>
      <c r="ANG18" s="38"/>
      <c r="ANH18" s="38"/>
      <c r="ANI18" s="38"/>
      <c r="ANJ18" s="38"/>
      <c r="ANK18" s="38"/>
      <c r="ANL18" s="38"/>
      <c r="ANM18" s="38"/>
      <c r="ANN18" s="38"/>
      <c r="ANO18" s="38"/>
      <c r="ANP18" s="38"/>
      <c r="ANQ18" s="38"/>
      <c r="ANR18" s="38"/>
      <c r="ANS18" s="38"/>
      <c r="ANT18" s="38"/>
      <c r="ANU18" s="38"/>
      <c r="ANV18" s="38"/>
      <c r="ANW18" s="38"/>
      <c r="ANX18" s="38"/>
      <c r="ANY18" s="38"/>
      <c r="ANZ18" s="38"/>
      <c r="AOA18" s="38"/>
      <c r="AOB18" s="38"/>
      <c r="AOC18" s="38"/>
      <c r="AOD18" s="38"/>
      <c r="AOE18" s="38"/>
      <c r="AOF18" s="38"/>
      <c r="AOG18" s="38"/>
      <c r="AOH18" s="38"/>
      <c r="AOI18" s="38"/>
      <c r="AOJ18" s="38"/>
      <c r="AOK18" s="38"/>
      <c r="AOL18" s="38"/>
      <c r="AOM18" s="38"/>
      <c r="AON18" s="38"/>
      <c r="AOO18" s="38"/>
      <c r="AOP18" s="38"/>
      <c r="AOQ18" s="38"/>
      <c r="AOR18" s="38"/>
      <c r="AOS18" s="38"/>
      <c r="AOT18" s="38"/>
      <c r="AOU18" s="38"/>
      <c r="AOV18" s="38"/>
      <c r="AOW18" s="38"/>
      <c r="AOX18" s="38"/>
      <c r="AOY18" s="38"/>
      <c r="AOZ18" s="38"/>
      <c r="APA18" s="38"/>
      <c r="APB18" s="38"/>
      <c r="APC18" s="38"/>
      <c r="APD18" s="38"/>
      <c r="APE18" s="38"/>
      <c r="APF18" s="38"/>
      <c r="APG18" s="38"/>
      <c r="APH18" s="38"/>
      <c r="API18" s="38"/>
      <c r="APJ18" s="38"/>
      <c r="APK18" s="38"/>
      <c r="APL18" s="38"/>
      <c r="APM18" s="38"/>
      <c r="APN18" s="38"/>
      <c r="APO18" s="38"/>
      <c r="APP18" s="38"/>
      <c r="APQ18" s="38"/>
      <c r="APR18" s="38"/>
      <c r="APS18" s="38"/>
      <c r="APT18" s="38"/>
      <c r="APU18" s="38"/>
      <c r="APV18" s="38"/>
      <c r="APW18" s="38"/>
      <c r="APX18" s="38"/>
      <c r="APY18" s="38"/>
      <c r="APZ18" s="38"/>
      <c r="AQA18" s="38"/>
      <c r="AQB18" s="38"/>
      <c r="AQC18" s="38"/>
      <c r="AQD18" s="38"/>
      <c r="AQE18" s="38"/>
      <c r="AQF18" s="38"/>
      <c r="AQG18" s="38"/>
      <c r="AQH18" s="38"/>
      <c r="AQI18" s="38"/>
      <c r="AQJ18" s="38"/>
      <c r="AQK18" s="38"/>
      <c r="AQL18" s="38"/>
      <c r="AQM18" s="38"/>
      <c r="AQN18" s="38"/>
      <c r="AQO18" s="38"/>
      <c r="AQP18" s="38"/>
      <c r="AQQ18" s="38"/>
      <c r="AQR18" s="38"/>
      <c r="AQS18" s="38"/>
      <c r="AQT18" s="38"/>
      <c r="AQU18" s="38"/>
      <c r="AQV18" s="38"/>
      <c r="AQW18" s="38"/>
      <c r="AQX18" s="38"/>
      <c r="AQY18" s="38"/>
      <c r="AQZ18" s="38"/>
      <c r="ARA18" s="38"/>
      <c r="ARB18" s="38"/>
      <c r="ARC18" s="38"/>
      <c r="ARD18" s="38"/>
      <c r="ARE18" s="38"/>
      <c r="ARF18" s="38"/>
      <c r="ARG18" s="38"/>
      <c r="ARH18" s="38"/>
      <c r="ARI18" s="38"/>
      <c r="ARJ18" s="38"/>
      <c r="ARK18" s="38"/>
      <c r="ARL18" s="38"/>
      <c r="ARM18" s="38"/>
      <c r="ARN18" s="38"/>
      <c r="ARO18" s="38"/>
      <c r="ARP18" s="38"/>
      <c r="ARQ18" s="38"/>
      <c r="ARR18" s="38"/>
      <c r="ARS18" s="38"/>
      <c r="ART18" s="38"/>
      <c r="ARU18" s="38"/>
      <c r="ARV18" s="38"/>
      <c r="ARW18" s="38"/>
      <c r="ARX18" s="38"/>
      <c r="ARY18" s="38"/>
      <c r="ARZ18" s="38"/>
      <c r="ASA18" s="38"/>
      <c r="ASB18" s="38"/>
      <c r="ASC18" s="38"/>
      <c r="ASD18" s="38"/>
      <c r="ASE18" s="38"/>
      <c r="ASF18" s="38"/>
      <c r="ASG18" s="38"/>
      <c r="ASH18" s="38"/>
      <c r="ASI18" s="38"/>
      <c r="ASJ18" s="38"/>
      <c r="ASK18" s="38"/>
      <c r="ASL18" s="38"/>
      <c r="ASM18" s="38"/>
      <c r="ASN18" s="38"/>
      <c r="ASO18" s="38"/>
      <c r="ASP18" s="38"/>
      <c r="ASQ18" s="38"/>
      <c r="ASR18" s="38"/>
      <c r="ASS18" s="38"/>
      <c r="AST18" s="38"/>
      <c r="ASU18" s="38"/>
      <c r="ASV18" s="38"/>
      <c r="ASW18" s="38"/>
      <c r="ASX18" s="38"/>
      <c r="ASY18" s="38"/>
      <c r="ASZ18" s="38"/>
      <c r="ATA18" s="38"/>
      <c r="ATB18" s="38"/>
      <c r="ATC18" s="38"/>
      <c r="ATD18" s="38"/>
      <c r="ATE18" s="38"/>
      <c r="ATF18" s="38"/>
      <c r="ATG18" s="38"/>
      <c r="ATH18" s="38"/>
      <c r="ATI18" s="38"/>
      <c r="ATJ18" s="38"/>
      <c r="ATK18" s="38"/>
      <c r="ATL18" s="38"/>
      <c r="ATM18" s="38"/>
      <c r="ATN18" s="38"/>
      <c r="ATO18" s="38"/>
      <c r="ATP18" s="38"/>
      <c r="ATQ18" s="38"/>
      <c r="ATR18" s="38"/>
      <c r="ATS18" s="38"/>
      <c r="ATT18" s="38"/>
      <c r="ATU18" s="38"/>
      <c r="ATV18" s="38"/>
      <c r="ATW18" s="38"/>
      <c r="ATX18" s="38"/>
      <c r="ATY18" s="38"/>
      <c r="ATZ18" s="38"/>
      <c r="AUA18" s="38"/>
      <c r="AUB18" s="38"/>
      <c r="AUC18" s="38"/>
      <c r="AUD18" s="38"/>
      <c r="AUE18" s="38"/>
      <c r="AUF18" s="38"/>
      <c r="AUG18" s="38"/>
      <c r="AUH18" s="38"/>
      <c r="AUI18" s="38"/>
      <c r="AUJ18" s="38"/>
      <c r="AUK18" s="38"/>
      <c r="AUL18" s="38"/>
      <c r="AUM18" s="38"/>
      <c r="AUN18" s="38"/>
      <c r="AUO18" s="38"/>
      <c r="AUP18" s="38"/>
      <c r="AUQ18" s="38"/>
      <c r="AUR18" s="38"/>
      <c r="AUS18" s="38"/>
      <c r="AUT18" s="38"/>
      <c r="AUU18" s="38"/>
      <c r="AUV18" s="38"/>
      <c r="AUW18" s="38"/>
      <c r="AUX18" s="38"/>
      <c r="AUY18" s="38"/>
      <c r="AUZ18" s="38"/>
      <c r="AVA18" s="38"/>
      <c r="AVB18" s="38"/>
      <c r="AVC18" s="38"/>
      <c r="AVD18" s="38"/>
      <c r="AVE18" s="38"/>
      <c r="AVF18" s="38"/>
      <c r="AVG18" s="38"/>
      <c r="AVH18" s="38"/>
      <c r="AVI18" s="38"/>
      <c r="AVJ18" s="38"/>
      <c r="AVK18" s="38"/>
      <c r="AVL18" s="38"/>
      <c r="AVM18" s="38"/>
      <c r="AVN18" s="38"/>
      <c r="AVO18" s="38"/>
      <c r="AVP18" s="38"/>
      <c r="AVQ18" s="38"/>
      <c r="AVR18" s="38"/>
      <c r="AVS18" s="38"/>
      <c r="AVT18" s="38"/>
      <c r="AVU18" s="38"/>
      <c r="AVV18" s="38"/>
      <c r="AVW18" s="38"/>
      <c r="AVX18" s="38"/>
      <c r="AVY18" s="38"/>
      <c r="AVZ18" s="38"/>
      <c r="AWA18" s="38"/>
      <c r="AWB18" s="38"/>
      <c r="AWC18" s="38"/>
      <c r="AWD18" s="38"/>
      <c r="AWE18" s="38"/>
      <c r="AWF18" s="38"/>
      <c r="AWG18" s="38"/>
      <c r="AWH18" s="38"/>
      <c r="AWI18" s="38"/>
      <c r="AWJ18" s="38"/>
      <c r="AWK18" s="38"/>
      <c r="AWL18" s="38"/>
      <c r="AWM18" s="38"/>
      <c r="AWN18" s="38"/>
      <c r="AWO18" s="38"/>
      <c r="AWP18" s="38"/>
      <c r="AWQ18" s="38"/>
      <c r="AWR18" s="38"/>
      <c r="AWS18" s="38"/>
      <c r="AWT18" s="38"/>
      <c r="AWU18" s="38"/>
      <c r="AWV18" s="38"/>
      <c r="AWW18" s="38"/>
      <c r="AWX18" s="38"/>
      <c r="AWY18" s="38"/>
      <c r="AWZ18" s="38"/>
      <c r="AXA18" s="38"/>
      <c r="AXB18" s="38"/>
      <c r="AXC18" s="38"/>
      <c r="AXD18" s="38"/>
      <c r="AXE18" s="38"/>
      <c r="AXF18" s="38"/>
      <c r="AXG18" s="38"/>
      <c r="AXH18" s="38"/>
      <c r="AXI18" s="38"/>
      <c r="AXJ18" s="38"/>
      <c r="AXK18" s="38"/>
      <c r="AXL18" s="38"/>
      <c r="AXM18" s="38"/>
      <c r="AXN18" s="38"/>
      <c r="AXO18" s="38"/>
      <c r="AXP18" s="38"/>
      <c r="AXQ18" s="38"/>
      <c r="AXR18" s="38"/>
      <c r="AXS18" s="38"/>
      <c r="AXT18" s="38"/>
      <c r="AXU18" s="38"/>
      <c r="AXV18" s="38"/>
      <c r="AXW18" s="38"/>
      <c r="AXX18" s="38"/>
      <c r="AXY18" s="38"/>
      <c r="AXZ18" s="38"/>
      <c r="AYA18" s="38"/>
      <c r="AYB18" s="38"/>
      <c r="AYC18" s="38"/>
      <c r="AYD18" s="38"/>
      <c r="AYE18" s="38"/>
      <c r="AYF18" s="38"/>
      <c r="AYG18" s="38"/>
      <c r="AYH18" s="38"/>
      <c r="AYI18" s="38"/>
      <c r="AYJ18" s="38"/>
      <c r="AYK18" s="38"/>
      <c r="AYL18" s="38"/>
      <c r="AYM18" s="38"/>
      <c r="AYN18" s="38"/>
      <c r="AYO18" s="38"/>
      <c r="AYP18" s="38"/>
      <c r="AYQ18" s="38"/>
      <c r="AYR18" s="38"/>
      <c r="AYS18" s="38"/>
      <c r="AYT18" s="38"/>
      <c r="AYU18" s="38"/>
      <c r="AYV18" s="38"/>
      <c r="AYW18" s="38"/>
      <c r="AYX18" s="38"/>
      <c r="AYY18" s="38"/>
      <c r="AYZ18" s="38"/>
      <c r="AZA18" s="38"/>
      <c r="AZB18" s="38"/>
      <c r="AZC18" s="38"/>
      <c r="AZD18" s="38"/>
      <c r="AZE18" s="38"/>
      <c r="AZF18" s="38"/>
      <c r="AZG18" s="38"/>
      <c r="AZH18" s="38"/>
      <c r="AZI18" s="38"/>
      <c r="AZJ18" s="38"/>
      <c r="AZK18" s="38"/>
      <c r="AZL18" s="38"/>
      <c r="AZM18" s="38"/>
      <c r="AZN18" s="38"/>
      <c r="AZO18" s="38"/>
      <c r="AZP18" s="38"/>
      <c r="AZQ18" s="38"/>
      <c r="AZR18" s="38"/>
      <c r="AZS18" s="38"/>
      <c r="AZT18" s="38"/>
      <c r="AZU18" s="38"/>
      <c r="AZV18" s="38"/>
      <c r="AZW18" s="38"/>
      <c r="AZX18" s="38"/>
      <c r="AZY18" s="38"/>
      <c r="AZZ18" s="38"/>
      <c r="BAA18" s="38"/>
      <c r="BAB18" s="38"/>
      <c r="BAC18" s="38"/>
      <c r="BAD18" s="38"/>
      <c r="BAE18" s="38"/>
      <c r="BAF18" s="38"/>
      <c r="BAG18" s="38"/>
      <c r="BAH18" s="38"/>
      <c r="BAI18" s="38"/>
      <c r="BAJ18" s="38"/>
      <c r="BAK18" s="38"/>
      <c r="BAL18" s="38"/>
      <c r="BAM18" s="38"/>
      <c r="BAN18" s="38"/>
      <c r="BAO18" s="38"/>
      <c r="BAP18" s="38"/>
      <c r="BAQ18" s="38"/>
      <c r="BAR18" s="38"/>
      <c r="BAS18" s="38"/>
      <c r="BAT18" s="38"/>
      <c r="BAU18" s="38"/>
      <c r="BAV18" s="38"/>
      <c r="BAW18" s="38"/>
      <c r="BAX18" s="38"/>
      <c r="BAY18" s="38"/>
      <c r="BAZ18" s="38"/>
      <c r="BBA18" s="38"/>
      <c r="BBB18" s="38"/>
      <c r="BBC18" s="38"/>
      <c r="BBD18" s="38"/>
      <c r="BBE18" s="38"/>
      <c r="BBF18" s="38"/>
      <c r="BBG18" s="38"/>
      <c r="BBH18" s="38"/>
      <c r="BBI18" s="38"/>
      <c r="BBJ18" s="38"/>
      <c r="BBK18" s="38"/>
      <c r="BBL18" s="38"/>
      <c r="BBM18" s="38"/>
      <c r="BBN18" s="38"/>
      <c r="BBO18" s="38"/>
      <c r="BBP18" s="38"/>
      <c r="BBQ18" s="38"/>
      <c r="BBR18" s="38"/>
      <c r="BBS18" s="38"/>
      <c r="BBT18" s="38"/>
      <c r="BBU18" s="38"/>
      <c r="BBV18" s="38"/>
      <c r="BBW18" s="38"/>
      <c r="BBX18" s="38"/>
      <c r="BBY18" s="38"/>
      <c r="BBZ18" s="38"/>
      <c r="BCA18" s="38"/>
      <c r="BCB18" s="38"/>
      <c r="BCC18" s="38"/>
      <c r="BCD18" s="38"/>
      <c r="BCE18" s="38"/>
      <c r="BCF18" s="38"/>
      <c r="BCG18" s="38"/>
      <c r="BCH18" s="38"/>
      <c r="BCI18" s="38"/>
      <c r="BCJ18" s="38"/>
      <c r="BCK18" s="38"/>
      <c r="BCL18" s="38"/>
      <c r="BCM18" s="38"/>
      <c r="BCN18" s="38"/>
      <c r="BCO18" s="38"/>
      <c r="BCP18" s="38"/>
      <c r="BCQ18" s="38"/>
      <c r="BCR18" s="38"/>
      <c r="BCS18" s="38"/>
      <c r="BCT18" s="38"/>
      <c r="BCU18" s="38"/>
      <c r="BCV18" s="38"/>
      <c r="BCW18" s="38"/>
      <c r="BCX18" s="38"/>
      <c r="BCY18" s="38"/>
      <c r="BCZ18" s="38"/>
      <c r="BDA18" s="38"/>
      <c r="BDB18" s="38"/>
      <c r="BDC18" s="38"/>
      <c r="BDD18" s="38"/>
      <c r="BDE18" s="38"/>
      <c r="BDF18" s="38"/>
      <c r="BDG18" s="38"/>
      <c r="BDH18" s="38"/>
      <c r="BDI18" s="38"/>
      <c r="BDJ18" s="38"/>
      <c r="BDK18" s="38"/>
      <c r="BDL18" s="38"/>
      <c r="BDM18" s="38"/>
      <c r="BDN18" s="38"/>
      <c r="BDO18" s="38"/>
      <c r="BDP18" s="38"/>
      <c r="BDQ18" s="38"/>
      <c r="BDR18" s="38"/>
      <c r="BDS18" s="38"/>
      <c r="BDT18" s="38"/>
      <c r="BDU18" s="38"/>
      <c r="BDV18" s="38"/>
      <c r="BDW18" s="38"/>
      <c r="BDX18" s="38"/>
      <c r="BDY18" s="38"/>
      <c r="BDZ18" s="38"/>
      <c r="BEA18" s="38"/>
      <c r="BEB18" s="38"/>
      <c r="BEC18" s="38"/>
      <c r="BED18" s="38"/>
      <c r="BEE18" s="38"/>
      <c r="BEF18" s="38"/>
      <c r="BEG18" s="38"/>
      <c r="BEH18" s="38"/>
      <c r="BEI18" s="38"/>
      <c r="BEJ18" s="38"/>
      <c r="BEK18" s="38"/>
      <c r="BEL18" s="38"/>
      <c r="BEM18" s="38"/>
      <c r="BEN18" s="38"/>
      <c r="BEO18" s="38"/>
      <c r="BEP18" s="38"/>
      <c r="BEQ18" s="38"/>
      <c r="BER18" s="38"/>
      <c r="BES18" s="38"/>
      <c r="BET18" s="38"/>
      <c r="BEU18" s="38"/>
      <c r="BEV18" s="38"/>
      <c r="BEW18" s="38"/>
      <c r="BEX18" s="38"/>
      <c r="BEY18" s="38"/>
      <c r="BEZ18" s="38"/>
      <c r="BFA18" s="38"/>
      <c r="BFB18" s="38"/>
      <c r="BFC18" s="38"/>
      <c r="BFD18" s="38"/>
      <c r="BFE18" s="38"/>
      <c r="BFF18" s="38"/>
      <c r="BFG18" s="38"/>
      <c r="BFH18" s="38"/>
      <c r="BFI18" s="38"/>
      <c r="BFJ18" s="38"/>
      <c r="BFK18" s="38"/>
      <c r="BFL18" s="38"/>
      <c r="BFM18" s="38"/>
      <c r="BFN18" s="38"/>
      <c r="BFO18" s="38"/>
      <c r="BFP18" s="38"/>
      <c r="BFQ18" s="38"/>
      <c r="BFR18" s="38"/>
      <c r="BFS18" s="38"/>
      <c r="BFT18" s="38"/>
      <c r="BFU18" s="38"/>
      <c r="BFV18" s="38"/>
      <c r="BFW18" s="38"/>
      <c r="BFX18" s="38"/>
      <c r="BFY18" s="38"/>
      <c r="BFZ18" s="38"/>
      <c r="BGA18" s="38"/>
      <c r="BGB18" s="38"/>
      <c r="BGC18" s="38"/>
      <c r="BGD18" s="38"/>
      <c r="BGE18" s="38"/>
      <c r="BGF18" s="38"/>
      <c r="BGG18" s="38"/>
      <c r="BGH18" s="38"/>
      <c r="BGI18" s="38"/>
      <c r="BGJ18" s="38"/>
      <c r="BGK18" s="38"/>
      <c r="BGL18" s="38"/>
      <c r="BGM18" s="38"/>
      <c r="BGN18" s="38"/>
      <c r="BGO18" s="38"/>
      <c r="BGP18" s="38"/>
      <c r="BGQ18" s="38"/>
      <c r="BGR18" s="38"/>
      <c r="BGS18" s="38"/>
      <c r="BGT18" s="38"/>
      <c r="BGU18" s="38"/>
      <c r="BGV18" s="38"/>
      <c r="BGW18" s="38"/>
      <c r="BGX18" s="38"/>
      <c r="BGY18" s="38"/>
      <c r="BGZ18" s="38"/>
      <c r="BHA18" s="38"/>
      <c r="BHB18" s="38"/>
      <c r="BHC18" s="38"/>
      <c r="BHD18" s="38"/>
      <c r="BHE18" s="38"/>
      <c r="BHF18" s="38"/>
      <c r="BHG18" s="38"/>
      <c r="BHH18" s="38"/>
      <c r="BHI18" s="38"/>
      <c r="BHJ18" s="38"/>
      <c r="BHK18" s="38"/>
      <c r="BHL18" s="38"/>
      <c r="BHM18" s="38"/>
      <c r="BHN18" s="38"/>
      <c r="BHO18" s="38"/>
      <c r="BHP18" s="38"/>
      <c r="BHQ18" s="38"/>
      <c r="BHR18" s="38"/>
      <c r="BHS18" s="38"/>
      <c r="BHT18" s="38"/>
      <c r="BHU18" s="38"/>
      <c r="BHV18" s="38"/>
      <c r="BHW18" s="38"/>
      <c r="BHX18" s="38"/>
      <c r="BHY18" s="38"/>
      <c r="BHZ18" s="38"/>
      <c r="BIA18" s="38"/>
      <c r="BIB18" s="38"/>
      <c r="BIC18" s="38"/>
      <c r="BID18" s="38"/>
      <c r="BIE18" s="38"/>
      <c r="BIF18" s="38"/>
      <c r="BIG18" s="38"/>
      <c r="BIH18" s="38"/>
      <c r="BII18" s="38"/>
      <c r="BIJ18" s="38"/>
      <c r="BIK18" s="38"/>
      <c r="BIL18" s="38"/>
      <c r="BIM18" s="38"/>
      <c r="BIN18" s="38"/>
      <c r="BIO18" s="38"/>
      <c r="BIP18" s="38"/>
      <c r="BIQ18" s="38"/>
      <c r="BIR18" s="38"/>
      <c r="BIS18" s="38"/>
      <c r="BIT18" s="38"/>
      <c r="BIU18" s="38"/>
      <c r="BIV18" s="38"/>
      <c r="BIW18" s="38"/>
      <c r="BIX18" s="38"/>
      <c r="BIY18" s="38"/>
      <c r="BIZ18" s="38"/>
      <c r="BJA18" s="38"/>
      <c r="BJB18" s="38"/>
      <c r="BJC18" s="38"/>
      <c r="BJD18" s="38"/>
      <c r="BJE18" s="38"/>
      <c r="BJF18" s="38"/>
      <c r="BJG18" s="38"/>
      <c r="BJH18" s="38"/>
      <c r="BJI18" s="38"/>
      <c r="BJJ18" s="38"/>
      <c r="BJK18" s="38"/>
      <c r="BJL18" s="38"/>
      <c r="BJM18" s="38"/>
      <c r="BJN18" s="38"/>
      <c r="BJO18" s="38"/>
      <c r="BJP18" s="38"/>
      <c r="BJQ18" s="38"/>
      <c r="BJR18" s="38"/>
      <c r="BJS18" s="38"/>
      <c r="BJT18" s="38"/>
      <c r="BJU18" s="38"/>
      <c r="BJV18" s="38"/>
      <c r="BJW18" s="38"/>
      <c r="BJX18" s="38"/>
      <c r="BJY18" s="38"/>
      <c r="BJZ18" s="38"/>
      <c r="BKA18" s="38"/>
      <c r="BKB18" s="38"/>
      <c r="BKC18" s="38"/>
      <c r="BKD18" s="38"/>
      <c r="BKE18" s="38"/>
      <c r="BKF18" s="38"/>
      <c r="BKG18" s="38"/>
      <c r="BKH18" s="38"/>
      <c r="BKI18" s="38"/>
      <c r="BKJ18" s="38"/>
      <c r="BKK18" s="38"/>
      <c r="BKL18" s="38"/>
      <c r="BKM18" s="38"/>
      <c r="BKN18" s="38"/>
      <c r="BKO18" s="38"/>
      <c r="BKP18" s="38"/>
      <c r="BKQ18" s="38"/>
      <c r="BKR18" s="38"/>
      <c r="BKS18" s="38"/>
      <c r="BKT18" s="38"/>
      <c r="BKU18" s="38"/>
      <c r="BKV18" s="38"/>
      <c r="BKW18" s="38"/>
      <c r="BKX18" s="38"/>
      <c r="BKY18" s="38"/>
      <c r="BKZ18" s="38"/>
      <c r="BLA18" s="38"/>
      <c r="BLB18" s="38"/>
      <c r="BLC18" s="38"/>
      <c r="BLD18" s="38"/>
      <c r="BLE18" s="38"/>
      <c r="BLF18" s="38"/>
      <c r="BLG18" s="38"/>
      <c r="BLH18" s="38"/>
      <c r="BLI18" s="38"/>
      <c r="BLJ18" s="38"/>
      <c r="BLK18" s="38"/>
      <c r="BLL18" s="38"/>
      <c r="BLM18" s="38"/>
      <c r="BLN18" s="38"/>
      <c r="BLO18" s="38"/>
      <c r="BLP18" s="38"/>
      <c r="BLQ18" s="38"/>
      <c r="BLR18" s="38"/>
      <c r="BLS18" s="38"/>
      <c r="BLT18" s="38"/>
      <c r="BLU18" s="38"/>
      <c r="BLV18" s="38"/>
      <c r="BLW18" s="38"/>
      <c r="BLX18" s="38"/>
      <c r="BLY18" s="38"/>
      <c r="BLZ18" s="38"/>
      <c r="BMA18" s="38"/>
      <c r="BMB18" s="38"/>
      <c r="BMC18" s="38"/>
      <c r="BMD18" s="38"/>
      <c r="BME18" s="38"/>
      <c r="BMF18" s="38"/>
      <c r="BMG18" s="38"/>
      <c r="BMH18" s="38"/>
      <c r="BMI18" s="38"/>
      <c r="BMJ18" s="38"/>
      <c r="BMK18" s="38"/>
      <c r="BML18" s="38"/>
      <c r="BMM18" s="38"/>
      <c r="BMN18" s="38"/>
      <c r="BMO18" s="38"/>
      <c r="BMP18" s="38"/>
      <c r="BMQ18" s="38"/>
      <c r="BMR18" s="38"/>
      <c r="BMS18" s="38"/>
      <c r="BMT18" s="38"/>
      <c r="BMU18" s="38"/>
      <c r="BMV18" s="38"/>
      <c r="BMW18" s="38"/>
      <c r="BMX18" s="38"/>
      <c r="BMY18" s="38"/>
      <c r="BMZ18" s="38"/>
      <c r="BNA18" s="38"/>
      <c r="BNB18" s="38"/>
      <c r="BNC18" s="38"/>
      <c r="BND18" s="38"/>
      <c r="BNE18" s="38"/>
      <c r="BNF18" s="38"/>
      <c r="BNG18" s="38"/>
      <c r="BNH18" s="38"/>
      <c r="BNI18" s="38"/>
      <c r="BNJ18" s="38"/>
      <c r="BNK18" s="38"/>
      <c r="BNL18" s="38"/>
      <c r="BNM18" s="38"/>
      <c r="BNN18" s="38"/>
      <c r="BNO18" s="38"/>
      <c r="BNP18" s="38"/>
      <c r="BNQ18" s="38"/>
      <c r="BNR18" s="38"/>
      <c r="BNS18" s="38"/>
      <c r="BNT18" s="38"/>
      <c r="BNU18" s="38"/>
      <c r="BNV18" s="38"/>
      <c r="BNW18" s="38"/>
      <c r="BNX18" s="38"/>
      <c r="BNY18" s="38"/>
      <c r="BNZ18" s="38"/>
      <c r="BOA18" s="38"/>
      <c r="BOB18" s="38"/>
      <c r="BOC18" s="38"/>
      <c r="BOD18" s="38"/>
      <c r="BOE18" s="38"/>
      <c r="BOF18" s="38"/>
      <c r="BOG18" s="38"/>
      <c r="BOH18" s="38"/>
      <c r="BOI18" s="38"/>
      <c r="BOJ18" s="38"/>
      <c r="BOK18" s="38"/>
      <c r="BOL18" s="38"/>
      <c r="BOM18" s="38"/>
      <c r="BON18" s="38"/>
      <c r="BOO18" s="38"/>
      <c r="BOP18" s="38"/>
      <c r="BOQ18" s="38"/>
      <c r="BOR18" s="38"/>
      <c r="BOS18" s="38"/>
      <c r="BOT18" s="38"/>
      <c r="BOU18" s="38"/>
      <c r="BOV18" s="38"/>
      <c r="BOW18" s="38"/>
      <c r="BOX18" s="38"/>
      <c r="BOY18" s="38"/>
      <c r="BOZ18" s="38"/>
      <c r="BPA18" s="38"/>
      <c r="BPB18" s="38"/>
      <c r="BPC18" s="38"/>
      <c r="BPD18" s="38"/>
      <c r="BPE18" s="38"/>
      <c r="BPF18" s="38"/>
      <c r="BPG18" s="38"/>
      <c r="BPH18" s="38"/>
      <c r="BPI18" s="38"/>
      <c r="BPJ18" s="38"/>
      <c r="BPK18" s="38"/>
      <c r="BPL18" s="38"/>
      <c r="BPM18" s="38"/>
      <c r="BPN18" s="38"/>
      <c r="BPO18" s="38"/>
      <c r="BPP18" s="38"/>
      <c r="BPQ18" s="38"/>
      <c r="BPR18" s="38"/>
      <c r="BPS18" s="38"/>
      <c r="BPT18" s="38"/>
      <c r="BPU18" s="38"/>
      <c r="BPV18" s="38"/>
      <c r="BPW18" s="38"/>
      <c r="BPX18" s="38"/>
      <c r="BPY18" s="38"/>
      <c r="BPZ18" s="38"/>
      <c r="BQA18" s="38"/>
      <c r="BQB18" s="38"/>
      <c r="BQC18" s="38"/>
      <c r="BQD18" s="38"/>
      <c r="BQE18" s="38"/>
      <c r="BQF18" s="38"/>
      <c r="BQG18" s="38"/>
      <c r="BQH18" s="38"/>
      <c r="BQI18" s="38"/>
      <c r="BQJ18" s="38"/>
      <c r="BQK18" s="38"/>
      <c r="BQL18" s="38"/>
      <c r="BQM18" s="38"/>
      <c r="BQN18" s="38"/>
      <c r="BQO18" s="38"/>
      <c r="BQP18" s="38"/>
      <c r="BQQ18" s="38"/>
      <c r="BQR18" s="38"/>
      <c r="BQS18" s="38"/>
      <c r="BQT18" s="38"/>
      <c r="BQU18" s="38"/>
      <c r="BQV18" s="38"/>
      <c r="BQW18" s="38"/>
      <c r="BQX18" s="38"/>
      <c r="BQY18" s="38"/>
      <c r="BQZ18" s="38"/>
      <c r="BRA18" s="38"/>
      <c r="BRB18" s="38"/>
      <c r="BRC18" s="38"/>
      <c r="BRD18" s="38"/>
      <c r="BRE18" s="38"/>
      <c r="BRF18" s="38"/>
      <c r="BRG18" s="38"/>
      <c r="BRH18" s="38"/>
      <c r="BRI18" s="38"/>
      <c r="BRJ18" s="38"/>
      <c r="BRK18" s="38"/>
      <c r="BRL18" s="38"/>
      <c r="BRM18" s="38"/>
      <c r="BRN18" s="38"/>
      <c r="BRO18" s="38"/>
      <c r="BRP18" s="38"/>
      <c r="BRQ18" s="38"/>
      <c r="BRR18" s="38"/>
      <c r="BRS18" s="38"/>
      <c r="BRT18" s="38"/>
      <c r="BRU18" s="38"/>
      <c r="BRV18" s="38"/>
      <c r="BRW18" s="38"/>
      <c r="BRX18" s="38"/>
      <c r="BRY18" s="38"/>
      <c r="BRZ18" s="38"/>
      <c r="BSA18" s="38"/>
      <c r="BSB18" s="38"/>
      <c r="BSC18" s="38"/>
      <c r="BSD18" s="38"/>
      <c r="BSE18" s="38"/>
      <c r="BSF18" s="38"/>
      <c r="BSG18" s="38"/>
      <c r="BSH18" s="38"/>
      <c r="BSI18" s="38"/>
      <c r="BSJ18" s="38"/>
      <c r="BSK18" s="38"/>
      <c r="BSL18" s="38"/>
      <c r="BSM18" s="38"/>
      <c r="BSN18" s="38"/>
      <c r="BSO18" s="38"/>
      <c r="BSP18" s="38"/>
      <c r="BSQ18" s="38"/>
      <c r="BSR18" s="38"/>
      <c r="BSS18" s="38"/>
      <c r="BST18" s="38"/>
      <c r="BSU18" s="38"/>
      <c r="BSV18" s="38"/>
      <c r="BSW18" s="38"/>
      <c r="BSX18" s="38"/>
      <c r="BSY18" s="38"/>
      <c r="BSZ18" s="38"/>
      <c r="BTA18" s="38"/>
      <c r="BTB18" s="38"/>
      <c r="BTC18" s="38"/>
      <c r="BTD18" s="38"/>
      <c r="BTE18" s="38"/>
      <c r="BTF18" s="38"/>
      <c r="BTG18" s="38"/>
      <c r="BTH18" s="38"/>
      <c r="BTI18" s="38"/>
      <c r="BTJ18" s="38"/>
      <c r="BTK18" s="38"/>
      <c r="BTL18" s="38"/>
      <c r="BTM18" s="38"/>
      <c r="BTN18" s="38"/>
      <c r="BTO18" s="38"/>
      <c r="BTP18" s="38"/>
      <c r="BTQ18" s="38"/>
      <c r="BTR18" s="38"/>
      <c r="BTS18" s="38"/>
      <c r="BTT18" s="38"/>
      <c r="BTU18" s="38"/>
      <c r="BTV18" s="38"/>
      <c r="BTW18" s="38"/>
      <c r="BTX18" s="38"/>
      <c r="BTY18" s="38"/>
      <c r="BTZ18" s="38"/>
      <c r="BUA18" s="38"/>
      <c r="BUB18" s="38"/>
      <c r="BUC18" s="38"/>
      <c r="BUD18" s="38"/>
      <c r="BUE18" s="38"/>
      <c r="BUF18" s="38"/>
      <c r="BUG18" s="38"/>
      <c r="BUH18" s="38"/>
      <c r="BUI18" s="38"/>
      <c r="BUJ18" s="38"/>
      <c r="BUK18" s="38"/>
      <c r="BUL18" s="38"/>
      <c r="BUM18" s="38"/>
      <c r="BUN18" s="38"/>
      <c r="BUO18" s="38"/>
      <c r="BUP18" s="38"/>
      <c r="BUQ18" s="38"/>
      <c r="BUR18" s="38"/>
      <c r="BUS18" s="38"/>
      <c r="BUT18" s="38"/>
      <c r="BUU18" s="38"/>
      <c r="BUV18" s="38"/>
      <c r="BUW18" s="38"/>
      <c r="BUX18" s="38"/>
      <c r="BUY18" s="38"/>
      <c r="BUZ18" s="38"/>
      <c r="BVA18" s="38"/>
      <c r="BVB18" s="38"/>
      <c r="BVC18" s="38"/>
      <c r="BVD18" s="38"/>
      <c r="BVE18" s="38"/>
      <c r="BVF18" s="38"/>
      <c r="BVG18" s="38"/>
      <c r="BVH18" s="38"/>
      <c r="BVI18" s="38"/>
      <c r="BVJ18" s="38"/>
      <c r="BVK18" s="38"/>
      <c r="BVL18" s="38"/>
      <c r="BVM18" s="38"/>
      <c r="BVN18" s="38"/>
      <c r="BVO18" s="38"/>
      <c r="BVP18" s="38"/>
      <c r="BVQ18" s="38"/>
      <c r="BVR18" s="38"/>
      <c r="BVS18" s="38"/>
      <c r="BVT18" s="38"/>
      <c r="BVU18" s="38"/>
      <c r="BVV18" s="38"/>
      <c r="BVW18" s="38"/>
      <c r="BVX18" s="38"/>
      <c r="BVY18" s="38"/>
      <c r="BVZ18" s="38"/>
      <c r="BWA18" s="38"/>
      <c r="BWB18" s="38"/>
      <c r="BWC18" s="38"/>
      <c r="BWD18" s="38"/>
      <c r="BWE18" s="38"/>
      <c r="BWF18" s="38"/>
      <c r="BWG18" s="38"/>
      <c r="BWH18" s="38"/>
      <c r="BWI18" s="38"/>
      <c r="BWJ18" s="38"/>
      <c r="BWK18" s="38"/>
      <c r="BWL18" s="38"/>
      <c r="BWM18" s="38"/>
      <c r="BWN18" s="38"/>
      <c r="BWO18" s="38"/>
      <c r="BWP18" s="38"/>
      <c r="BWQ18" s="38"/>
      <c r="BWR18" s="38"/>
      <c r="BWS18" s="38"/>
      <c r="BWT18" s="38"/>
      <c r="BWU18" s="38"/>
      <c r="BWV18" s="38"/>
      <c r="BWW18" s="38"/>
      <c r="BWX18" s="38"/>
      <c r="BWY18" s="38"/>
      <c r="BWZ18" s="38"/>
      <c r="BXA18" s="38"/>
      <c r="BXB18" s="38"/>
      <c r="BXC18" s="38"/>
      <c r="BXD18" s="38"/>
      <c r="BXE18" s="38"/>
      <c r="BXF18" s="38"/>
      <c r="BXG18" s="38"/>
      <c r="BXH18" s="38"/>
      <c r="BXI18" s="38"/>
      <c r="BXJ18" s="38"/>
      <c r="BXK18" s="38"/>
      <c r="BXL18" s="38"/>
      <c r="BXM18" s="38"/>
      <c r="BXN18" s="38"/>
      <c r="BXO18" s="38"/>
      <c r="BXP18" s="38"/>
      <c r="BXQ18" s="38"/>
      <c r="BXR18" s="38"/>
      <c r="BXS18" s="38"/>
      <c r="BXT18" s="38"/>
      <c r="BXU18" s="38"/>
      <c r="BXV18" s="38"/>
      <c r="BXW18" s="38"/>
      <c r="BXX18" s="38"/>
      <c r="BXY18" s="38"/>
      <c r="BXZ18" s="38"/>
      <c r="BYA18" s="38"/>
      <c r="BYB18" s="38"/>
      <c r="BYC18" s="38"/>
      <c r="BYD18" s="38"/>
      <c r="BYE18" s="38"/>
      <c r="BYF18" s="38"/>
      <c r="BYG18" s="38"/>
      <c r="BYH18" s="38"/>
      <c r="BYI18" s="38"/>
      <c r="BYJ18" s="38"/>
      <c r="BYK18" s="38"/>
      <c r="BYL18" s="38"/>
      <c r="BYM18" s="38"/>
      <c r="BYN18" s="38"/>
      <c r="BYO18" s="38"/>
      <c r="BYP18" s="38"/>
      <c r="BYQ18" s="38"/>
      <c r="BYR18" s="38"/>
      <c r="BYS18" s="38"/>
      <c r="BYT18" s="38"/>
      <c r="BYU18" s="38"/>
      <c r="BYV18" s="38"/>
      <c r="BYW18" s="38"/>
      <c r="BYX18" s="38"/>
      <c r="BYY18" s="38"/>
      <c r="BYZ18" s="38"/>
      <c r="BZA18" s="38"/>
      <c r="BZB18" s="38"/>
      <c r="BZC18" s="38"/>
      <c r="BZD18" s="38"/>
      <c r="BZE18" s="38"/>
      <c r="BZF18" s="38"/>
      <c r="BZG18" s="38"/>
      <c r="BZH18" s="38"/>
      <c r="BZI18" s="38"/>
      <c r="BZJ18" s="38"/>
      <c r="BZK18" s="38"/>
      <c r="BZL18" s="38"/>
      <c r="BZM18" s="38"/>
      <c r="BZN18" s="38"/>
      <c r="BZO18" s="38"/>
      <c r="BZP18" s="38"/>
      <c r="BZQ18" s="38"/>
      <c r="BZR18" s="38"/>
      <c r="BZS18" s="38"/>
      <c r="BZT18" s="38"/>
      <c r="BZU18" s="38"/>
      <c r="BZV18" s="38"/>
      <c r="BZW18" s="38"/>
      <c r="BZX18" s="38"/>
      <c r="BZY18" s="38"/>
      <c r="BZZ18" s="38"/>
      <c r="CAA18" s="38"/>
      <c r="CAB18" s="38"/>
      <c r="CAC18" s="38"/>
      <c r="CAD18" s="38"/>
      <c r="CAE18" s="38"/>
      <c r="CAF18" s="38"/>
      <c r="CAG18" s="38"/>
      <c r="CAH18" s="38"/>
      <c r="CAI18" s="38"/>
      <c r="CAJ18" s="38"/>
      <c r="CAK18" s="38"/>
      <c r="CAL18" s="38"/>
      <c r="CAM18" s="38"/>
      <c r="CAN18" s="38"/>
      <c r="CAO18" s="38"/>
      <c r="CAP18" s="38"/>
      <c r="CAQ18" s="38"/>
      <c r="CAR18" s="38"/>
      <c r="CAS18" s="38"/>
      <c r="CAT18" s="38"/>
      <c r="CAU18" s="38"/>
      <c r="CAV18" s="38"/>
      <c r="CAW18" s="38"/>
      <c r="CAX18" s="38"/>
      <c r="CAY18" s="38"/>
      <c r="CAZ18" s="38"/>
      <c r="CBA18" s="38"/>
      <c r="CBB18" s="38"/>
      <c r="CBC18" s="38"/>
      <c r="CBD18" s="38"/>
      <c r="CBE18" s="38"/>
      <c r="CBF18" s="38"/>
      <c r="CBG18" s="38"/>
      <c r="CBH18" s="38"/>
      <c r="CBI18" s="38"/>
      <c r="CBJ18" s="38"/>
      <c r="CBK18" s="38"/>
      <c r="CBL18" s="38"/>
      <c r="CBM18" s="38"/>
      <c r="CBN18" s="38"/>
      <c r="CBO18" s="38"/>
      <c r="CBP18" s="38"/>
      <c r="CBQ18" s="38"/>
      <c r="CBR18" s="38"/>
      <c r="CBS18" s="38"/>
      <c r="CBT18" s="38"/>
      <c r="CBU18" s="38"/>
      <c r="CBV18" s="38"/>
      <c r="CBW18" s="38"/>
      <c r="CBX18" s="38"/>
      <c r="CBY18" s="38"/>
      <c r="CBZ18" s="38"/>
      <c r="CCA18" s="38"/>
      <c r="CCB18" s="38"/>
      <c r="CCC18" s="38"/>
      <c r="CCD18" s="38"/>
      <c r="CCE18" s="38"/>
      <c r="CCF18" s="38"/>
      <c r="CCG18" s="38"/>
      <c r="CCH18" s="38"/>
      <c r="CCI18" s="38"/>
      <c r="CCJ18" s="38"/>
      <c r="CCK18" s="38"/>
      <c r="CCL18" s="38"/>
      <c r="CCM18" s="38"/>
      <c r="CCN18" s="38"/>
      <c r="CCO18" s="38"/>
      <c r="CCP18" s="38"/>
      <c r="CCQ18" s="38"/>
      <c r="CCR18" s="38"/>
      <c r="CCS18" s="38"/>
      <c r="CCT18" s="38"/>
      <c r="CCU18" s="38"/>
      <c r="CCV18" s="38"/>
      <c r="CCW18" s="38"/>
      <c r="CCX18" s="38"/>
      <c r="CCY18" s="38"/>
      <c r="CCZ18" s="38"/>
      <c r="CDA18" s="38"/>
      <c r="CDB18" s="38"/>
      <c r="CDC18" s="38"/>
      <c r="CDD18" s="38"/>
      <c r="CDE18" s="38"/>
      <c r="CDF18" s="38"/>
      <c r="CDG18" s="38"/>
      <c r="CDH18" s="38"/>
      <c r="CDI18" s="38"/>
      <c r="CDJ18" s="38"/>
      <c r="CDK18" s="38"/>
      <c r="CDL18" s="38"/>
      <c r="CDM18" s="38"/>
      <c r="CDN18" s="38"/>
      <c r="CDO18" s="38"/>
      <c r="CDP18" s="38"/>
      <c r="CDQ18" s="38"/>
      <c r="CDR18" s="38"/>
      <c r="CDS18" s="38"/>
      <c r="CDT18" s="38"/>
      <c r="CDU18" s="38"/>
      <c r="CDV18" s="38"/>
      <c r="CDW18" s="38"/>
      <c r="CDX18" s="38"/>
      <c r="CDY18" s="38"/>
      <c r="CDZ18" s="38"/>
      <c r="CEA18" s="38"/>
      <c r="CEB18" s="38"/>
      <c r="CEC18" s="38"/>
      <c r="CED18" s="38"/>
      <c r="CEE18" s="38"/>
      <c r="CEF18" s="38"/>
      <c r="CEG18" s="38"/>
      <c r="CEH18" s="38"/>
      <c r="CEI18" s="38"/>
      <c r="CEJ18" s="38"/>
      <c r="CEK18" s="38"/>
      <c r="CEL18" s="38"/>
      <c r="CEM18" s="38"/>
      <c r="CEN18" s="38"/>
      <c r="CEO18" s="38"/>
      <c r="CEP18" s="38"/>
      <c r="CEQ18" s="38"/>
      <c r="CER18" s="38"/>
      <c r="CES18" s="38"/>
      <c r="CET18" s="38"/>
      <c r="CEU18" s="38"/>
      <c r="CEV18" s="38"/>
      <c r="CEW18" s="38"/>
      <c r="CEX18" s="38"/>
      <c r="CEY18" s="38"/>
      <c r="CEZ18" s="38"/>
      <c r="CFA18" s="38"/>
      <c r="CFB18" s="38"/>
      <c r="CFC18" s="38"/>
      <c r="CFD18" s="38"/>
      <c r="CFE18" s="38"/>
      <c r="CFF18" s="38"/>
      <c r="CFG18" s="38"/>
      <c r="CFH18" s="38"/>
      <c r="CFI18" s="38"/>
      <c r="CFJ18" s="38"/>
      <c r="CFK18" s="38"/>
      <c r="CFL18" s="38"/>
      <c r="CFM18" s="38"/>
      <c r="CFN18" s="38"/>
      <c r="CFO18" s="38"/>
      <c r="CFP18" s="38"/>
      <c r="CFQ18" s="38"/>
      <c r="CFR18" s="38"/>
      <c r="CFS18" s="38"/>
      <c r="CFT18" s="38"/>
      <c r="CFU18" s="38"/>
      <c r="CFV18" s="38"/>
      <c r="CFW18" s="38"/>
      <c r="CFX18" s="38"/>
      <c r="CFY18" s="38"/>
      <c r="CFZ18" s="38"/>
      <c r="CGA18" s="38"/>
      <c r="CGB18" s="38"/>
      <c r="CGC18" s="38"/>
      <c r="CGD18" s="38"/>
      <c r="CGE18" s="38"/>
      <c r="CGF18" s="38"/>
      <c r="CGG18" s="38"/>
      <c r="CGH18" s="38"/>
      <c r="CGI18" s="38"/>
      <c r="CGJ18" s="38"/>
      <c r="CGK18" s="38"/>
      <c r="CGL18" s="38"/>
      <c r="CGM18" s="38"/>
      <c r="CGN18" s="38"/>
      <c r="CGO18" s="38"/>
      <c r="CGP18" s="38"/>
      <c r="CGQ18" s="38"/>
      <c r="CGR18" s="38"/>
      <c r="CGS18" s="38"/>
      <c r="CGT18" s="38"/>
      <c r="CGU18" s="38"/>
      <c r="CGV18" s="38"/>
      <c r="CGW18" s="38"/>
      <c r="CGX18" s="38"/>
      <c r="CGY18" s="38"/>
      <c r="CGZ18" s="38"/>
      <c r="CHA18" s="38"/>
      <c r="CHB18" s="38"/>
      <c r="CHC18" s="38"/>
      <c r="CHD18" s="38"/>
      <c r="CHE18" s="38"/>
      <c r="CHF18" s="38"/>
      <c r="CHG18" s="38"/>
      <c r="CHH18" s="38"/>
      <c r="CHI18" s="38"/>
      <c r="CHJ18" s="38"/>
      <c r="CHK18" s="38"/>
      <c r="CHL18" s="38"/>
      <c r="CHM18" s="38"/>
      <c r="CHN18" s="38"/>
      <c r="CHO18" s="38"/>
      <c r="CHP18" s="38"/>
      <c r="CHQ18" s="38"/>
      <c r="CHR18" s="38"/>
      <c r="CHS18" s="38"/>
      <c r="CHT18" s="38"/>
      <c r="CHU18" s="38"/>
      <c r="CHV18" s="38"/>
      <c r="CHW18" s="38"/>
      <c r="CHX18" s="38"/>
      <c r="CHY18" s="38"/>
      <c r="CHZ18" s="38"/>
      <c r="CIA18" s="38"/>
      <c r="CIB18" s="38"/>
      <c r="CIC18" s="38"/>
      <c r="CID18" s="38"/>
      <c r="CIE18" s="38"/>
      <c r="CIF18" s="38"/>
      <c r="CIG18" s="38"/>
      <c r="CIH18" s="38"/>
      <c r="CII18" s="38"/>
      <c r="CIJ18" s="38"/>
      <c r="CIK18" s="38"/>
      <c r="CIL18" s="38"/>
      <c r="CIM18" s="38"/>
      <c r="CIN18" s="38"/>
      <c r="CIO18" s="38"/>
      <c r="CIP18" s="38"/>
      <c r="CIQ18" s="38"/>
      <c r="CIR18" s="38"/>
      <c r="CIS18" s="38"/>
      <c r="CIT18" s="38"/>
      <c r="CIU18" s="38"/>
      <c r="CIV18" s="38"/>
      <c r="CIW18" s="38"/>
      <c r="CIX18" s="38"/>
      <c r="CIY18" s="38"/>
      <c r="CIZ18" s="38"/>
      <c r="CJA18" s="38"/>
      <c r="CJB18" s="38"/>
      <c r="CJC18" s="38"/>
      <c r="CJD18" s="38"/>
      <c r="CJE18" s="38"/>
      <c r="CJF18" s="38"/>
      <c r="CJG18" s="38"/>
      <c r="CJH18" s="38"/>
      <c r="CJI18" s="38"/>
      <c r="CJJ18" s="38"/>
      <c r="CJK18" s="38"/>
      <c r="CJL18" s="38"/>
      <c r="CJM18" s="38"/>
      <c r="CJN18" s="38"/>
      <c r="CJO18" s="38"/>
      <c r="CJP18" s="38"/>
      <c r="CJQ18" s="38"/>
      <c r="CJR18" s="38"/>
      <c r="CJS18" s="38"/>
      <c r="CJT18" s="38"/>
      <c r="CJU18" s="38"/>
      <c r="CJV18" s="38"/>
      <c r="CJW18" s="38"/>
      <c r="CJX18" s="38"/>
      <c r="CJY18" s="38"/>
      <c r="CJZ18" s="38"/>
      <c r="CKA18" s="38"/>
      <c r="CKB18" s="38"/>
      <c r="CKC18" s="38"/>
      <c r="CKD18" s="38"/>
      <c r="CKE18" s="38"/>
      <c r="CKF18" s="38"/>
      <c r="CKG18" s="38"/>
      <c r="CKH18" s="38"/>
      <c r="CKI18" s="38"/>
      <c r="CKJ18" s="38"/>
      <c r="CKK18" s="38"/>
      <c r="CKL18" s="38"/>
      <c r="CKM18" s="38"/>
      <c r="CKN18" s="38"/>
      <c r="CKO18" s="38"/>
      <c r="CKP18" s="38"/>
      <c r="CKQ18" s="38"/>
      <c r="CKR18" s="38"/>
      <c r="CKS18" s="38"/>
      <c r="CKT18" s="38"/>
      <c r="CKU18" s="38"/>
      <c r="CKV18" s="38"/>
      <c r="CKW18" s="38"/>
      <c r="CKX18" s="38"/>
      <c r="CKY18" s="38"/>
      <c r="CKZ18" s="38"/>
      <c r="CLA18" s="38"/>
      <c r="CLB18" s="38"/>
      <c r="CLC18" s="38"/>
      <c r="CLD18" s="38"/>
      <c r="CLE18" s="38"/>
      <c r="CLF18" s="38"/>
      <c r="CLG18" s="38"/>
      <c r="CLH18" s="38"/>
      <c r="CLI18" s="38"/>
      <c r="CLJ18" s="38"/>
      <c r="CLK18" s="38"/>
      <c r="CLL18" s="38"/>
      <c r="CLM18" s="38"/>
      <c r="CLN18" s="38"/>
      <c r="CLO18" s="38"/>
      <c r="CLP18" s="38"/>
      <c r="CLQ18" s="38"/>
      <c r="CLR18" s="38"/>
      <c r="CLS18" s="38"/>
      <c r="CLT18" s="38"/>
      <c r="CLU18" s="38"/>
      <c r="CLV18" s="38"/>
      <c r="CLW18" s="38"/>
      <c r="CLX18" s="38"/>
      <c r="CLY18" s="38"/>
      <c r="CLZ18" s="38"/>
      <c r="CMA18" s="38"/>
      <c r="CMB18" s="38"/>
      <c r="CMC18" s="38"/>
      <c r="CMD18" s="38"/>
      <c r="CME18" s="38"/>
      <c r="CMF18" s="38"/>
      <c r="CMG18" s="38"/>
      <c r="CMH18" s="38"/>
      <c r="CMI18" s="38"/>
      <c r="CMJ18" s="38"/>
      <c r="CMK18" s="38"/>
      <c r="CML18" s="38"/>
      <c r="CMM18" s="38"/>
      <c r="CMN18" s="38"/>
      <c r="CMO18" s="38"/>
      <c r="CMP18" s="38"/>
      <c r="CMQ18" s="38"/>
      <c r="CMR18" s="38"/>
      <c r="CMS18" s="38"/>
      <c r="CMT18" s="38"/>
      <c r="CMU18" s="38"/>
      <c r="CMV18" s="38"/>
      <c r="CMW18" s="38"/>
      <c r="CMX18" s="38"/>
      <c r="CMY18" s="38"/>
      <c r="CMZ18" s="38"/>
      <c r="CNA18" s="38"/>
      <c r="CNB18" s="38"/>
      <c r="CNC18" s="38"/>
      <c r="CND18" s="38"/>
      <c r="CNE18" s="38"/>
      <c r="CNF18" s="38"/>
      <c r="CNG18" s="38"/>
      <c r="CNH18" s="38"/>
      <c r="CNI18" s="38"/>
      <c r="CNJ18" s="38"/>
      <c r="CNK18" s="38"/>
      <c r="CNL18" s="38"/>
      <c r="CNM18" s="38"/>
      <c r="CNN18" s="38"/>
      <c r="CNO18" s="38"/>
      <c r="CNP18" s="38"/>
      <c r="CNQ18" s="38"/>
      <c r="CNR18" s="38"/>
      <c r="CNS18" s="38"/>
      <c r="CNT18" s="38"/>
      <c r="CNU18" s="38"/>
      <c r="CNV18" s="38"/>
      <c r="CNW18" s="38"/>
      <c r="CNX18" s="38"/>
      <c r="CNY18" s="38"/>
      <c r="CNZ18" s="38"/>
      <c r="COA18" s="38"/>
      <c r="COB18" s="38"/>
      <c r="COC18" s="38"/>
      <c r="COD18" s="38"/>
      <c r="COE18" s="38"/>
      <c r="COF18" s="38"/>
      <c r="COG18" s="38"/>
      <c r="COH18" s="38"/>
      <c r="COI18" s="38"/>
      <c r="COJ18" s="38"/>
      <c r="COK18" s="38"/>
      <c r="COL18" s="38"/>
      <c r="COM18" s="38"/>
      <c r="CON18" s="38"/>
      <c r="COO18" s="38"/>
      <c r="COP18" s="38"/>
      <c r="COQ18" s="38"/>
      <c r="COR18" s="38"/>
      <c r="COS18" s="38"/>
      <c r="COT18" s="38"/>
      <c r="COU18" s="38"/>
      <c r="COV18" s="38"/>
      <c r="COW18" s="38"/>
      <c r="COX18" s="38"/>
      <c r="COY18" s="38"/>
      <c r="COZ18" s="38"/>
      <c r="CPA18" s="38"/>
      <c r="CPB18" s="38"/>
      <c r="CPC18" s="38"/>
      <c r="CPD18" s="38"/>
      <c r="CPE18" s="38"/>
      <c r="CPF18" s="38"/>
      <c r="CPG18" s="38"/>
      <c r="CPH18" s="38"/>
      <c r="CPI18" s="38"/>
      <c r="CPJ18" s="38"/>
      <c r="CPK18" s="38"/>
      <c r="CPL18" s="38"/>
      <c r="CPM18" s="38"/>
      <c r="CPN18" s="38"/>
      <c r="CPO18" s="38"/>
      <c r="CPP18" s="38"/>
      <c r="CPQ18" s="38"/>
      <c r="CPR18" s="38"/>
      <c r="CPS18" s="38"/>
      <c r="CPT18" s="38"/>
      <c r="CPU18" s="38"/>
      <c r="CPV18" s="38"/>
      <c r="CPW18" s="38"/>
      <c r="CPX18" s="38"/>
      <c r="CPY18" s="38"/>
      <c r="CPZ18" s="38"/>
      <c r="CQA18" s="38"/>
      <c r="CQB18" s="38"/>
      <c r="CQC18" s="38"/>
      <c r="CQD18" s="38"/>
      <c r="CQE18" s="38"/>
      <c r="CQF18" s="38"/>
      <c r="CQG18" s="38"/>
      <c r="CQH18" s="38"/>
      <c r="CQI18" s="38"/>
      <c r="CQJ18" s="38"/>
      <c r="CQK18" s="38"/>
      <c r="CQL18" s="38"/>
      <c r="CQM18" s="38"/>
      <c r="CQN18" s="38"/>
      <c r="CQO18" s="38"/>
      <c r="CQP18" s="38"/>
      <c r="CQQ18" s="38"/>
      <c r="CQR18" s="38"/>
      <c r="CQS18" s="38"/>
      <c r="CQT18" s="38"/>
      <c r="CQU18" s="38"/>
      <c r="CQV18" s="38"/>
      <c r="CQW18" s="38"/>
      <c r="CQX18" s="38"/>
      <c r="CQY18" s="38"/>
      <c r="CQZ18" s="38"/>
      <c r="CRA18" s="38"/>
      <c r="CRB18" s="38"/>
      <c r="CRC18" s="38"/>
      <c r="CRD18" s="38"/>
      <c r="CRE18" s="38"/>
      <c r="CRF18" s="38"/>
      <c r="CRG18" s="38"/>
      <c r="CRH18" s="38"/>
      <c r="CRI18" s="38"/>
      <c r="CRJ18" s="38"/>
      <c r="CRK18" s="38"/>
      <c r="CRL18" s="38"/>
      <c r="CRM18" s="38"/>
      <c r="CRN18" s="38"/>
      <c r="CRO18" s="38"/>
      <c r="CRP18" s="38"/>
      <c r="CRQ18" s="38"/>
      <c r="CRR18" s="38"/>
      <c r="CRS18" s="38"/>
      <c r="CRT18" s="38"/>
      <c r="CRU18" s="38"/>
      <c r="CRV18" s="38"/>
      <c r="CRW18" s="38"/>
      <c r="CRX18" s="38"/>
      <c r="CRY18" s="38"/>
      <c r="CRZ18" s="38"/>
      <c r="CSA18" s="38"/>
      <c r="CSB18" s="38"/>
      <c r="CSC18" s="38"/>
      <c r="CSD18" s="38"/>
      <c r="CSE18" s="38"/>
      <c r="CSF18" s="38"/>
      <c r="CSG18" s="38"/>
      <c r="CSH18" s="38"/>
      <c r="CSI18" s="38"/>
      <c r="CSJ18" s="38"/>
      <c r="CSK18" s="38"/>
      <c r="CSL18" s="38"/>
      <c r="CSM18" s="38"/>
      <c r="CSN18" s="38"/>
      <c r="CSO18" s="38"/>
      <c r="CSP18" s="38"/>
      <c r="CSQ18" s="38"/>
      <c r="CSR18" s="38"/>
      <c r="CSS18" s="38"/>
      <c r="CST18" s="38"/>
      <c r="CSU18" s="38"/>
      <c r="CSV18" s="38"/>
      <c r="CSW18" s="38"/>
      <c r="CSX18" s="38"/>
      <c r="CSY18" s="38"/>
      <c r="CSZ18" s="38"/>
      <c r="CTA18" s="38"/>
      <c r="CTB18" s="38"/>
      <c r="CTC18" s="38"/>
      <c r="CTD18" s="38"/>
      <c r="CTE18" s="38"/>
      <c r="CTF18" s="38"/>
      <c r="CTG18" s="38"/>
      <c r="CTH18" s="38"/>
      <c r="CTI18" s="38"/>
      <c r="CTJ18" s="38"/>
      <c r="CTK18" s="38"/>
      <c r="CTL18" s="38"/>
      <c r="CTM18" s="38"/>
      <c r="CTN18" s="38"/>
      <c r="CTO18" s="38"/>
      <c r="CTP18" s="38"/>
      <c r="CTQ18" s="38"/>
      <c r="CTR18" s="38"/>
      <c r="CTS18" s="38"/>
      <c r="CTT18" s="38"/>
      <c r="CTU18" s="38"/>
      <c r="CTV18" s="38"/>
      <c r="CTW18" s="38"/>
      <c r="CTX18" s="38"/>
      <c r="CTY18" s="38"/>
      <c r="CTZ18" s="38"/>
      <c r="CUA18" s="38"/>
      <c r="CUB18" s="38"/>
      <c r="CUC18" s="38"/>
      <c r="CUD18" s="38"/>
      <c r="CUE18" s="38"/>
      <c r="CUF18" s="38"/>
      <c r="CUG18" s="38"/>
      <c r="CUH18" s="38"/>
      <c r="CUI18" s="38"/>
      <c r="CUJ18" s="38"/>
      <c r="CUK18" s="38"/>
      <c r="CUL18" s="38"/>
      <c r="CUM18" s="38"/>
      <c r="CUN18" s="38"/>
      <c r="CUO18" s="38"/>
      <c r="CUP18" s="38"/>
      <c r="CUQ18" s="38"/>
      <c r="CUR18" s="38"/>
      <c r="CUS18" s="38"/>
      <c r="CUT18" s="38"/>
      <c r="CUU18" s="38"/>
      <c r="CUV18" s="38"/>
      <c r="CUW18" s="38"/>
      <c r="CUX18" s="38"/>
      <c r="CUY18" s="38"/>
      <c r="CUZ18" s="38"/>
      <c r="CVA18" s="38"/>
      <c r="CVB18" s="38"/>
      <c r="CVC18" s="38"/>
      <c r="CVD18" s="38"/>
      <c r="CVE18" s="38"/>
      <c r="CVF18" s="38"/>
      <c r="CVG18" s="38"/>
      <c r="CVH18" s="38"/>
      <c r="CVI18" s="38"/>
      <c r="CVJ18" s="38"/>
      <c r="CVK18" s="38"/>
      <c r="CVL18" s="38"/>
      <c r="CVM18" s="38"/>
      <c r="CVN18" s="38"/>
      <c r="CVO18" s="38"/>
      <c r="CVP18" s="38"/>
      <c r="CVQ18" s="38"/>
      <c r="CVR18" s="38"/>
      <c r="CVS18" s="38"/>
      <c r="CVT18" s="38"/>
      <c r="CVU18" s="38"/>
      <c r="CVV18" s="38"/>
      <c r="CVW18" s="38"/>
      <c r="CVX18" s="38"/>
      <c r="CVY18" s="38"/>
      <c r="CVZ18" s="38"/>
      <c r="CWA18" s="38"/>
      <c r="CWB18" s="38"/>
      <c r="CWC18" s="38"/>
      <c r="CWD18" s="38"/>
      <c r="CWE18" s="38"/>
      <c r="CWF18" s="38"/>
      <c r="CWG18" s="38"/>
      <c r="CWH18" s="38"/>
      <c r="CWI18" s="38"/>
      <c r="CWJ18" s="38"/>
      <c r="CWK18" s="38"/>
      <c r="CWL18" s="38"/>
      <c r="CWM18" s="38"/>
      <c r="CWN18" s="38"/>
      <c r="CWO18" s="38"/>
      <c r="CWP18" s="38"/>
      <c r="CWQ18" s="38"/>
      <c r="CWR18" s="38"/>
      <c r="CWS18" s="38"/>
      <c r="CWT18" s="38"/>
      <c r="CWU18" s="38"/>
      <c r="CWV18" s="38"/>
      <c r="CWW18" s="38"/>
      <c r="CWX18" s="38"/>
      <c r="CWY18" s="38"/>
      <c r="CWZ18" s="38"/>
      <c r="CXA18" s="38"/>
      <c r="CXB18" s="38"/>
      <c r="CXC18" s="38"/>
      <c r="CXD18" s="38"/>
      <c r="CXE18" s="38"/>
      <c r="CXF18" s="38"/>
      <c r="CXG18" s="38"/>
      <c r="CXH18" s="38"/>
      <c r="CXI18" s="38"/>
      <c r="CXJ18" s="38"/>
      <c r="CXK18" s="38"/>
      <c r="CXL18" s="38"/>
      <c r="CXM18" s="38"/>
      <c r="CXN18" s="38"/>
      <c r="CXO18" s="38"/>
      <c r="CXP18" s="38"/>
      <c r="CXQ18" s="38"/>
      <c r="CXR18" s="38"/>
      <c r="CXS18" s="38"/>
      <c r="CXT18" s="38"/>
      <c r="CXU18" s="38"/>
      <c r="CXV18" s="38"/>
      <c r="CXW18" s="38"/>
      <c r="CXX18" s="38"/>
      <c r="CXY18" s="38"/>
      <c r="CXZ18" s="38"/>
      <c r="CYA18" s="38"/>
      <c r="CYB18" s="38"/>
      <c r="CYC18" s="38"/>
      <c r="CYD18" s="38"/>
      <c r="CYE18" s="38"/>
      <c r="CYF18" s="38"/>
      <c r="CYG18" s="38"/>
      <c r="CYH18" s="38"/>
      <c r="CYI18" s="38"/>
      <c r="CYJ18" s="38"/>
      <c r="CYK18" s="38"/>
      <c r="CYL18" s="38"/>
      <c r="CYM18" s="38"/>
      <c r="CYN18" s="38"/>
      <c r="CYO18" s="38"/>
      <c r="CYP18" s="38"/>
      <c r="CYQ18" s="38"/>
      <c r="CYR18" s="38"/>
      <c r="CYS18" s="38"/>
      <c r="CYT18" s="38"/>
      <c r="CYU18" s="38"/>
      <c r="CYV18" s="38"/>
      <c r="CYW18" s="38"/>
      <c r="CYX18" s="38"/>
      <c r="CYY18" s="38"/>
      <c r="CYZ18" s="38"/>
      <c r="CZA18" s="38"/>
      <c r="CZB18" s="38"/>
      <c r="CZC18" s="38"/>
      <c r="CZD18" s="38"/>
      <c r="CZE18" s="38"/>
      <c r="CZF18" s="38"/>
      <c r="CZG18" s="38"/>
      <c r="CZH18" s="38"/>
      <c r="CZI18" s="38"/>
      <c r="CZJ18" s="38"/>
      <c r="CZK18" s="38"/>
      <c r="CZL18" s="38"/>
      <c r="CZM18" s="38"/>
      <c r="CZN18" s="38"/>
      <c r="CZO18" s="38"/>
      <c r="CZP18" s="38"/>
      <c r="CZQ18" s="38"/>
      <c r="CZR18" s="38"/>
      <c r="CZS18" s="38"/>
      <c r="CZT18" s="38"/>
      <c r="CZU18" s="38"/>
      <c r="CZV18" s="38"/>
      <c r="CZW18" s="38"/>
      <c r="CZX18" s="38"/>
      <c r="CZY18" s="38"/>
      <c r="CZZ18" s="38"/>
      <c r="DAA18" s="38"/>
      <c r="DAB18" s="38"/>
      <c r="DAC18" s="38"/>
      <c r="DAD18" s="38"/>
      <c r="DAE18" s="38"/>
      <c r="DAF18" s="38"/>
      <c r="DAG18" s="38"/>
      <c r="DAH18" s="38"/>
      <c r="DAI18" s="38"/>
      <c r="DAJ18" s="38"/>
      <c r="DAK18" s="38"/>
      <c r="DAL18" s="38"/>
      <c r="DAM18" s="38"/>
      <c r="DAN18" s="38"/>
      <c r="DAO18" s="38"/>
      <c r="DAP18" s="38"/>
      <c r="DAQ18" s="38"/>
      <c r="DAR18" s="38"/>
      <c r="DAS18" s="38"/>
      <c r="DAT18" s="38"/>
      <c r="DAU18" s="38"/>
      <c r="DAV18" s="38"/>
      <c r="DAW18" s="38"/>
      <c r="DAX18" s="38"/>
      <c r="DAY18" s="38"/>
      <c r="DAZ18" s="38"/>
      <c r="DBA18" s="38"/>
      <c r="DBB18" s="38"/>
      <c r="DBC18" s="38"/>
      <c r="DBD18" s="38"/>
      <c r="DBE18" s="38"/>
      <c r="DBF18" s="38"/>
      <c r="DBG18" s="38"/>
      <c r="DBH18" s="38"/>
      <c r="DBI18" s="38"/>
      <c r="DBJ18" s="38"/>
      <c r="DBK18" s="38"/>
      <c r="DBL18" s="38"/>
      <c r="DBM18" s="38"/>
      <c r="DBN18" s="38"/>
      <c r="DBO18" s="38"/>
      <c r="DBP18" s="38"/>
      <c r="DBQ18" s="38"/>
      <c r="DBR18" s="38"/>
      <c r="DBS18" s="38"/>
      <c r="DBT18" s="38"/>
      <c r="DBU18" s="38"/>
      <c r="DBV18" s="38"/>
      <c r="DBW18" s="38"/>
      <c r="DBX18" s="38"/>
      <c r="DBY18" s="38"/>
      <c r="DBZ18" s="38"/>
      <c r="DCA18" s="38"/>
      <c r="DCB18" s="38"/>
      <c r="DCC18" s="38"/>
      <c r="DCD18" s="38"/>
      <c r="DCE18" s="38"/>
      <c r="DCF18" s="38"/>
      <c r="DCG18" s="38"/>
      <c r="DCH18" s="38"/>
      <c r="DCI18" s="38"/>
      <c r="DCJ18" s="38"/>
      <c r="DCK18" s="38"/>
      <c r="DCL18" s="38"/>
      <c r="DCM18" s="38"/>
      <c r="DCN18" s="38"/>
      <c r="DCO18" s="38"/>
      <c r="DCP18" s="38"/>
      <c r="DCQ18" s="38"/>
      <c r="DCR18" s="38"/>
      <c r="DCS18" s="38"/>
      <c r="DCT18" s="38"/>
      <c r="DCU18" s="38"/>
      <c r="DCV18" s="38"/>
      <c r="DCW18" s="38"/>
      <c r="DCX18" s="38"/>
      <c r="DCY18" s="38"/>
      <c r="DCZ18" s="38"/>
      <c r="DDA18" s="38"/>
      <c r="DDB18" s="38"/>
      <c r="DDC18" s="38"/>
      <c r="DDD18" s="38"/>
      <c r="DDE18" s="38"/>
      <c r="DDF18" s="38"/>
      <c r="DDG18" s="38"/>
      <c r="DDH18" s="38"/>
      <c r="DDI18" s="38"/>
      <c r="DDJ18" s="38"/>
      <c r="DDK18" s="38"/>
      <c r="DDL18" s="38"/>
      <c r="DDM18" s="38"/>
      <c r="DDN18" s="38"/>
      <c r="DDO18" s="38"/>
      <c r="DDP18" s="38"/>
      <c r="DDQ18" s="38"/>
      <c r="DDR18" s="38"/>
      <c r="DDS18" s="38"/>
      <c r="DDT18" s="38"/>
      <c r="DDU18" s="38"/>
      <c r="DDV18" s="38"/>
      <c r="DDW18" s="38"/>
      <c r="DDX18" s="38"/>
      <c r="DDY18" s="38"/>
      <c r="DDZ18" s="38"/>
      <c r="DEA18" s="38"/>
      <c r="DEB18" s="38"/>
      <c r="DEC18" s="38"/>
      <c r="DED18" s="38"/>
      <c r="DEE18" s="38"/>
      <c r="DEF18" s="38"/>
      <c r="DEG18" s="38"/>
      <c r="DEH18" s="38"/>
      <c r="DEI18" s="38"/>
      <c r="DEJ18" s="38"/>
      <c r="DEK18" s="38"/>
      <c r="DEL18" s="38"/>
      <c r="DEM18" s="38"/>
      <c r="DEN18" s="38"/>
      <c r="DEO18" s="38"/>
      <c r="DEP18" s="38"/>
      <c r="DEQ18" s="38"/>
      <c r="DER18" s="38"/>
      <c r="DES18" s="38"/>
      <c r="DET18" s="38"/>
      <c r="DEU18" s="38"/>
      <c r="DEV18" s="38"/>
      <c r="DEW18" s="38"/>
      <c r="DEX18" s="38"/>
      <c r="DEY18" s="38"/>
      <c r="DEZ18" s="38"/>
      <c r="DFA18" s="38"/>
      <c r="DFB18" s="38"/>
      <c r="DFC18" s="38"/>
      <c r="DFD18" s="38"/>
      <c r="DFE18" s="38"/>
      <c r="DFF18" s="38"/>
      <c r="DFG18" s="38"/>
      <c r="DFH18" s="38"/>
      <c r="DFI18" s="38"/>
      <c r="DFJ18" s="38"/>
      <c r="DFK18" s="38"/>
      <c r="DFL18" s="38"/>
      <c r="DFM18" s="38"/>
      <c r="DFN18" s="38"/>
      <c r="DFO18" s="38"/>
      <c r="DFP18" s="38"/>
      <c r="DFQ18" s="38"/>
      <c r="DFR18" s="38"/>
      <c r="DFS18" s="38"/>
      <c r="DFT18" s="38"/>
      <c r="DFU18" s="38"/>
      <c r="DFV18" s="38"/>
      <c r="DFW18" s="38"/>
      <c r="DFX18" s="38"/>
      <c r="DFY18" s="38"/>
      <c r="DFZ18" s="38"/>
      <c r="DGA18" s="38"/>
      <c r="DGB18" s="38"/>
      <c r="DGC18" s="38"/>
      <c r="DGD18" s="38"/>
      <c r="DGE18" s="38"/>
      <c r="DGF18" s="38"/>
      <c r="DGG18" s="38"/>
      <c r="DGH18" s="38"/>
      <c r="DGI18" s="38"/>
      <c r="DGJ18" s="38"/>
      <c r="DGK18" s="38"/>
      <c r="DGL18" s="38"/>
      <c r="DGM18" s="38"/>
      <c r="DGN18" s="38"/>
      <c r="DGO18" s="38"/>
      <c r="DGP18" s="38"/>
      <c r="DGQ18" s="38"/>
      <c r="DGR18" s="38"/>
      <c r="DGS18" s="38"/>
      <c r="DGT18" s="38"/>
      <c r="DGU18" s="38"/>
      <c r="DGV18" s="38"/>
      <c r="DGW18" s="38"/>
      <c r="DGX18" s="38"/>
      <c r="DGY18" s="38"/>
      <c r="DGZ18" s="38"/>
      <c r="DHA18" s="38"/>
      <c r="DHB18" s="38"/>
      <c r="DHC18" s="38"/>
      <c r="DHD18" s="38"/>
      <c r="DHE18" s="38"/>
      <c r="DHF18" s="38"/>
      <c r="DHG18" s="38"/>
      <c r="DHH18" s="38"/>
      <c r="DHI18" s="38"/>
      <c r="DHJ18" s="38"/>
      <c r="DHK18" s="38"/>
      <c r="DHL18" s="38"/>
      <c r="DHM18" s="38"/>
      <c r="DHN18" s="38"/>
      <c r="DHO18" s="38"/>
      <c r="DHP18" s="38"/>
      <c r="DHQ18" s="38"/>
      <c r="DHR18" s="38"/>
      <c r="DHS18" s="38"/>
      <c r="DHT18" s="38"/>
      <c r="DHU18" s="38"/>
      <c r="DHV18" s="38"/>
      <c r="DHW18" s="38"/>
      <c r="DHX18" s="38"/>
      <c r="DHY18" s="38"/>
      <c r="DHZ18" s="38"/>
      <c r="DIA18" s="38"/>
      <c r="DIB18" s="38"/>
      <c r="DIC18" s="38"/>
      <c r="DID18" s="38"/>
      <c r="DIE18" s="38"/>
      <c r="DIF18" s="38"/>
      <c r="DIG18" s="38"/>
      <c r="DIH18" s="38"/>
      <c r="DII18" s="38"/>
      <c r="DIJ18" s="38"/>
      <c r="DIK18" s="38"/>
      <c r="DIL18" s="38"/>
      <c r="DIM18" s="38"/>
      <c r="DIN18" s="38"/>
      <c r="DIO18" s="38"/>
      <c r="DIP18" s="38"/>
      <c r="DIQ18" s="38"/>
      <c r="DIR18" s="38"/>
      <c r="DIS18" s="38"/>
      <c r="DIT18" s="38"/>
      <c r="DIU18" s="38"/>
      <c r="DIV18" s="38"/>
      <c r="DIW18" s="38"/>
      <c r="DIX18" s="38"/>
      <c r="DIY18" s="38"/>
      <c r="DIZ18" s="38"/>
      <c r="DJA18" s="38"/>
      <c r="DJB18" s="38"/>
      <c r="DJC18" s="38"/>
      <c r="DJD18" s="38"/>
      <c r="DJE18" s="38"/>
      <c r="DJF18" s="38"/>
      <c r="DJG18" s="38"/>
      <c r="DJH18" s="38"/>
      <c r="DJI18" s="38"/>
      <c r="DJJ18" s="38"/>
      <c r="DJK18" s="38"/>
      <c r="DJL18" s="38"/>
      <c r="DJM18" s="38"/>
      <c r="DJN18" s="38"/>
      <c r="DJO18" s="38"/>
      <c r="DJP18" s="38"/>
      <c r="DJQ18" s="38"/>
      <c r="DJR18" s="38"/>
      <c r="DJS18" s="38"/>
      <c r="DJT18" s="38"/>
      <c r="DJU18" s="38"/>
      <c r="DJV18" s="38"/>
      <c r="DJW18" s="38"/>
      <c r="DJX18" s="38"/>
      <c r="DJY18" s="38"/>
      <c r="DJZ18" s="38"/>
      <c r="DKA18" s="38"/>
      <c r="DKB18" s="38"/>
      <c r="DKC18" s="38"/>
      <c r="DKD18" s="38"/>
      <c r="DKE18" s="38"/>
      <c r="DKF18" s="38"/>
      <c r="DKG18" s="38"/>
      <c r="DKH18" s="38"/>
      <c r="DKI18" s="38"/>
      <c r="DKJ18" s="38"/>
      <c r="DKK18" s="38"/>
      <c r="DKL18" s="38"/>
      <c r="DKM18" s="38"/>
      <c r="DKN18" s="38"/>
      <c r="DKO18" s="38"/>
      <c r="DKP18" s="38"/>
      <c r="DKQ18" s="38"/>
      <c r="DKR18" s="38"/>
      <c r="DKS18" s="38"/>
      <c r="DKT18" s="38"/>
      <c r="DKU18" s="38"/>
      <c r="DKV18" s="38"/>
      <c r="DKW18" s="38"/>
      <c r="DKX18" s="38"/>
      <c r="DKY18" s="38"/>
      <c r="DKZ18" s="38"/>
      <c r="DLA18" s="38"/>
      <c r="DLB18" s="38"/>
      <c r="DLC18" s="38"/>
      <c r="DLD18" s="38"/>
      <c r="DLE18" s="38"/>
      <c r="DLF18" s="38"/>
      <c r="DLG18" s="38"/>
      <c r="DLH18" s="38"/>
      <c r="DLI18" s="38"/>
      <c r="DLJ18" s="38"/>
      <c r="DLK18" s="38"/>
      <c r="DLL18" s="38"/>
      <c r="DLM18" s="38"/>
      <c r="DLN18" s="38"/>
      <c r="DLO18" s="38"/>
      <c r="DLP18" s="38"/>
      <c r="DLQ18" s="38"/>
      <c r="DLR18" s="38"/>
      <c r="DLS18" s="38"/>
      <c r="DLT18" s="38"/>
      <c r="DLU18" s="38"/>
      <c r="DLV18" s="38"/>
      <c r="DLW18" s="38"/>
      <c r="DLX18" s="38"/>
      <c r="DLY18" s="38"/>
      <c r="DLZ18" s="38"/>
      <c r="DMA18" s="38"/>
      <c r="DMB18" s="38"/>
      <c r="DMC18" s="38"/>
      <c r="DMD18" s="38"/>
      <c r="DME18" s="38"/>
      <c r="DMF18" s="38"/>
      <c r="DMG18" s="38"/>
      <c r="DMH18" s="38"/>
      <c r="DMI18" s="38"/>
      <c r="DMJ18" s="38"/>
      <c r="DMK18" s="38"/>
      <c r="DML18" s="38"/>
      <c r="DMM18" s="38"/>
      <c r="DMN18" s="38"/>
      <c r="DMO18" s="38"/>
      <c r="DMP18" s="38"/>
      <c r="DMQ18" s="38"/>
      <c r="DMR18" s="38"/>
      <c r="DMS18" s="38"/>
      <c r="DMT18" s="38"/>
      <c r="DMU18" s="38"/>
      <c r="DMV18" s="38"/>
      <c r="DMW18" s="38"/>
      <c r="DMX18" s="38"/>
      <c r="DMY18" s="38"/>
      <c r="DMZ18" s="38"/>
      <c r="DNA18" s="38"/>
      <c r="DNB18" s="38"/>
      <c r="DNC18" s="38"/>
      <c r="DND18" s="38"/>
      <c r="DNE18" s="38"/>
      <c r="DNF18" s="38"/>
      <c r="DNG18" s="38"/>
      <c r="DNH18" s="38"/>
      <c r="DNI18" s="38"/>
      <c r="DNJ18" s="38"/>
      <c r="DNK18" s="38"/>
      <c r="DNL18" s="38"/>
      <c r="DNM18" s="38"/>
      <c r="DNN18" s="38"/>
      <c r="DNO18" s="38"/>
      <c r="DNP18" s="38"/>
      <c r="DNQ18" s="38"/>
      <c r="DNR18" s="38"/>
      <c r="DNS18" s="38"/>
      <c r="DNT18" s="38"/>
      <c r="DNU18" s="38"/>
      <c r="DNV18" s="38"/>
      <c r="DNW18" s="38"/>
      <c r="DNX18" s="38"/>
      <c r="DNY18" s="38"/>
      <c r="DNZ18" s="38"/>
      <c r="DOA18" s="38"/>
      <c r="DOB18" s="38"/>
      <c r="DOC18" s="38"/>
      <c r="DOD18" s="38"/>
      <c r="DOE18" s="38"/>
      <c r="DOF18" s="38"/>
      <c r="DOG18" s="38"/>
      <c r="DOH18" s="38"/>
      <c r="DOI18" s="38"/>
      <c r="DOJ18" s="38"/>
      <c r="DOK18" s="38"/>
      <c r="DOL18" s="38"/>
      <c r="DOM18" s="38"/>
      <c r="DON18" s="38"/>
      <c r="DOO18" s="38"/>
      <c r="DOP18" s="38"/>
      <c r="DOQ18" s="38"/>
      <c r="DOR18" s="38"/>
      <c r="DOS18" s="38"/>
      <c r="DOT18" s="38"/>
      <c r="DOU18" s="38"/>
      <c r="DOV18" s="38"/>
      <c r="DOW18" s="38"/>
      <c r="DOX18" s="38"/>
      <c r="DOY18" s="38"/>
      <c r="DOZ18" s="38"/>
      <c r="DPA18" s="38"/>
      <c r="DPB18" s="38"/>
      <c r="DPC18" s="38"/>
      <c r="DPD18" s="38"/>
      <c r="DPE18" s="38"/>
      <c r="DPF18" s="38"/>
      <c r="DPG18" s="38"/>
      <c r="DPH18" s="38"/>
      <c r="DPI18" s="38"/>
      <c r="DPJ18" s="38"/>
      <c r="DPK18" s="38"/>
      <c r="DPL18" s="38"/>
      <c r="DPM18" s="38"/>
      <c r="DPN18" s="38"/>
      <c r="DPO18" s="38"/>
      <c r="DPP18" s="38"/>
      <c r="DPQ18" s="38"/>
      <c r="DPR18" s="38"/>
      <c r="DPS18" s="38"/>
      <c r="DPT18" s="38"/>
      <c r="DPU18" s="38"/>
      <c r="DPV18" s="38"/>
      <c r="DPW18" s="38"/>
      <c r="DPX18" s="38"/>
      <c r="DPY18" s="38"/>
      <c r="DPZ18" s="38"/>
      <c r="DQA18" s="38"/>
      <c r="DQB18" s="38"/>
      <c r="DQC18" s="38"/>
      <c r="DQD18" s="38"/>
      <c r="DQE18" s="38"/>
      <c r="DQF18" s="38"/>
      <c r="DQG18" s="38"/>
      <c r="DQH18" s="38"/>
      <c r="DQI18" s="38"/>
      <c r="DQJ18" s="38"/>
      <c r="DQK18" s="38"/>
      <c r="DQL18" s="38"/>
      <c r="DQM18" s="38"/>
      <c r="DQN18" s="38"/>
      <c r="DQO18" s="38"/>
      <c r="DQP18" s="38"/>
      <c r="DQQ18" s="38"/>
      <c r="DQR18" s="38"/>
      <c r="DQS18" s="38"/>
      <c r="DQT18" s="38"/>
      <c r="DQU18" s="38"/>
      <c r="DQV18" s="38"/>
      <c r="DQW18" s="38"/>
      <c r="DQX18" s="38"/>
      <c r="DQY18" s="38"/>
      <c r="DQZ18" s="38"/>
      <c r="DRA18" s="38"/>
      <c r="DRB18" s="38"/>
      <c r="DRC18" s="38"/>
      <c r="DRD18" s="38"/>
      <c r="DRE18" s="38"/>
      <c r="DRF18" s="38"/>
      <c r="DRG18" s="38"/>
      <c r="DRH18" s="38"/>
      <c r="DRI18" s="38"/>
      <c r="DRJ18" s="38"/>
      <c r="DRK18" s="38"/>
      <c r="DRL18" s="38"/>
      <c r="DRM18" s="38"/>
      <c r="DRN18" s="38"/>
      <c r="DRO18" s="38"/>
      <c r="DRP18" s="38"/>
      <c r="DRQ18" s="38"/>
      <c r="DRR18" s="38"/>
      <c r="DRS18" s="38"/>
      <c r="DRT18" s="38"/>
      <c r="DRU18" s="38"/>
      <c r="DRV18" s="38"/>
      <c r="DRW18" s="38"/>
      <c r="DRX18" s="38"/>
      <c r="DRY18" s="38"/>
      <c r="DRZ18" s="38"/>
      <c r="DSA18" s="38"/>
      <c r="DSB18" s="38"/>
      <c r="DSC18" s="38"/>
      <c r="DSD18" s="38"/>
      <c r="DSE18" s="38"/>
      <c r="DSF18" s="38"/>
      <c r="DSG18" s="38"/>
      <c r="DSH18" s="38"/>
      <c r="DSI18" s="38"/>
      <c r="DSJ18" s="38"/>
      <c r="DSK18" s="38"/>
      <c r="DSL18" s="38"/>
      <c r="DSM18" s="38"/>
      <c r="DSN18" s="38"/>
      <c r="DSO18" s="38"/>
      <c r="DSP18" s="38"/>
      <c r="DSQ18" s="38"/>
      <c r="DSR18" s="38"/>
      <c r="DSS18" s="38"/>
      <c r="DST18" s="38"/>
      <c r="DSU18" s="38"/>
      <c r="DSV18" s="38"/>
      <c r="DSW18" s="38"/>
      <c r="DSX18" s="38"/>
      <c r="DSY18" s="38"/>
      <c r="DSZ18" s="38"/>
      <c r="DTA18" s="38"/>
      <c r="DTB18" s="38"/>
      <c r="DTC18" s="38"/>
      <c r="DTD18" s="38"/>
      <c r="DTE18" s="38"/>
      <c r="DTF18" s="38"/>
      <c r="DTG18" s="38"/>
      <c r="DTH18" s="38"/>
      <c r="DTI18" s="38"/>
      <c r="DTJ18" s="38"/>
      <c r="DTK18" s="38"/>
      <c r="DTL18" s="38"/>
      <c r="DTM18" s="38"/>
      <c r="DTN18" s="38"/>
      <c r="DTO18" s="38"/>
      <c r="DTP18" s="38"/>
      <c r="DTQ18" s="38"/>
      <c r="DTR18" s="38"/>
      <c r="DTS18" s="38"/>
      <c r="DTT18" s="38"/>
      <c r="DTU18" s="38"/>
      <c r="DTV18" s="38"/>
      <c r="DTW18" s="38"/>
      <c r="DTX18" s="38"/>
      <c r="DTY18" s="38"/>
      <c r="DTZ18" s="38"/>
      <c r="DUA18" s="38"/>
      <c r="DUB18" s="38"/>
      <c r="DUC18" s="38"/>
      <c r="DUD18" s="38"/>
      <c r="DUE18" s="38"/>
      <c r="DUF18" s="38"/>
      <c r="DUG18" s="38"/>
      <c r="DUH18" s="38"/>
      <c r="DUI18" s="38"/>
      <c r="DUJ18" s="38"/>
      <c r="DUK18" s="38"/>
      <c r="DUL18" s="38"/>
      <c r="DUM18" s="38"/>
      <c r="DUN18" s="38"/>
      <c r="DUO18" s="38"/>
      <c r="DUP18" s="38"/>
      <c r="DUQ18" s="38"/>
      <c r="DUR18" s="38"/>
      <c r="DUS18" s="38"/>
      <c r="DUT18" s="38"/>
      <c r="DUU18" s="38"/>
      <c r="DUV18" s="38"/>
      <c r="DUW18" s="38"/>
      <c r="DUX18" s="38"/>
      <c r="DUY18" s="38"/>
      <c r="DUZ18" s="38"/>
      <c r="DVA18" s="38"/>
      <c r="DVB18" s="38"/>
      <c r="DVC18" s="38"/>
      <c r="DVD18" s="38"/>
      <c r="DVE18" s="38"/>
      <c r="DVF18" s="38"/>
      <c r="DVG18" s="38"/>
      <c r="DVH18" s="38"/>
      <c r="DVI18" s="38"/>
      <c r="DVJ18" s="38"/>
      <c r="DVK18" s="38"/>
      <c r="DVL18" s="38"/>
      <c r="DVM18" s="38"/>
      <c r="DVN18" s="38"/>
      <c r="DVO18" s="38"/>
      <c r="DVP18" s="38"/>
      <c r="DVQ18" s="38"/>
      <c r="DVR18" s="38"/>
      <c r="DVS18" s="38"/>
      <c r="DVT18" s="38"/>
      <c r="DVU18" s="38"/>
      <c r="DVV18" s="38"/>
      <c r="DVW18" s="38"/>
      <c r="DVX18" s="38"/>
      <c r="DVY18" s="38"/>
      <c r="DVZ18" s="38"/>
      <c r="DWA18" s="38"/>
      <c r="DWB18" s="38"/>
      <c r="DWC18" s="38"/>
      <c r="DWD18" s="38"/>
      <c r="DWE18" s="38"/>
      <c r="DWF18" s="38"/>
      <c r="DWG18" s="38"/>
      <c r="DWH18" s="38"/>
      <c r="DWI18" s="38"/>
      <c r="DWJ18" s="38"/>
      <c r="DWK18" s="38"/>
      <c r="DWL18" s="38"/>
      <c r="DWM18" s="38"/>
      <c r="DWN18" s="38"/>
      <c r="DWO18" s="38"/>
      <c r="DWP18" s="38"/>
      <c r="DWQ18" s="38"/>
      <c r="DWR18" s="38"/>
      <c r="DWS18" s="38"/>
      <c r="DWT18" s="38"/>
      <c r="DWU18" s="38"/>
      <c r="DWV18" s="38"/>
      <c r="DWW18" s="38"/>
      <c r="DWX18" s="38"/>
      <c r="DWY18" s="38"/>
      <c r="DWZ18" s="38"/>
      <c r="DXA18" s="38"/>
      <c r="DXB18" s="38"/>
      <c r="DXC18" s="38"/>
      <c r="DXD18" s="38"/>
      <c r="DXE18" s="38"/>
      <c r="DXF18" s="38"/>
      <c r="DXG18" s="38"/>
      <c r="DXH18" s="38"/>
      <c r="DXI18" s="38"/>
      <c r="DXJ18" s="38"/>
      <c r="DXK18" s="38"/>
      <c r="DXL18" s="38"/>
      <c r="DXM18" s="38"/>
      <c r="DXN18" s="38"/>
      <c r="DXO18" s="38"/>
      <c r="DXP18" s="38"/>
      <c r="DXQ18" s="38"/>
      <c r="DXR18" s="38"/>
      <c r="DXS18" s="38"/>
      <c r="DXT18" s="38"/>
      <c r="DXU18" s="38"/>
      <c r="DXV18" s="38"/>
      <c r="DXW18" s="38"/>
      <c r="DXX18" s="38"/>
      <c r="DXY18" s="38"/>
      <c r="DXZ18" s="38"/>
      <c r="DYA18" s="38"/>
      <c r="DYB18" s="38"/>
      <c r="DYC18" s="38"/>
      <c r="DYD18" s="38"/>
      <c r="DYE18" s="38"/>
      <c r="DYF18" s="38"/>
      <c r="DYG18" s="38"/>
      <c r="DYH18" s="38"/>
      <c r="DYI18" s="38"/>
      <c r="DYJ18" s="38"/>
      <c r="DYK18" s="38"/>
      <c r="DYL18" s="38"/>
      <c r="DYM18" s="38"/>
      <c r="DYN18" s="38"/>
      <c r="DYO18" s="38"/>
      <c r="DYP18" s="38"/>
      <c r="DYQ18" s="38"/>
      <c r="DYR18" s="38"/>
      <c r="DYS18" s="38"/>
      <c r="DYT18" s="38"/>
      <c r="DYU18" s="38"/>
      <c r="DYV18" s="38"/>
      <c r="DYW18" s="38"/>
      <c r="DYX18" s="38"/>
      <c r="DYY18" s="38"/>
      <c r="DYZ18" s="38"/>
      <c r="DZA18" s="38"/>
      <c r="DZB18" s="38"/>
      <c r="DZC18" s="38"/>
      <c r="DZD18" s="38"/>
      <c r="DZE18" s="38"/>
      <c r="DZF18" s="38"/>
      <c r="DZG18" s="38"/>
      <c r="DZH18" s="38"/>
      <c r="DZI18" s="38"/>
      <c r="DZJ18" s="38"/>
      <c r="DZK18" s="38"/>
      <c r="DZL18" s="38"/>
      <c r="DZM18" s="38"/>
      <c r="DZN18" s="38"/>
      <c r="DZO18" s="38"/>
      <c r="DZP18" s="38"/>
      <c r="DZQ18" s="38"/>
      <c r="DZR18" s="38"/>
      <c r="DZS18" s="38"/>
      <c r="DZT18" s="38"/>
      <c r="DZU18" s="38"/>
      <c r="DZV18" s="38"/>
      <c r="DZW18" s="38"/>
      <c r="DZX18" s="38"/>
      <c r="DZY18" s="38"/>
      <c r="DZZ18" s="38"/>
      <c r="EAA18" s="38"/>
      <c r="EAB18" s="38"/>
      <c r="EAC18" s="38"/>
      <c r="EAD18" s="38"/>
      <c r="EAE18" s="38"/>
      <c r="EAF18" s="38"/>
      <c r="EAG18" s="38"/>
      <c r="EAH18" s="38"/>
      <c r="EAI18" s="38"/>
      <c r="EAJ18" s="38"/>
      <c r="EAK18" s="38"/>
      <c r="EAL18" s="38"/>
      <c r="EAM18" s="38"/>
      <c r="EAN18" s="38"/>
      <c r="EAO18" s="38"/>
      <c r="EAP18" s="38"/>
      <c r="EAQ18" s="38"/>
      <c r="EAR18" s="38"/>
      <c r="EAS18" s="38"/>
      <c r="EAT18" s="38"/>
      <c r="EAU18" s="38"/>
      <c r="EAV18" s="38"/>
      <c r="EAW18" s="38"/>
      <c r="EAX18" s="38"/>
      <c r="EAY18" s="38"/>
      <c r="EAZ18" s="38"/>
      <c r="EBA18" s="38"/>
      <c r="EBB18" s="38"/>
      <c r="EBC18" s="38"/>
      <c r="EBD18" s="38"/>
      <c r="EBE18" s="38"/>
      <c r="EBF18" s="38"/>
      <c r="EBG18" s="38"/>
      <c r="EBH18" s="38"/>
      <c r="EBI18" s="38"/>
      <c r="EBJ18" s="38"/>
      <c r="EBK18" s="38"/>
      <c r="EBL18" s="38"/>
      <c r="EBM18" s="38"/>
      <c r="EBN18" s="38"/>
      <c r="EBO18" s="38"/>
      <c r="EBP18" s="38"/>
      <c r="EBQ18" s="38"/>
      <c r="EBR18" s="38"/>
      <c r="EBS18" s="38"/>
      <c r="EBT18" s="38"/>
      <c r="EBU18" s="38"/>
      <c r="EBV18" s="38"/>
      <c r="EBW18" s="38"/>
      <c r="EBX18" s="38"/>
      <c r="EBY18" s="38"/>
      <c r="EBZ18" s="38"/>
      <c r="ECA18" s="38"/>
      <c r="ECB18" s="38"/>
      <c r="ECC18" s="38"/>
      <c r="ECD18" s="38"/>
      <c r="ECE18" s="38"/>
      <c r="ECF18" s="38"/>
      <c r="ECG18" s="38"/>
      <c r="ECH18" s="38"/>
      <c r="ECI18" s="38"/>
      <c r="ECJ18" s="38"/>
      <c r="ECK18" s="38"/>
      <c r="ECL18" s="38"/>
      <c r="ECM18" s="38"/>
      <c r="ECN18" s="38"/>
      <c r="ECO18" s="38"/>
      <c r="ECP18" s="38"/>
      <c r="ECQ18" s="38"/>
      <c r="ECR18" s="38"/>
      <c r="ECS18" s="38"/>
      <c r="ECT18" s="38"/>
      <c r="ECU18" s="38"/>
      <c r="ECV18" s="38"/>
      <c r="ECW18" s="38"/>
      <c r="ECX18" s="38"/>
      <c r="ECY18" s="38"/>
      <c r="ECZ18" s="38"/>
      <c r="EDA18" s="38"/>
      <c r="EDB18" s="38"/>
      <c r="EDC18" s="38"/>
      <c r="EDD18" s="38"/>
      <c r="EDE18" s="38"/>
      <c r="EDF18" s="38"/>
      <c r="EDG18" s="38"/>
      <c r="EDH18" s="38"/>
      <c r="EDI18" s="38"/>
      <c r="EDJ18" s="38"/>
      <c r="EDK18" s="38"/>
      <c r="EDL18" s="38"/>
      <c r="EDM18" s="38"/>
      <c r="EDN18" s="38"/>
      <c r="EDO18" s="38"/>
      <c r="EDP18" s="38"/>
      <c r="EDQ18" s="38"/>
      <c r="EDR18" s="38"/>
      <c r="EDS18" s="38"/>
      <c r="EDT18" s="38"/>
      <c r="EDU18" s="38"/>
      <c r="EDV18" s="38"/>
      <c r="EDW18" s="38"/>
      <c r="EDX18" s="38"/>
      <c r="EDY18" s="38"/>
      <c r="EDZ18" s="38"/>
      <c r="EEA18" s="38"/>
      <c r="EEB18" s="38"/>
      <c r="EEC18" s="38"/>
      <c r="EED18" s="38"/>
      <c r="EEE18" s="38"/>
      <c r="EEF18" s="38"/>
      <c r="EEG18" s="38"/>
      <c r="EEH18" s="38"/>
      <c r="EEI18" s="38"/>
      <c r="EEJ18" s="38"/>
      <c r="EEK18" s="38"/>
      <c r="EEL18" s="38"/>
      <c r="EEM18" s="38"/>
      <c r="EEN18" s="38"/>
      <c r="EEO18" s="38"/>
      <c r="EEP18" s="38"/>
      <c r="EEQ18" s="38"/>
      <c r="EER18" s="38"/>
      <c r="EES18" s="38"/>
      <c r="EET18" s="38"/>
      <c r="EEU18" s="38"/>
      <c r="EEV18" s="38"/>
      <c r="EEW18" s="38"/>
      <c r="EEX18" s="38"/>
      <c r="EEY18" s="38"/>
      <c r="EEZ18" s="38"/>
      <c r="EFA18" s="38"/>
      <c r="EFB18" s="38"/>
      <c r="EFC18" s="38"/>
      <c r="EFD18" s="38"/>
      <c r="EFE18" s="38"/>
      <c r="EFF18" s="38"/>
      <c r="EFG18" s="38"/>
      <c r="EFH18" s="38"/>
      <c r="EFI18" s="38"/>
      <c r="EFJ18" s="38"/>
      <c r="EFK18" s="38"/>
      <c r="EFL18" s="38"/>
      <c r="EFM18" s="38"/>
      <c r="EFN18" s="38"/>
      <c r="EFO18" s="38"/>
      <c r="EFP18" s="38"/>
      <c r="EFQ18" s="38"/>
      <c r="EFR18" s="38"/>
      <c r="EFS18" s="38"/>
      <c r="EFT18" s="38"/>
      <c r="EFU18" s="38"/>
      <c r="EFV18" s="38"/>
      <c r="EFW18" s="38"/>
      <c r="EFX18" s="38"/>
      <c r="EFY18" s="38"/>
      <c r="EFZ18" s="38"/>
      <c r="EGA18" s="38"/>
      <c r="EGB18" s="38"/>
      <c r="EGC18" s="38"/>
      <c r="EGD18" s="38"/>
      <c r="EGE18" s="38"/>
      <c r="EGF18" s="38"/>
      <c r="EGG18" s="38"/>
      <c r="EGH18" s="38"/>
      <c r="EGI18" s="38"/>
      <c r="EGJ18" s="38"/>
      <c r="EGK18" s="38"/>
      <c r="EGL18" s="38"/>
      <c r="EGM18" s="38"/>
      <c r="EGN18" s="38"/>
      <c r="EGO18" s="38"/>
      <c r="EGP18" s="38"/>
      <c r="EGQ18" s="38"/>
      <c r="EGR18" s="38"/>
      <c r="EGS18" s="38"/>
      <c r="EGT18" s="38"/>
      <c r="EGU18" s="38"/>
      <c r="EGV18" s="38"/>
      <c r="EGW18" s="38"/>
      <c r="EGX18" s="38"/>
      <c r="EGY18" s="38"/>
      <c r="EGZ18" s="38"/>
      <c r="EHA18" s="38"/>
      <c r="EHB18" s="38"/>
      <c r="EHC18" s="38"/>
      <c r="EHD18" s="38"/>
      <c r="EHE18" s="38"/>
      <c r="EHF18" s="38"/>
      <c r="EHG18" s="38"/>
      <c r="EHH18" s="38"/>
      <c r="EHI18" s="38"/>
      <c r="EHJ18" s="38"/>
      <c r="EHK18" s="38"/>
      <c r="EHL18" s="38"/>
      <c r="EHM18" s="38"/>
      <c r="EHN18" s="38"/>
      <c r="EHO18" s="38"/>
      <c r="EHP18" s="38"/>
      <c r="EHQ18" s="38"/>
      <c r="EHR18" s="38"/>
      <c r="EHS18" s="38"/>
      <c r="EHT18" s="38"/>
      <c r="EHU18" s="38"/>
      <c r="EHV18" s="38"/>
      <c r="EHW18" s="38"/>
      <c r="EHX18" s="38"/>
      <c r="EHY18" s="38"/>
      <c r="EHZ18" s="38"/>
      <c r="EIA18" s="38"/>
      <c r="EIB18" s="38"/>
      <c r="EIC18" s="38"/>
      <c r="EID18" s="38"/>
      <c r="EIE18" s="38"/>
      <c r="EIF18" s="38"/>
      <c r="EIG18" s="38"/>
      <c r="EIH18" s="38"/>
      <c r="EII18" s="38"/>
      <c r="EIJ18" s="38"/>
      <c r="EIK18" s="38"/>
      <c r="EIL18" s="38"/>
      <c r="EIM18" s="38"/>
      <c r="EIN18" s="38"/>
      <c r="EIO18" s="38"/>
      <c r="EIP18" s="38"/>
      <c r="EIQ18" s="38"/>
      <c r="EIR18" s="38"/>
      <c r="EIS18" s="38"/>
      <c r="EIT18" s="38"/>
      <c r="EIU18" s="38"/>
      <c r="EIV18" s="38"/>
      <c r="EIW18" s="38"/>
      <c r="EIX18" s="38"/>
      <c r="EIY18" s="38"/>
      <c r="EIZ18" s="38"/>
      <c r="EJA18" s="38"/>
      <c r="EJB18" s="38"/>
      <c r="EJC18" s="38"/>
      <c r="EJD18" s="38"/>
      <c r="EJE18" s="38"/>
      <c r="EJF18" s="38"/>
      <c r="EJG18" s="38"/>
      <c r="EJH18" s="38"/>
      <c r="EJI18" s="38"/>
      <c r="EJJ18" s="38"/>
      <c r="EJK18" s="38"/>
      <c r="EJL18" s="38"/>
      <c r="EJM18" s="38"/>
      <c r="EJN18" s="38"/>
      <c r="EJO18" s="38"/>
      <c r="EJP18" s="38"/>
      <c r="EJQ18" s="38"/>
      <c r="EJR18" s="38"/>
      <c r="EJS18" s="38"/>
      <c r="EJT18" s="38"/>
      <c r="EJU18" s="38"/>
      <c r="EJV18" s="38"/>
      <c r="EJW18" s="38"/>
      <c r="EJX18" s="38"/>
      <c r="EJY18" s="38"/>
      <c r="EJZ18" s="38"/>
      <c r="EKA18" s="38"/>
      <c r="EKB18" s="38"/>
      <c r="EKC18" s="38"/>
      <c r="EKD18" s="38"/>
      <c r="EKE18" s="38"/>
      <c r="EKF18" s="38"/>
      <c r="EKG18" s="38"/>
      <c r="EKH18" s="38"/>
      <c r="EKI18" s="38"/>
      <c r="EKJ18" s="38"/>
      <c r="EKK18" s="38"/>
      <c r="EKL18" s="38"/>
      <c r="EKM18" s="38"/>
      <c r="EKN18" s="38"/>
      <c r="EKO18" s="38"/>
      <c r="EKP18" s="38"/>
      <c r="EKQ18" s="38"/>
      <c r="EKR18" s="38"/>
      <c r="EKS18" s="38"/>
      <c r="EKT18" s="38"/>
      <c r="EKU18" s="38"/>
      <c r="EKV18" s="38"/>
      <c r="EKW18" s="38"/>
      <c r="EKX18" s="38"/>
      <c r="EKY18" s="38"/>
      <c r="EKZ18" s="38"/>
      <c r="ELA18" s="38"/>
      <c r="ELB18" s="38"/>
      <c r="ELC18" s="38"/>
      <c r="ELD18" s="38"/>
      <c r="ELE18" s="38"/>
      <c r="ELF18" s="38"/>
      <c r="ELG18" s="38"/>
      <c r="ELH18" s="38"/>
      <c r="ELI18" s="38"/>
      <c r="ELJ18" s="38"/>
      <c r="ELK18" s="38"/>
      <c r="ELL18" s="38"/>
      <c r="ELM18" s="38"/>
      <c r="ELN18" s="38"/>
      <c r="ELO18" s="38"/>
      <c r="ELP18" s="38"/>
      <c r="ELQ18" s="38"/>
      <c r="ELR18" s="38"/>
      <c r="ELS18" s="38"/>
      <c r="ELT18" s="38"/>
      <c r="ELU18" s="38"/>
      <c r="ELV18" s="38"/>
      <c r="ELW18" s="38"/>
      <c r="ELX18" s="38"/>
      <c r="ELY18" s="38"/>
      <c r="ELZ18" s="38"/>
      <c r="EMA18" s="38"/>
      <c r="EMB18" s="38"/>
      <c r="EMC18" s="38"/>
      <c r="EMD18" s="38"/>
      <c r="EME18" s="38"/>
      <c r="EMF18" s="38"/>
      <c r="EMG18" s="38"/>
      <c r="EMH18" s="38"/>
      <c r="EMI18" s="38"/>
      <c r="EMJ18" s="38"/>
      <c r="EMK18" s="38"/>
      <c r="EML18" s="38"/>
      <c r="EMM18" s="38"/>
      <c r="EMN18" s="38"/>
      <c r="EMO18" s="38"/>
      <c r="EMP18" s="38"/>
      <c r="EMQ18" s="38"/>
      <c r="EMR18" s="38"/>
      <c r="EMS18" s="38"/>
      <c r="EMT18" s="38"/>
      <c r="EMU18" s="38"/>
      <c r="EMV18" s="38"/>
      <c r="EMW18" s="38"/>
      <c r="EMX18" s="38"/>
      <c r="EMY18" s="38"/>
      <c r="EMZ18" s="38"/>
      <c r="ENA18" s="38"/>
      <c r="ENB18" s="38"/>
      <c r="ENC18" s="38"/>
      <c r="END18" s="38"/>
      <c r="ENE18" s="38"/>
      <c r="ENF18" s="38"/>
      <c r="ENG18" s="38"/>
      <c r="ENH18" s="38"/>
      <c r="ENI18" s="38"/>
      <c r="ENJ18" s="38"/>
      <c r="ENK18" s="38"/>
      <c r="ENL18" s="38"/>
      <c r="ENM18" s="38"/>
      <c r="ENN18" s="38"/>
      <c r="ENO18" s="38"/>
      <c r="ENP18" s="38"/>
      <c r="ENQ18" s="38"/>
      <c r="ENR18" s="38"/>
      <c r="ENS18" s="38"/>
      <c r="ENT18" s="38"/>
      <c r="ENU18" s="38"/>
      <c r="ENV18" s="38"/>
      <c r="ENW18" s="38"/>
      <c r="ENX18" s="38"/>
      <c r="ENY18" s="38"/>
      <c r="ENZ18" s="38"/>
      <c r="EOA18" s="38"/>
      <c r="EOB18" s="38"/>
      <c r="EOC18" s="38"/>
      <c r="EOD18" s="38"/>
      <c r="EOE18" s="38"/>
      <c r="EOF18" s="38"/>
      <c r="EOG18" s="38"/>
      <c r="EOH18" s="38"/>
      <c r="EOI18" s="38"/>
      <c r="EOJ18" s="38"/>
      <c r="EOK18" s="38"/>
      <c r="EOL18" s="38"/>
      <c r="EOM18" s="38"/>
      <c r="EON18" s="38"/>
      <c r="EOO18" s="38"/>
      <c r="EOP18" s="38"/>
      <c r="EOQ18" s="38"/>
      <c r="EOR18" s="38"/>
      <c r="EOS18" s="38"/>
      <c r="EOT18" s="38"/>
      <c r="EOU18" s="38"/>
      <c r="EOV18" s="38"/>
      <c r="EOW18" s="38"/>
      <c r="EOX18" s="38"/>
      <c r="EOY18" s="38"/>
      <c r="EOZ18" s="38"/>
      <c r="EPA18" s="38"/>
      <c r="EPB18" s="38"/>
      <c r="EPC18" s="38"/>
      <c r="EPD18" s="38"/>
      <c r="EPE18" s="38"/>
      <c r="EPF18" s="38"/>
      <c r="EPG18" s="38"/>
      <c r="EPH18" s="38"/>
      <c r="EPI18" s="38"/>
      <c r="EPJ18" s="38"/>
      <c r="EPK18" s="38"/>
      <c r="EPL18" s="38"/>
      <c r="EPM18" s="38"/>
      <c r="EPN18" s="38"/>
      <c r="EPO18" s="38"/>
      <c r="EPP18" s="38"/>
      <c r="EPQ18" s="38"/>
      <c r="EPR18" s="38"/>
      <c r="EPS18" s="38"/>
      <c r="EPT18" s="38"/>
      <c r="EPU18" s="38"/>
      <c r="EPV18" s="38"/>
      <c r="EPW18" s="38"/>
      <c r="EPX18" s="38"/>
      <c r="EPY18" s="38"/>
      <c r="EPZ18" s="38"/>
      <c r="EQA18" s="38"/>
      <c r="EQB18" s="38"/>
      <c r="EQC18" s="38"/>
      <c r="EQD18" s="38"/>
      <c r="EQE18" s="38"/>
      <c r="EQF18" s="38"/>
      <c r="EQG18" s="38"/>
      <c r="EQH18" s="38"/>
      <c r="EQI18" s="38"/>
      <c r="EQJ18" s="38"/>
      <c r="EQK18" s="38"/>
      <c r="EQL18" s="38"/>
      <c r="EQM18" s="38"/>
      <c r="EQN18" s="38"/>
      <c r="EQO18" s="38"/>
      <c r="EQP18" s="38"/>
      <c r="EQQ18" s="38"/>
      <c r="EQR18" s="38"/>
      <c r="EQS18" s="38"/>
      <c r="EQT18" s="38"/>
      <c r="EQU18" s="38"/>
      <c r="EQV18" s="38"/>
      <c r="EQW18" s="38"/>
      <c r="EQX18" s="38"/>
      <c r="EQY18" s="38"/>
      <c r="EQZ18" s="38"/>
      <c r="ERA18" s="38"/>
      <c r="ERB18" s="38"/>
      <c r="ERC18" s="38"/>
      <c r="ERD18" s="38"/>
      <c r="ERE18" s="38"/>
      <c r="ERF18" s="38"/>
      <c r="ERG18" s="38"/>
      <c r="ERH18" s="38"/>
      <c r="ERI18" s="38"/>
      <c r="ERJ18" s="38"/>
      <c r="ERK18" s="38"/>
      <c r="ERL18" s="38"/>
      <c r="ERM18" s="38"/>
      <c r="ERN18" s="38"/>
      <c r="ERO18" s="38"/>
      <c r="ERP18" s="38"/>
      <c r="ERQ18" s="38"/>
      <c r="ERR18" s="38"/>
      <c r="ERS18" s="38"/>
      <c r="ERT18" s="38"/>
      <c r="ERU18" s="38"/>
      <c r="ERV18" s="38"/>
      <c r="ERW18" s="38"/>
      <c r="ERX18" s="38"/>
      <c r="ERY18" s="38"/>
      <c r="ERZ18" s="38"/>
      <c r="ESA18" s="38"/>
      <c r="ESB18" s="38"/>
      <c r="ESC18" s="38"/>
      <c r="ESD18" s="38"/>
      <c r="ESE18" s="38"/>
      <c r="ESF18" s="38"/>
      <c r="ESG18" s="38"/>
      <c r="ESH18" s="38"/>
      <c r="ESI18" s="38"/>
      <c r="ESJ18" s="38"/>
      <c r="ESK18" s="38"/>
      <c r="ESL18" s="38"/>
      <c r="ESM18" s="38"/>
      <c r="ESN18" s="38"/>
      <c r="ESO18" s="38"/>
      <c r="ESP18" s="38"/>
      <c r="ESQ18" s="38"/>
      <c r="ESR18" s="38"/>
      <c r="ESS18" s="38"/>
      <c r="EST18" s="38"/>
      <c r="ESU18" s="38"/>
      <c r="ESV18" s="38"/>
      <c r="ESW18" s="38"/>
      <c r="ESX18" s="38"/>
      <c r="ESY18" s="38"/>
      <c r="ESZ18" s="38"/>
      <c r="ETA18" s="38"/>
      <c r="ETB18" s="38"/>
      <c r="ETC18" s="38"/>
      <c r="ETD18" s="38"/>
      <c r="ETE18" s="38"/>
      <c r="ETF18" s="38"/>
      <c r="ETG18" s="38"/>
      <c r="ETH18" s="38"/>
      <c r="ETI18" s="38"/>
      <c r="ETJ18" s="38"/>
      <c r="ETK18" s="38"/>
      <c r="ETL18" s="38"/>
      <c r="ETM18" s="38"/>
      <c r="ETN18" s="38"/>
      <c r="ETO18" s="38"/>
      <c r="ETP18" s="38"/>
      <c r="ETQ18" s="38"/>
      <c r="ETR18" s="38"/>
      <c r="ETS18" s="38"/>
      <c r="ETT18" s="38"/>
      <c r="ETU18" s="38"/>
      <c r="ETV18" s="38"/>
      <c r="ETW18" s="38"/>
      <c r="ETX18" s="38"/>
      <c r="ETY18" s="38"/>
      <c r="ETZ18" s="38"/>
      <c r="EUA18" s="38"/>
      <c r="EUB18" s="38"/>
      <c r="EUC18" s="38"/>
      <c r="EUD18" s="38"/>
      <c r="EUE18" s="38"/>
      <c r="EUF18" s="38"/>
      <c r="EUG18" s="38"/>
      <c r="EUH18" s="38"/>
      <c r="EUI18" s="38"/>
      <c r="EUJ18" s="38"/>
      <c r="EUK18" s="38"/>
      <c r="EUL18" s="38"/>
      <c r="EUM18" s="38"/>
      <c r="EUN18" s="38"/>
      <c r="EUO18" s="38"/>
      <c r="EUP18" s="38"/>
      <c r="EUQ18" s="38"/>
      <c r="EUR18" s="38"/>
      <c r="EUS18" s="38"/>
      <c r="EUT18" s="38"/>
      <c r="EUU18" s="38"/>
      <c r="EUV18" s="38"/>
      <c r="EUW18" s="38"/>
      <c r="EUX18" s="38"/>
      <c r="EUY18" s="38"/>
      <c r="EUZ18" s="38"/>
      <c r="EVA18" s="38"/>
      <c r="EVB18" s="38"/>
      <c r="EVC18" s="38"/>
      <c r="EVD18" s="38"/>
      <c r="EVE18" s="38"/>
      <c r="EVF18" s="38"/>
      <c r="EVG18" s="38"/>
      <c r="EVH18" s="38"/>
      <c r="EVI18" s="38"/>
      <c r="EVJ18" s="38"/>
      <c r="EVK18" s="38"/>
      <c r="EVL18" s="38"/>
      <c r="EVM18" s="38"/>
      <c r="EVN18" s="38"/>
      <c r="EVO18" s="38"/>
      <c r="EVP18" s="38"/>
      <c r="EVQ18" s="38"/>
      <c r="EVR18" s="38"/>
      <c r="EVS18" s="38"/>
      <c r="EVT18" s="38"/>
      <c r="EVU18" s="38"/>
      <c r="EVV18" s="38"/>
      <c r="EVW18" s="38"/>
      <c r="EVX18" s="38"/>
      <c r="EVY18" s="38"/>
      <c r="EVZ18" s="38"/>
      <c r="EWA18" s="38"/>
      <c r="EWB18" s="38"/>
      <c r="EWC18" s="38"/>
      <c r="EWD18" s="38"/>
      <c r="EWE18" s="38"/>
      <c r="EWF18" s="38"/>
      <c r="EWG18" s="38"/>
      <c r="EWH18" s="38"/>
      <c r="EWI18" s="38"/>
      <c r="EWJ18" s="38"/>
      <c r="EWK18" s="38"/>
      <c r="EWL18" s="38"/>
      <c r="EWM18" s="38"/>
      <c r="EWN18" s="38"/>
      <c r="EWO18" s="38"/>
      <c r="EWP18" s="38"/>
      <c r="EWQ18" s="38"/>
      <c r="EWR18" s="38"/>
      <c r="EWS18" s="38"/>
      <c r="EWT18" s="38"/>
      <c r="EWU18" s="38"/>
      <c r="EWV18" s="38"/>
      <c r="EWW18" s="38"/>
      <c r="EWX18" s="38"/>
      <c r="EWY18" s="38"/>
      <c r="EWZ18" s="38"/>
      <c r="EXA18" s="38"/>
      <c r="EXB18" s="38"/>
      <c r="EXC18" s="38"/>
      <c r="EXD18" s="38"/>
      <c r="EXE18" s="38"/>
      <c r="EXF18" s="38"/>
      <c r="EXG18" s="38"/>
      <c r="EXH18" s="38"/>
      <c r="EXI18" s="38"/>
      <c r="EXJ18" s="38"/>
      <c r="EXK18" s="38"/>
      <c r="EXL18" s="38"/>
      <c r="EXM18" s="38"/>
      <c r="EXN18" s="38"/>
      <c r="EXO18" s="38"/>
      <c r="EXP18" s="38"/>
      <c r="EXQ18" s="38"/>
      <c r="EXR18" s="38"/>
      <c r="EXS18" s="38"/>
      <c r="EXT18" s="38"/>
      <c r="EXU18" s="38"/>
      <c r="EXV18" s="38"/>
      <c r="EXW18" s="38"/>
      <c r="EXX18" s="38"/>
      <c r="EXY18" s="38"/>
      <c r="EXZ18" s="38"/>
      <c r="EYA18" s="38"/>
      <c r="EYB18" s="38"/>
      <c r="EYC18" s="38"/>
      <c r="EYD18" s="38"/>
      <c r="EYE18" s="38"/>
      <c r="EYF18" s="38"/>
      <c r="EYG18" s="38"/>
      <c r="EYH18" s="38"/>
      <c r="EYI18" s="38"/>
      <c r="EYJ18" s="38"/>
      <c r="EYK18" s="38"/>
      <c r="EYL18" s="38"/>
      <c r="EYM18" s="38"/>
      <c r="EYN18" s="38"/>
      <c r="EYO18" s="38"/>
      <c r="EYP18" s="38"/>
      <c r="EYQ18" s="38"/>
      <c r="EYR18" s="38"/>
      <c r="EYS18" s="38"/>
      <c r="EYT18" s="38"/>
      <c r="EYU18" s="38"/>
      <c r="EYV18" s="38"/>
      <c r="EYW18" s="38"/>
      <c r="EYX18" s="38"/>
      <c r="EYY18" s="38"/>
      <c r="EYZ18" s="38"/>
      <c r="EZA18" s="38"/>
      <c r="EZB18" s="38"/>
      <c r="EZC18" s="38"/>
      <c r="EZD18" s="38"/>
      <c r="EZE18" s="38"/>
      <c r="EZF18" s="38"/>
      <c r="EZG18" s="38"/>
      <c r="EZH18" s="38"/>
      <c r="EZI18" s="38"/>
      <c r="EZJ18" s="38"/>
      <c r="EZK18" s="38"/>
      <c r="EZL18" s="38"/>
      <c r="EZM18" s="38"/>
      <c r="EZN18" s="38"/>
      <c r="EZO18" s="38"/>
      <c r="EZP18" s="38"/>
      <c r="EZQ18" s="38"/>
      <c r="EZR18" s="38"/>
      <c r="EZS18" s="38"/>
      <c r="EZT18" s="38"/>
      <c r="EZU18" s="38"/>
      <c r="EZV18" s="38"/>
      <c r="EZW18" s="38"/>
      <c r="EZX18" s="38"/>
      <c r="EZY18" s="38"/>
      <c r="EZZ18" s="38"/>
      <c r="FAA18" s="38"/>
      <c r="FAB18" s="38"/>
      <c r="FAC18" s="38"/>
      <c r="FAD18" s="38"/>
      <c r="FAE18" s="38"/>
      <c r="FAF18" s="38"/>
      <c r="FAG18" s="38"/>
      <c r="FAH18" s="38"/>
      <c r="FAI18" s="38"/>
      <c r="FAJ18" s="38"/>
      <c r="FAK18" s="38"/>
      <c r="FAL18" s="38"/>
      <c r="FAM18" s="38"/>
      <c r="FAN18" s="38"/>
      <c r="FAO18" s="38"/>
      <c r="FAP18" s="38"/>
      <c r="FAQ18" s="38"/>
      <c r="FAR18" s="38"/>
      <c r="FAS18" s="38"/>
      <c r="FAT18" s="38"/>
      <c r="FAU18" s="38"/>
      <c r="FAV18" s="38"/>
      <c r="FAW18" s="38"/>
      <c r="FAX18" s="38"/>
      <c r="FAY18" s="38"/>
      <c r="FAZ18" s="38"/>
      <c r="FBA18" s="38"/>
      <c r="FBB18" s="38"/>
      <c r="FBC18" s="38"/>
      <c r="FBD18" s="38"/>
      <c r="FBE18" s="38"/>
      <c r="FBF18" s="38"/>
      <c r="FBG18" s="38"/>
      <c r="FBH18" s="38"/>
      <c r="FBI18" s="38"/>
      <c r="FBJ18" s="38"/>
      <c r="FBK18" s="38"/>
      <c r="FBL18" s="38"/>
      <c r="FBM18" s="38"/>
      <c r="FBN18" s="38"/>
      <c r="FBO18" s="38"/>
      <c r="FBP18" s="38"/>
      <c r="FBQ18" s="38"/>
      <c r="FBR18" s="38"/>
      <c r="FBS18" s="38"/>
      <c r="FBT18" s="38"/>
      <c r="FBU18" s="38"/>
      <c r="FBV18" s="38"/>
      <c r="FBW18" s="38"/>
      <c r="FBX18" s="38"/>
      <c r="FBY18" s="38"/>
      <c r="FBZ18" s="38"/>
      <c r="FCA18" s="38"/>
      <c r="FCB18" s="38"/>
      <c r="FCC18" s="38"/>
      <c r="FCD18" s="38"/>
      <c r="FCE18" s="38"/>
      <c r="FCF18" s="38"/>
      <c r="FCG18" s="38"/>
      <c r="FCH18" s="38"/>
      <c r="FCI18" s="38"/>
      <c r="FCJ18" s="38"/>
      <c r="FCK18" s="38"/>
      <c r="FCL18" s="38"/>
      <c r="FCM18" s="38"/>
      <c r="FCN18" s="38"/>
      <c r="FCO18" s="38"/>
      <c r="FCP18" s="38"/>
      <c r="FCQ18" s="38"/>
      <c r="FCR18" s="38"/>
      <c r="FCS18" s="38"/>
      <c r="FCT18" s="38"/>
      <c r="FCU18" s="38"/>
      <c r="FCV18" s="38"/>
      <c r="FCW18" s="38"/>
      <c r="FCX18" s="38"/>
      <c r="FCY18" s="38"/>
      <c r="FCZ18" s="38"/>
      <c r="FDA18" s="38"/>
      <c r="FDB18" s="38"/>
      <c r="FDC18" s="38"/>
      <c r="FDD18" s="38"/>
      <c r="FDE18" s="38"/>
      <c r="FDF18" s="38"/>
      <c r="FDG18" s="38"/>
      <c r="FDH18" s="38"/>
      <c r="FDI18" s="38"/>
      <c r="FDJ18" s="38"/>
      <c r="FDK18" s="38"/>
      <c r="FDL18" s="38"/>
      <c r="FDM18" s="38"/>
      <c r="FDN18" s="38"/>
      <c r="FDO18" s="38"/>
      <c r="FDP18" s="38"/>
      <c r="FDQ18" s="38"/>
      <c r="FDR18" s="38"/>
      <c r="FDS18" s="38"/>
      <c r="FDT18" s="38"/>
      <c r="FDU18" s="38"/>
      <c r="FDV18" s="38"/>
      <c r="FDW18" s="38"/>
      <c r="FDX18" s="38"/>
      <c r="FDY18" s="38"/>
      <c r="FDZ18" s="38"/>
      <c r="FEA18" s="38"/>
      <c r="FEB18" s="38"/>
      <c r="FEC18" s="38"/>
      <c r="FED18" s="38"/>
      <c r="FEE18" s="38"/>
      <c r="FEF18" s="38"/>
      <c r="FEG18" s="38"/>
      <c r="FEH18" s="38"/>
      <c r="FEI18" s="38"/>
      <c r="FEJ18" s="38"/>
      <c r="FEK18" s="38"/>
      <c r="FEL18" s="38"/>
      <c r="FEM18" s="38"/>
      <c r="FEN18" s="38"/>
      <c r="FEO18" s="38"/>
      <c r="FEP18" s="38"/>
      <c r="FEQ18" s="38"/>
      <c r="FER18" s="38"/>
      <c r="FES18" s="38"/>
      <c r="FET18" s="38"/>
      <c r="FEU18" s="38"/>
      <c r="FEV18" s="38"/>
      <c r="FEW18" s="38"/>
      <c r="FEX18" s="38"/>
      <c r="FEY18" s="38"/>
      <c r="FEZ18" s="38"/>
      <c r="FFA18" s="38"/>
      <c r="FFB18" s="38"/>
      <c r="FFC18" s="38"/>
      <c r="FFD18" s="38"/>
      <c r="FFE18" s="38"/>
      <c r="FFF18" s="38"/>
      <c r="FFG18" s="38"/>
      <c r="FFH18" s="38"/>
      <c r="FFI18" s="38"/>
      <c r="FFJ18" s="38"/>
      <c r="FFK18" s="38"/>
      <c r="FFL18" s="38"/>
      <c r="FFM18" s="38"/>
      <c r="FFN18" s="38"/>
      <c r="FFO18" s="38"/>
      <c r="FFP18" s="38"/>
      <c r="FFQ18" s="38"/>
      <c r="FFR18" s="38"/>
      <c r="FFS18" s="38"/>
      <c r="FFT18" s="38"/>
      <c r="FFU18" s="38"/>
      <c r="FFV18" s="38"/>
      <c r="FFW18" s="38"/>
      <c r="FFX18" s="38"/>
      <c r="FFY18" s="38"/>
      <c r="FFZ18" s="38"/>
      <c r="FGA18" s="38"/>
      <c r="FGB18" s="38"/>
      <c r="FGC18" s="38"/>
      <c r="FGD18" s="38"/>
      <c r="FGE18" s="38"/>
      <c r="FGF18" s="38"/>
      <c r="FGG18" s="38"/>
      <c r="FGH18" s="38"/>
      <c r="FGI18" s="38"/>
      <c r="FGJ18" s="38"/>
      <c r="FGK18" s="38"/>
      <c r="FGL18" s="38"/>
      <c r="FGM18" s="38"/>
      <c r="FGN18" s="38"/>
      <c r="FGO18" s="38"/>
      <c r="FGP18" s="38"/>
      <c r="FGQ18" s="38"/>
      <c r="FGR18" s="38"/>
      <c r="FGS18" s="38"/>
      <c r="FGT18" s="38"/>
      <c r="FGU18" s="38"/>
      <c r="FGV18" s="38"/>
      <c r="FGW18" s="38"/>
      <c r="FGX18" s="38"/>
      <c r="FGY18" s="38"/>
      <c r="FGZ18" s="38"/>
      <c r="FHA18" s="38"/>
      <c r="FHB18" s="38"/>
      <c r="FHC18" s="38"/>
      <c r="FHD18" s="38"/>
      <c r="FHE18" s="38"/>
      <c r="FHF18" s="38"/>
      <c r="FHG18" s="38"/>
      <c r="FHH18" s="38"/>
      <c r="FHI18" s="38"/>
      <c r="FHJ18" s="38"/>
      <c r="FHK18" s="38"/>
      <c r="FHL18" s="38"/>
      <c r="FHM18" s="38"/>
      <c r="FHN18" s="38"/>
      <c r="FHO18" s="38"/>
      <c r="FHP18" s="38"/>
      <c r="FHQ18" s="38"/>
      <c r="FHR18" s="38"/>
      <c r="FHS18" s="38"/>
      <c r="FHT18" s="38"/>
      <c r="FHU18" s="38"/>
      <c r="FHV18" s="38"/>
      <c r="FHW18" s="38"/>
      <c r="FHX18" s="38"/>
      <c r="FHY18" s="38"/>
      <c r="FHZ18" s="38"/>
      <c r="FIA18" s="38"/>
      <c r="FIB18" s="38"/>
      <c r="FIC18" s="38"/>
      <c r="FID18" s="38"/>
      <c r="FIE18" s="38"/>
      <c r="FIF18" s="38"/>
      <c r="FIG18" s="38"/>
      <c r="FIH18" s="38"/>
      <c r="FII18" s="38"/>
      <c r="FIJ18" s="38"/>
      <c r="FIK18" s="38"/>
      <c r="FIL18" s="38"/>
      <c r="FIM18" s="38"/>
      <c r="FIN18" s="38"/>
      <c r="FIO18" s="38"/>
      <c r="FIP18" s="38"/>
      <c r="FIQ18" s="38"/>
      <c r="FIR18" s="38"/>
      <c r="FIS18" s="38"/>
      <c r="FIT18" s="38"/>
      <c r="FIU18" s="38"/>
      <c r="FIV18" s="38"/>
      <c r="FIW18" s="38"/>
      <c r="FIX18" s="38"/>
      <c r="FIY18" s="38"/>
      <c r="FIZ18" s="38"/>
      <c r="FJA18" s="38"/>
      <c r="FJB18" s="38"/>
      <c r="FJC18" s="38"/>
      <c r="FJD18" s="38"/>
      <c r="FJE18" s="38"/>
      <c r="FJF18" s="38"/>
      <c r="FJG18" s="38"/>
      <c r="FJH18" s="38"/>
      <c r="FJI18" s="38"/>
      <c r="FJJ18" s="38"/>
      <c r="FJK18" s="38"/>
      <c r="FJL18" s="38"/>
      <c r="FJM18" s="38"/>
      <c r="FJN18" s="38"/>
      <c r="FJO18" s="38"/>
      <c r="FJP18" s="38"/>
      <c r="FJQ18" s="38"/>
      <c r="FJR18" s="38"/>
      <c r="FJS18" s="38"/>
      <c r="FJT18" s="38"/>
      <c r="FJU18" s="38"/>
      <c r="FJV18" s="38"/>
      <c r="FJW18" s="38"/>
      <c r="FJX18" s="38"/>
      <c r="FJY18" s="38"/>
      <c r="FJZ18" s="38"/>
      <c r="FKA18" s="38"/>
      <c r="FKB18" s="38"/>
      <c r="FKC18" s="38"/>
      <c r="FKD18" s="38"/>
      <c r="FKE18" s="38"/>
      <c r="FKF18" s="38"/>
      <c r="FKG18" s="38"/>
      <c r="FKH18" s="38"/>
      <c r="FKI18" s="38"/>
      <c r="FKJ18" s="38"/>
      <c r="FKK18" s="38"/>
      <c r="FKL18" s="38"/>
      <c r="FKM18" s="38"/>
      <c r="FKN18" s="38"/>
      <c r="FKO18" s="38"/>
      <c r="FKP18" s="38"/>
      <c r="FKQ18" s="38"/>
      <c r="FKR18" s="38"/>
      <c r="FKS18" s="38"/>
      <c r="FKT18" s="38"/>
      <c r="FKU18" s="38"/>
      <c r="FKV18" s="38"/>
      <c r="FKW18" s="38"/>
      <c r="FKX18" s="38"/>
      <c r="FKY18" s="38"/>
      <c r="FKZ18" s="38"/>
      <c r="FLA18" s="38"/>
      <c r="FLB18" s="38"/>
      <c r="FLC18" s="38"/>
      <c r="FLD18" s="38"/>
      <c r="FLE18" s="38"/>
      <c r="FLF18" s="38"/>
      <c r="FLG18" s="38"/>
      <c r="FLH18" s="38"/>
      <c r="FLI18" s="38"/>
      <c r="FLJ18" s="38"/>
      <c r="FLK18" s="38"/>
      <c r="FLL18" s="38"/>
      <c r="FLM18" s="38"/>
      <c r="FLN18" s="38"/>
      <c r="FLO18" s="38"/>
      <c r="FLP18" s="38"/>
      <c r="FLQ18" s="38"/>
      <c r="FLR18" s="38"/>
      <c r="FLS18" s="38"/>
      <c r="FLT18" s="38"/>
      <c r="FLU18" s="38"/>
      <c r="FLV18" s="38"/>
      <c r="FLW18" s="38"/>
      <c r="FLX18" s="38"/>
      <c r="FLY18" s="38"/>
      <c r="FLZ18" s="38"/>
      <c r="FMA18" s="38"/>
      <c r="FMB18" s="38"/>
      <c r="FMC18" s="38"/>
      <c r="FMD18" s="38"/>
      <c r="FME18" s="38"/>
      <c r="FMF18" s="38"/>
      <c r="FMG18" s="38"/>
      <c r="FMH18" s="38"/>
      <c r="FMI18" s="38"/>
      <c r="FMJ18" s="38"/>
      <c r="FMK18" s="38"/>
      <c r="FML18" s="38"/>
      <c r="FMM18" s="38"/>
      <c r="FMN18" s="38"/>
      <c r="FMO18" s="38"/>
      <c r="FMP18" s="38"/>
      <c r="FMQ18" s="38"/>
      <c r="FMR18" s="38"/>
      <c r="FMS18" s="38"/>
      <c r="FMT18" s="38"/>
      <c r="FMU18" s="38"/>
      <c r="FMV18" s="38"/>
      <c r="FMW18" s="38"/>
      <c r="FMX18" s="38"/>
      <c r="FMY18" s="38"/>
      <c r="FMZ18" s="38"/>
      <c r="FNA18" s="38"/>
      <c r="FNB18" s="38"/>
      <c r="FNC18" s="38"/>
      <c r="FND18" s="38"/>
      <c r="FNE18" s="38"/>
      <c r="FNF18" s="38"/>
      <c r="FNG18" s="38"/>
      <c r="FNH18" s="38"/>
      <c r="FNI18" s="38"/>
      <c r="FNJ18" s="38"/>
      <c r="FNK18" s="38"/>
      <c r="FNL18" s="38"/>
      <c r="FNM18" s="38"/>
      <c r="FNN18" s="38"/>
      <c r="FNO18" s="38"/>
      <c r="FNP18" s="38"/>
      <c r="FNQ18" s="38"/>
      <c r="FNR18" s="38"/>
      <c r="FNS18" s="38"/>
      <c r="FNT18" s="38"/>
      <c r="FNU18" s="38"/>
      <c r="FNV18" s="38"/>
      <c r="FNW18" s="38"/>
      <c r="FNX18" s="38"/>
      <c r="FNY18" s="38"/>
      <c r="FNZ18" s="38"/>
      <c r="FOA18" s="38"/>
      <c r="FOB18" s="38"/>
      <c r="FOC18" s="38"/>
      <c r="FOD18" s="38"/>
      <c r="FOE18" s="38"/>
      <c r="FOF18" s="38"/>
      <c r="FOG18" s="38"/>
      <c r="FOH18" s="38"/>
      <c r="FOI18" s="38"/>
      <c r="FOJ18" s="38"/>
      <c r="FOK18" s="38"/>
      <c r="FOL18" s="38"/>
      <c r="FOM18" s="38"/>
      <c r="FON18" s="38"/>
      <c r="FOO18" s="38"/>
      <c r="FOP18" s="38"/>
      <c r="FOQ18" s="38"/>
      <c r="FOR18" s="38"/>
      <c r="FOS18" s="38"/>
      <c r="FOT18" s="38"/>
      <c r="FOU18" s="38"/>
      <c r="FOV18" s="38"/>
      <c r="FOW18" s="38"/>
      <c r="FOX18" s="38"/>
      <c r="FOY18" s="38"/>
      <c r="FOZ18" s="38"/>
      <c r="FPA18" s="38"/>
      <c r="FPB18" s="38"/>
      <c r="FPC18" s="38"/>
      <c r="FPD18" s="38"/>
      <c r="FPE18" s="38"/>
      <c r="FPF18" s="38"/>
      <c r="FPG18" s="38"/>
      <c r="FPH18" s="38"/>
      <c r="FPI18" s="38"/>
      <c r="FPJ18" s="38"/>
      <c r="FPK18" s="38"/>
      <c r="FPL18" s="38"/>
      <c r="FPM18" s="38"/>
      <c r="FPN18" s="38"/>
      <c r="FPO18" s="38"/>
      <c r="FPP18" s="38"/>
      <c r="FPQ18" s="38"/>
      <c r="FPR18" s="38"/>
      <c r="FPS18" s="38"/>
      <c r="FPT18" s="38"/>
      <c r="FPU18" s="38"/>
      <c r="FPV18" s="38"/>
      <c r="FPW18" s="38"/>
      <c r="FPX18" s="38"/>
      <c r="FPY18" s="38"/>
      <c r="FPZ18" s="38"/>
      <c r="FQA18" s="38"/>
      <c r="FQB18" s="38"/>
      <c r="FQC18" s="38"/>
      <c r="FQD18" s="38"/>
      <c r="FQE18" s="38"/>
      <c r="FQF18" s="38"/>
      <c r="FQG18" s="38"/>
      <c r="FQH18" s="38"/>
      <c r="FQI18" s="38"/>
      <c r="FQJ18" s="38"/>
      <c r="FQK18" s="38"/>
      <c r="FQL18" s="38"/>
      <c r="FQM18" s="38"/>
      <c r="FQN18" s="38"/>
      <c r="FQO18" s="38"/>
      <c r="FQP18" s="38"/>
      <c r="FQQ18" s="38"/>
      <c r="FQR18" s="38"/>
      <c r="FQS18" s="38"/>
      <c r="FQT18" s="38"/>
      <c r="FQU18" s="38"/>
      <c r="FQV18" s="38"/>
      <c r="FQW18" s="38"/>
      <c r="FQX18" s="38"/>
      <c r="FQY18" s="38"/>
      <c r="FQZ18" s="38"/>
      <c r="FRA18" s="38"/>
      <c r="FRB18" s="38"/>
      <c r="FRC18" s="38"/>
      <c r="FRD18" s="38"/>
      <c r="FRE18" s="38"/>
      <c r="FRF18" s="38"/>
      <c r="FRG18" s="38"/>
      <c r="FRH18" s="38"/>
      <c r="FRI18" s="38"/>
      <c r="FRJ18" s="38"/>
      <c r="FRK18" s="38"/>
      <c r="FRL18" s="38"/>
      <c r="FRM18" s="38"/>
      <c r="FRN18" s="38"/>
      <c r="FRO18" s="38"/>
      <c r="FRP18" s="38"/>
      <c r="FRQ18" s="38"/>
      <c r="FRR18" s="38"/>
      <c r="FRS18" s="38"/>
      <c r="FRT18" s="38"/>
      <c r="FRU18" s="38"/>
      <c r="FRV18" s="38"/>
      <c r="FRW18" s="38"/>
      <c r="FRX18" s="38"/>
      <c r="FRY18" s="38"/>
      <c r="FRZ18" s="38"/>
      <c r="FSA18" s="38"/>
      <c r="FSB18" s="38"/>
      <c r="FSC18" s="38"/>
      <c r="FSD18" s="38"/>
      <c r="FSE18" s="38"/>
      <c r="FSF18" s="38"/>
      <c r="FSG18" s="38"/>
      <c r="FSH18" s="38"/>
      <c r="FSI18" s="38"/>
      <c r="FSJ18" s="38"/>
      <c r="FSK18" s="38"/>
      <c r="FSL18" s="38"/>
      <c r="FSM18" s="38"/>
      <c r="FSN18" s="38"/>
      <c r="FSO18" s="38"/>
      <c r="FSP18" s="38"/>
      <c r="FSQ18" s="38"/>
      <c r="FSR18" s="38"/>
      <c r="FSS18" s="38"/>
      <c r="FST18" s="38"/>
      <c r="FSU18" s="38"/>
      <c r="FSV18" s="38"/>
      <c r="FSW18" s="38"/>
      <c r="FSX18" s="38"/>
      <c r="FSY18" s="38"/>
      <c r="FSZ18" s="38"/>
      <c r="FTA18" s="38"/>
      <c r="FTB18" s="38"/>
      <c r="FTC18" s="38"/>
      <c r="FTD18" s="38"/>
      <c r="FTE18" s="38"/>
      <c r="FTF18" s="38"/>
      <c r="FTG18" s="38"/>
      <c r="FTH18" s="38"/>
      <c r="FTI18" s="38"/>
      <c r="FTJ18" s="38"/>
      <c r="FTK18" s="38"/>
      <c r="FTL18" s="38"/>
      <c r="FTM18" s="38"/>
      <c r="FTN18" s="38"/>
      <c r="FTO18" s="38"/>
      <c r="FTP18" s="38"/>
      <c r="FTQ18" s="38"/>
      <c r="FTR18" s="38"/>
      <c r="FTS18" s="38"/>
      <c r="FTT18" s="38"/>
      <c r="FTU18" s="38"/>
      <c r="FTV18" s="38"/>
      <c r="FTW18" s="38"/>
      <c r="FTX18" s="38"/>
      <c r="FTY18" s="38"/>
      <c r="FTZ18" s="38"/>
      <c r="FUA18" s="38"/>
      <c r="FUB18" s="38"/>
      <c r="FUC18" s="38"/>
      <c r="FUD18" s="38"/>
      <c r="FUE18" s="38"/>
      <c r="FUF18" s="38"/>
      <c r="FUG18" s="38"/>
      <c r="FUH18" s="38"/>
      <c r="FUI18" s="38"/>
      <c r="FUJ18" s="38"/>
      <c r="FUK18" s="38"/>
      <c r="FUL18" s="38"/>
      <c r="FUM18" s="38"/>
      <c r="FUN18" s="38"/>
      <c r="FUO18" s="38"/>
      <c r="FUP18" s="38"/>
      <c r="FUQ18" s="38"/>
      <c r="FUR18" s="38"/>
      <c r="FUS18" s="38"/>
      <c r="FUT18" s="38"/>
      <c r="FUU18" s="38"/>
      <c r="FUV18" s="38"/>
      <c r="FUW18" s="38"/>
      <c r="FUX18" s="38"/>
      <c r="FUY18" s="38"/>
      <c r="FUZ18" s="38"/>
      <c r="FVA18" s="38"/>
      <c r="FVB18" s="38"/>
      <c r="FVC18" s="38"/>
      <c r="FVD18" s="38"/>
      <c r="FVE18" s="38"/>
      <c r="FVF18" s="38"/>
      <c r="FVG18" s="38"/>
      <c r="FVH18" s="38"/>
      <c r="FVI18" s="38"/>
      <c r="FVJ18" s="38"/>
      <c r="FVK18" s="38"/>
      <c r="FVL18" s="38"/>
      <c r="FVM18" s="38"/>
      <c r="FVN18" s="38"/>
      <c r="FVO18" s="38"/>
      <c r="FVP18" s="38"/>
      <c r="FVQ18" s="38"/>
      <c r="FVR18" s="38"/>
      <c r="FVS18" s="38"/>
      <c r="FVT18" s="38"/>
      <c r="FVU18" s="38"/>
      <c r="FVV18" s="38"/>
      <c r="FVW18" s="38"/>
      <c r="FVX18" s="38"/>
      <c r="FVY18" s="38"/>
      <c r="FVZ18" s="38"/>
      <c r="FWA18" s="38"/>
      <c r="FWB18" s="38"/>
      <c r="FWC18" s="38"/>
      <c r="FWD18" s="38"/>
      <c r="FWE18" s="38"/>
      <c r="FWF18" s="38"/>
      <c r="FWG18" s="38"/>
      <c r="FWH18" s="38"/>
      <c r="FWI18" s="38"/>
      <c r="FWJ18" s="38"/>
      <c r="FWK18" s="38"/>
      <c r="FWL18" s="38"/>
      <c r="FWM18" s="38"/>
      <c r="FWN18" s="38"/>
      <c r="FWO18" s="38"/>
      <c r="FWP18" s="38"/>
      <c r="FWQ18" s="38"/>
      <c r="FWR18" s="38"/>
      <c r="FWS18" s="38"/>
      <c r="FWT18" s="38"/>
      <c r="FWU18" s="38"/>
      <c r="FWV18" s="38"/>
      <c r="FWW18" s="38"/>
      <c r="FWX18" s="38"/>
      <c r="FWY18" s="38"/>
      <c r="FWZ18" s="38"/>
      <c r="FXA18" s="38"/>
      <c r="FXB18" s="38"/>
      <c r="FXC18" s="38"/>
      <c r="FXD18" s="38"/>
      <c r="FXE18" s="38"/>
      <c r="FXF18" s="38"/>
      <c r="FXG18" s="38"/>
      <c r="FXH18" s="38"/>
      <c r="FXI18" s="38"/>
      <c r="FXJ18" s="38"/>
      <c r="FXK18" s="38"/>
      <c r="FXL18" s="38"/>
      <c r="FXM18" s="38"/>
      <c r="FXN18" s="38"/>
      <c r="FXO18" s="38"/>
      <c r="FXP18" s="38"/>
      <c r="FXQ18" s="38"/>
      <c r="FXR18" s="38"/>
      <c r="FXS18" s="38"/>
      <c r="FXT18" s="38"/>
      <c r="FXU18" s="38"/>
      <c r="FXV18" s="38"/>
      <c r="FXW18" s="38"/>
      <c r="FXX18" s="38"/>
      <c r="FXY18" s="38"/>
      <c r="FXZ18" s="38"/>
      <c r="FYA18" s="38"/>
      <c r="FYB18" s="38"/>
      <c r="FYC18" s="38"/>
      <c r="FYD18" s="38"/>
      <c r="FYE18" s="38"/>
      <c r="FYF18" s="38"/>
      <c r="FYG18" s="38"/>
      <c r="FYH18" s="38"/>
      <c r="FYI18" s="38"/>
      <c r="FYJ18" s="38"/>
      <c r="FYK18" s="38"/>
      <c r="FYL18" s="38"/>
      <c r="FYM18" s="38"/>
      <c r="FYN18" s="38"/>
      <c r="FYO18" s="38"/>
      <c r="FYP18" s="38"/>
      <c r="FYQ18" s="38"/>
      <c r="FYR18" s="38"/>
      <c r="FYS18" s="38"/>
      <c r="FYT18" s="38"/>
      <c r="FYU18" s="38"/>
      <c r="FYV18" s="38"/>
      <c r="FYW18" s="38"/>
      <c r="FYX18" s="38"/>
      <c r="FYY18" s="38"/>
      <c r="FYZ18" s="38"/>
      <c r="FZA18" s="38"/>
      <c r="FZB18" s="38"/>
      <c r="FZC18" s="38"/>
      <c r="FZD18" s="38"/>
      <c r="FZE18" s="38"/>
      <c r="FZF18" s="38"/>
      <c r="FZG18" s="38"/>
      <c r="FZH18" s="38"/>
      <c r="FZI18" s="38"/>
      <c r="FZJ18" s="38"/>
      <c r="FZK18" s="38"/>
      <c r="FZL18" s="38"/>
      <c r="FZM18" s="38"/>
      <c r="FZN18" s="38"/>
      <c r="FZO18" s="38"/>
      <c r="FZP18" s="38"/>
      <c r="FZQ18" s="38"/>
      <c r="FZR18" s="38"/>
      <c r="FZS18" s="38"/>
      <c r="FZT18" s="38"/>
      <c r="FZU18" s="38"/>
      <c r="FZV18" s="38"/>
      <c r="FZW18" s="38"/>
      <c r="FZX18" s="38"/>
      <c r="FZY18" s="38"/>
      <c r="FZZ18" s="38"/>
      <c r="GAA18" s="38"/>
      <c r="GAB18" s="38"/>
      <c r="GAC18" s="38"/>
      <c r="GAD18" s="38"/>
      <c r="GAE18" s="38"/>
      <c r="GAF18" s="38"/>
      <c r="GAG18" s="38"/>
      <c r="GAH18" s="38"/>
      <c r="GAI18" s="38"/>
      <c r="GAJ18" s="38"/>
      <c r="GAK18" s="38"/>
      <c r="GAL18" s="38"/>
      <c r="GAM18" s="38"/>
      <c r="GAN18" s="38"/>
      <c r="GAO18" s="38"/>
      <c r="GAP18" s="38"/>
      <c r="GAQ18" s="38"/>
      <c r="GAR18" s="38"/>
      <c r="GAS18" s="38"/>
      <c r="GAT18" s="38"/>
      <c r="GAU18" s="38"/>
      <c r="GAV18" s="38"/>
      <c r="GAW18" s="38"/>
      <c r="GAX18" s="38"/>
      <c r="GAY18" s="38"/>
      <c r="GAZ18" s="38"/>
      <c r="GBA18" s="38"/>
      <c r="GBB18" s="38"/>
      <c r="GBC18" s="38"/>
      <c r="GBD18" s="38"/>
      <c r="GBE18" s="38"/>
      <c r="GBF18" s="38"/>
      <c r="GBG18" s="38"/>
      <c r="GBH18" s="38"/>
      <c r="GBI18" s="38"/>
      <c r="GBJ18" s="38"/>
      <c r="GBK18" s="38"/>
      <c r="GBL18" s="38"/>
      <c r="GBM18" s="38"/>
      <c r="GBN18" s="38"/>
      <c r="GBO18" s="38"/>
      <c r="GBP18" s="38"/>
      <c r="GBQ18" s="38"/>
      <c r="GBR18" s="38"/>
      <c r="GBS18" s="38"/>
      <c r="GBT18" s="38"/>
      <c r="GBU18" s="38"/>
      <c r="GBV18" s="38"/>
      <c r="GBW18" s="38"/>
      <c r="GBX18" s="38"/>
      <c r="GBY18" s="38"/>
      <c r="GBZ18" s="38"/>
      <c r="GCA18" s="38"/>
      <c r="GCB18" s="38"/>
      <c r="GCC18" s="38"/>
      <c r="GCD18" s="38"/>
      <c r="GCE18" s="38"/>
      <c r="GCF18" s="38"/>
      <c r="GCG18" s="38"/>
      <c r="GCH18" s="38"/>
      <c r="GCI18" s="38"/>
      <c r="GCJ18" s="38"/>
      <c r="GCK18" s="38"/>
      <c r="GCL18" s="38"/>
      <c r="GCM18" s="38"/>
      <c r="GCN18" s="38"/>
      <c r="GCO18" s="38"/>
      <c r="GCP18" s="38"/>
      <c r="GCQ18" s="38"/>
      <c r="GCR18" s="38"/>
      <c r="GCS18" s="38"/>
      <c r="GCT18" s="38"/>
      <c r="GCU18" s="38"/>
      <c r="GCV18" s="38"/>
      <c r="GCW18" s="38"/>
      <c r="GCX18" s="38"/>
      <c r="GCY18" s="38"/>
      <c r="GCZ18" s="38"/>
      <c r="GDA18" s="38"/>
      <c r="GDB18" s="38"/>
      <c r="GDC18" s="38"/>
      <c r="GDD18" s="38"/>
      <c r="GDE18" s="38"/>
      <c r="GDF18" s="38"/>
      <c r="GDG18" s="38"/>
      <c r="GDH18" s="38"/>
      <c r="GDI18" s="38"/>
      <c r="GDJ18" s="38"/>
      <c r="GDK18" s="38"/>
      <c r="GDL18" s="38"/>
      <c r="GDM18" s="38"/>
      <c r="GDN18" s="38"/>
      <c r="GDO18" s="38"/>
      <c r="GDP18" s="38"/>
      <c r="GDQ18" s="38"/>
      <c r="GDR18" s="38"/>
      <c r="GDS18" s="38"/>
      <c r="GDT18" s="38"/>
      <c r="GDU18" s="38"/>
      <c r="GDV18" s="38"/>
      <c r="GDW18" s="38"/>
      <c r="GDX18" s="38"/>
      <c r="GDY18" s="38"/>
      <c r="GDZ18" s="38"/>
      <c r="GEA18" s="38"/>
      <c r="GEB18" s="38"/>
      <c r="GEC18" s="38"/>
      <c r="GED18" s="38"/>
      <c r="GEE18" s="38"/>
      <c r="GEF18" s="38"/>
      <c r="GEG18" s="38"/>
      <c r="GEH18" s="38"/>
      <c r="GEI18" s="38"/>
      <c r="GEJ18" s="38"/>
      <c r="GEK18" s="38"/>
      <c r="GEL18" s="38"/>
      <c r="GEM18" s="38"/>
      <c r="GEN18" s="38"/>
      <c r="GEO18" s="38"/>
      <c r="GEP18" s="38"/>
      <c r="GEQ18" s="38"/>
      <c r="GER18" s="38"/>
      <c r="GES18" s="38"/>
      <c r="GET18" s="38"/>
      <c r="GEU18" s="38"/>
      <c r="GEV18" s="38"/>
      <c r="GEW18" s="38"/>
      <c r="GEX18" s="38"/>
      <c r="GEY18" s="38"/>
      <c r="GEZ18" s="38"/>
      <c r="GFA18" s="38"/>
      <c r="GFB18" s="38"/>
      <c r="GFC18" s="38"/>
      <c r="GFD18" s="38"/>
      <c r="GFE18" s="38"/>
      <c r="GFF18" s="38"/>
      <c r="GFG18" s="38"/>
      <c r="GFH18" s="38"/>
      <c r="GFI18" s="38"/>
      <c r="GFJ18" s="38"/>
      <c r="GFK18" s="38"/>
      <c r="GFL18" s="38"/>
      <c r="GFM18" s="38"/>
      <c r="GFN18" s="38"/>
      <c r="GFO18" s="38"/>
      <c r="GFP18" s="38"/>
      <c r="GFQ18" s="38"/>
      <c r="GFR18" s="38"/>
      <c r="GFS18" s="38"/>
      <c r="GFT18" s="38"/>
      <c r="GFU18" s="38"/>
      <c r="GFV18" s="38"/>
      <c r="GFW18" s="38"/>
      <c r="GFX18" s="38"/>
      <c r="GFY18" s="38"/>
      <c r="GFZ18" s="38"/>
      <c r="GGA18" s="38"/>
      <c r="GGB18" s="38"/>
      <c r="GGC18" s="38"/>
      <c r="GGD18" s="38"/>
      <c r="GGE18" s="38"/>
      <c r="GGF18" s="38"/>
      <c r="GGG18" s="38"/>
      <c r="GGH18" s="38"/>
      <c r="GGI18" s="38"/>
      <c r="GGJ18" s="38"/>
      <c r="GGK18" s="38"/>
      <c r="GGL18" s="38"/>
      <c r="GGM18" s="38"/>
      <c r="GGN18" s="38"/>
      <c r="GGO18" s="38"/>
      <c r="GGP18" s="38"/>
      <c r="GGQ18" s="38"/>
      <c r="GGR18" s="38"/>
      <c r="GGS18" s="38"/>
      <c r="GGT18" s="38"/>
      <c r="GGU18" s="38"/>
      <c r="GGV18" s="38"/>
      <c r="GGW18" s="38"/>
      <c r="GGX18" s="38"/>
      <c r="GGY18" s="38"/>
      <c r="GGZ18" s="38"/>
      <c r="GHA18" s="38"/>
      <c r="GHB18" s="38"/>
      <c r="GHC18" s="38"/>
      <c r="GHD18" s="38"/>
      <c r="GHE18" s="38"/>
      <c r="GHF18" s="38"/>
      <c r="GHG18" s="38"/>
      <c r="GHH18" s="38"/>
      <c r="GHI18" s="38"/>
      <c r="GHJ18" s="38"/>
      <c r="GHK18" s="38"/>
      <c r="GHL18" s="38"/>
      <c r="GHM18" s="38"/>
      <c r="GHN18" s="38"/>
      <c r="GHO18" s="38"/>
      <c r="GHP18" s="38"/>
      <c r="GHQ18" s="38"/>
      <c r="GHR18" s="38"/>
      <c r="GHS18" s="38"/>
      <c r="GHT18" s="38"/>
      <c r="GHU18" s="38"/>
      <c r="GHV18" s="38"/>
      <c r="GHW18" s="38"/>
      <c r="GHX18" s="38"/>
      <c r="GHY18" s="38"/>
      <c r="GHZ18" s="38"/>
      <c r="GIA18" s="38"/>
      <c r="GIB18" s="38"/>
      <c r="GIC18" s="38"/>
      <c r="GID18" s="38"/>
      <c r="GIE18" s="38"/>
      <c r="GIF18" s="38"/>
      <c r="GIG18" s="38"/>
      <c r="GIH18" s="38"/>
      <c r="GII18" s="38"/>
      <c r="GIJ18" s="38"/>
      <c r="GIK18" s="38"/>
      <c r="GIL18" s="38"/>
      <c r="GIM18" s="38"/>
      <c r="GIN18" s="38"/>
      <c r="GIO18" s="38"/>
      <c r="GIP18" s="38"/>
      <c r="GIQ18" s="38"/>
      <c r="GIR18" s="38"/>
      <c r="GIS18" s="38"/>
      <c r="GIT18" s="38"/>
      <c r="GIU18" s="38"/>
      <c r="GIV18" s="38"/>
      <c r="GIW18" s="38"/>
      <c r="GIX18" s="38"/>
      <c r="GIY18" s="38"/>
      <c r="GIZ18" s="38"/>
      <c r="GJA18" s="38"/>
      <c r="GJB18" s="38"/>
      <c r="GJC18" s="38"/>
      <c r="GJD18" s="38"/>
      <c r="GJE18" s="38"/>
      <c r="GJF18" s="38"/>
      <c r="GJG18" s="38"/>
      <c r="GJH18" s="38"/>
      <c r="GJI18" s="38"/>
      <c r="GJJ18" s="38"/>
      <c r="GJK18" s="38"/>
      <c r="GJL18" s="38"/>
      <c r="GJM18" s="38"/>
      <c r="GJN18" s="38"/>
      <c r="GJO18" s="38"/>
      <c r="GJP18" s="38"/>
      <c r="GJQ18" s="38"/>
      <c r="GJR18" s="38"/>
      <c r="GJS18" s="38"/>
      <c r="GJT18" s="38"/>
      <c r="GJU18" s="38"/>
      <c r="GJV18" s="38"/>
      <c r="GJW18" s="38"/>
      <c r="GJX18" s="38"/>
      <c r="GJY18" s="38"/>
      <c r="GJZ18" s="38"/>
      <c r="GKA18" s="38"/>
      <c r="GKB18" s="38"/>
      <c r="GKC18" s="38"/>
      <c r="GKD18" s="38"/>
      <c r="GKE18" s="38"/>
      <c r="GKF18" s="38"/>
      <c r="GKG18" s="38"/>
      <c r="GKH18" s="38"/>
      <c r="GKI18" s="38"/>
      <c r="GKJ18" s="38"/>
      <c r="GKK18" s="38"/>
      <c r="GKL18" s="38"/>
      <c r="GKM18" s="38"/>
      <c r="GKN18" s="38"/>
      <c r="GKO18" s="38"/>
      <c r="GKP18" s="38"/>
      <c r="GKQ18" s="38"/>
      <c r="GKR18" s="38"/>
      <c r="GKS18" s="38"/>
      <c r="GKT18" s="38"/>
      <c r="GKU18" s="38"/>
      <c r="GKV18" s="38"/>
      <c r="GKW18" s="38"/>
      <c r="GKX18" s="38"/>
      <c r="GKY18" s="38"/>
      <c r="GKZ18" s="38"/>
      <c r="GLA18" s="38"/>
      <c r="GLB18" s="38"/>
      <c r="GLC18" s="38"/>
      <c r="GLD18" s="38"/>
      <c r="GLE18" s="38"/>
      <c r="GLF18" s="38"/>
      <c r="GLG18" s="38"/>
      <c r="GLH18" s="38"/>
      <c r="GLI18" s="38"/>
      <c r="GLJ18" s="38"/>
      <c r="GLK18" s="38"/>
      <c r="GLL18" s="38"/>
      <c r="GLM18" s="38"/>
      <c r="GLN18" s="38"/>
      <c r="GLO18" s="38"/>
      <c r="GLP18" s="38"/>
      <c r="GLQ18" s="38"/>
      <c r="GLR18" s="38"/>
      <c r="GLS18" s="38"/>
      <c r="GLT18" s="38"/>
      <c r="GLU18" s="38"/>
      <c r="GLV18" s="38"/>
      <c r="GLW18" s="38"/>
      <c r="GLX18" s="38"/>
      <c r="GLY18" s="38"/>
      <c r="GLZ18" s="38"/>
      <c r="GMA18" s="38"/>
      <c r="GMB18" s="38"/>
      <c r="GMC18" s="38"/>
      <c r="GMD18" s="38"/>
      <c r="GME18" s="38"/>
      <c r="GMF18" s="38"/>
      <c r="GMG18" s="38"/>
      <c r="GMH18" s="38"/>
      <c r="GMI18" s="38"/>
      <c r="GMJ18" s="38"/>
      <c r="GMK18" s="38"/>
      <c r="GML18" s="38"/>
      <c r="GMM18" s="38"/>
      <c r="GMN18" s="38"/>
      <c r="GMO18" s="38"/>
      <c r="GMP18" s="38"/>
      <c r="GMQ18" s="38"/>
      <c r="GMR18" s="38"/>
      <c r="GMS18" s="38"/>
      <c r="GMT18" s="38"/>
      <c r="GMU18" s="38"/>
      <c r="GMV18" s="38"/>
      <c r="GMW18" s="38"/>
      <c r="GMX18" s="38"/>
      <c r="GMY18" s="38"/>
      <c r="GMZ18" s="38"/>
      <c r="GNA18" s="38"/>
      <c r="GNB18" s="38"/>
      <c r="GNC18" s="38"/>
      <c r="GND18" s="38"/>
      <c r="GNE18" s="38"/>
      <c r="GNF18" s="38"/>
      <c r="GNG18" s="38"/>
      <c r="GNH18" s="38"/>
      <c r="GNI18" s="38"/>
      <c r="GNJ18" s="38"/>
      <c r="GNK18" s="38"/>
      <c r="GNL18" s="38"/>
      <c r="GNM18" s="38"/>
      <c r="GNN18" s="38"/>
      <c r="GNO18" s="38"/>
      <c r="GNP18" s="38"/>
      <c r="GNQ18" s="38"/>
      <c r="GNR18" s="38"/>
      <c r="GNS18" s="38"/>
      <c r="GNT18" s="38"/>
      <c r="GNU18" s="38"/>
      <c r="GNV18" s="38"/>
      <c r="GNW18" s="38"/>
      <c r="GNX18" s="38"/>
      <c r="GNY18" s="38"/>
      <c r="GNZ18" s="38"/>
      <c r="GOA18" s="38"/>
      <c r="GOB18" s="38"/>
      <c r="GOC18" s="38"/>
      <c r="GOD18" s="38"/>
      <c r="GOE18" s="38"/>
      <c r="GOF18" s="38"/>
      <c r="GOG18" s="38"/>
      <c r="GOH18" s="38"/>
      <c r="GOI18" s="38"/>
      <c r="GOJ18" s="38"/>
      <c r="GOK18" s="38"/>
      <c r="GOL18" s="38"/>
      <c r="GOM18" s="38"/>
      <c r="GON18" s="38"/>
      <c r="GOO18" s="38"/>
      <c r="GOP18" s="38"/>
      <c r="GOQ18" s="38"/>
      <c r="GOR18" s="38"/>
      <c r="GOS18" s="38"/>
      <c r="GOT18" s="38"/>
      <c r="GOU18" s="38"/>
      <c r="GOV18" s="38"/>
      <c r="GOW18" s="38"/>
      <c r="GOX18" s="38"/>
      <c r="GOY18" s="38"/>
      <c r="GOZ18" s="38"/>
      <c r="GPA18" s="38"/>
      <c r="GPB18" s="38"/>
      <c r="GPC18" s="38"/>
      <c r="GPD18" s="38"/>
      <c r="GPE18" s="38"/>
      <c r="GPF18" s="38"/>
      <c r="GPG18" s="38"/>
      <c r="GPH18" s="38"/>
      <c r="GPI18" s="38"/>
      <c r="GPJ18" s="38"/>
      <c r="GPK18" s="38"/>
      <c r="GPL18" s="38"/>
      <c r="GPM18" s="38"/>
      <c r="GPN18" s="38"/>
      <c r="GPO18" s="38"/>
      <c r="GPP18" s="38"/>
      <c r="GPQ18" s="38"/>
      <c r="GPR18" s="38"/>
      <c r="GPS18" s="38"/>
      <c r="GPT18" s="38"/>
      <c r="GPU18" s="38"/>
      <c r="GPV18" s="38"/>
      <c r="GPW18" s="38"/>
      <c r="GPX18" s="38"/>
      <c r="GPY18" s="38"/>
      <c r="GPZ18" s="38"/>
      <c r="GQA18" s="38"/>
      <c r="GQB18" s="38"/>
      <c r="GQC18" s="38"/>
      <c r="GQD18" s="38"/>
      <c r="GQE18" s="38"/>
      <c r="GQF18" s="38"/>
      <c r="GQG18" s="38"/>
      <c r="GQH18" s="38"/>
      <c r="GQI18" s="38"/>
      <c r="GQJ18" s="38"/>
      <c r="GQK18" s="38"/>
      <c r="GQL18" s="38"/>
      <c r="GQM18" s="38"/>
      <c r="GQN18" s="38"/>
      <c r="GQO18" s="38"/>
      <c r="GQP18" s="38"/>
      <c r="GQQ18" s="38"/>
      <c r="GQR18" s="38"/>
      <c r="GQS18" s="38"/>
      <c r="GQT18" s="38"/>
      <c r="GQU18" s="38"/>
      <c r="GQV18" s="38"/>
      <c r="GQW18" s="38"/>
      <c r="GQX18" s="38"/>
      <c r="GQY18" s="38"/>
      <c r="GQZ18" s="38"/>
      <c r="GRA18" s="38"/>
      <c r="GRB18" s="38"/>
      <c r="GRC18" s="38"/>
      <c r="GRD18" s="38"/>
      <c r="GRE18" s="38"/>
      <c r="GRF18" s="38"/>
      <c r="GRG18" s="38"/>
      <c r="GRH18" s="38"/>
      <c r="GRI18" s="38"/>
      <c r="GRJ18" s="38"/>
      <c r="GRK18" s="38"/>
      <c r="GRL18" s="38"/>
      <c r="GRM18" s="38"/>
      <c r="GRN18" s="38"/>
      <c r="GRO18" s="38"/>
      <c r="GRP18" s="38"/>
      <c r="GRQ18" s="38"/>
      <c r="GRR18" s="38"/>
      <c r="GRS18" s="38"/>
      <c r="GRT18" s="38"/>
      <c r="GRU18" s="38"/>
      <c r="GRV18" s="38"/>
      <c r="GRW18" s="38"/>
      <c r="GRX18" s="38"/>
      <c r="GRY18" s="38"/>
      <c r="GRZ18" s="38"/>
      <c r="GSA18" s="38"/>
      <c r="GSB18" s="38"/>
      <c r="GSC18" s="38"/>
      <c r="GSD18" s="38"/>
      <c r="GSE18" s="38"/>
      <c r="GSF18" s="38"/>
      <c r="GSG18" s="38"/>
      <c r="GSH18" s="38"/>
      <c r="GSI18" s="38"/>
      <c r="GSJ18" s="38"/>
      <c r="GSK18" s="38"/>
      <c r="GSL18" s="38"/>
      <c r="GSM18" s="38"/>
      <c r="GSN18" s="38"/>
      <c r="GSO18" s="38"/>
      <c r="GSP18" s="38"/>
      <c r="GSQ18" s="38"/>
      <c r="GSR18" s="38"/>
      <c r="GSS18" s="38"/>
      <c r="GST18" s="38"/>
      <c r="GSU18" s="38"/>
      <c r="GSV18" s="38"/>
      <c r="GSW18" s="38"/>
      <c r="GSX18" s="38"/>
      <c r="GSY18" s="38"/>
      <c r="GSZ18" s="38"/>
      <c r="GTA18" s="38"/>
      <c r="GTB18" s="38"/>
      <c r="GTC18" s="38"/>
      <c r="GTD18" s="38"/>
      <c r="GTE18" s="38"/>
      <c r="GTF18" s="38"/>
      <c r="GTG18" s="38"/>
      <c r="GTH18" s="38"/>
      <c r="GTI18" s="38"/>
      <c r="GTJ18" s="38"/>
      <c r="GTK18" s="38"/>
      <c r="GTL18" s="38"/>
      <c r="GTM18" s="38"/>
      <c r="GTN18" s="38"/>
      <c r="GTO18" s="38"/>
      <c r="GTP18" s="38"/>
      <c r="GTQ18" s="38"/>
      <c r="GTR18" s="38"/>
      <c r="GTS18" s="38"/>
      <c r="GTT18" s="38"/>
      <c r="GTU18" s="38"/>
      <c r="GTV18" s="38"/>
      <c r="GTW18" s="38"/>
      <c r="GTX18" s="38"/>
      <c r="GTY18" s="38"/>
      <c r="GTZ18" s="38"/>
      <c r="GUA18" s="38"/>
      <c r="GUB18" s="38"/>
      <c r="GUC18" s="38"/>
      <c r="GUD18" s="38"/>
      <c r="GUE18" s="38"/>
      <c r="GUF18" s="38"/>
      <c r="GUG18" s="38"/>
      <c r="GUH18" s="38"/>
      <c r="GUI18" s="38"/>
      <c r="GUJ18" s="38"/>
      <c r="GUK18" s="38"/>
      <c r="GUL18" s="38"/>
      <c r="GUM18" s="38"/>
      <c r="GUN18" s="38"/>
      <c r="GUO18" s="38"/>
      <c r="GUP18" s="38"/>
      <c r="GUQ18" s="38"/>
      <c r="GUR18" s="38"/>
      <c r="GUS18" s="38"/>
      <c r="GUT18" s="38"/>
      <c r="GUU18" s="38"/>
      <c r="GUV18" s="38"/>
      <c r="GUW18" s="38"/>
      <c r="GUX18" s="38"/>
      <c r="GUY18" s="38"/>
      <c r="GUZ18" s="38"/>
      <c r="GVA18" s="38"/>
      <c r="GVB18" s="38"/>
      <c r="GVC18" s="38"/>
      <c r="GVD18" s="38"/>
      <c r="GVE18" s="38"/>
      <c r="GVF18" s="38"/>
      <c r="GVG18" s="38"/>
      <c r="GVH18" s="38"/>
      <c r="GVI18" s="38"/>
      <c r="GVJ18" s="38"/>
      <c r="GVK18" s="38"/>
      <c r="GVL18" s="38"/>
      <c r="GVM18" s="38"/>
      <c r="GVN18" s="38"/>
      <c r="GVO18" s="38"/>
      <c r="GVP18" s="38"/>
      <c r="GVQ18" s="38"/>
      <c r="GVR18" s="38"/>
      <c r="GVS18" s="38"/>
      <c r="GVT18" s="38"/>
      <c r="GVU18" s="38"/>
      <c r="GVV18" s="38"/>
      <c r="GVW18" s="38"/>
      <c r="GVX18" s="38"/>
      <c r="GVY18" s="38"/>
      <c r="GVZ18" s="38"/>
      <c r="GWA18" s="38"/>
      <c r="GWB18" s="38"/>
      <c r="GWC18" s="38"/>
      <c r="GWD18" s="38"/>
      <c r="GWE18" s="38"/>
      <c r="GWF18" s="38"/>
      <c r="GWG18" s="38"/>
      <c r="GWH18" s="38"/>
      <c r="GWI18" s="38"/>
      <c r="GWJ18" s="38"/>
      <c r="GWK18" s="38"/>
      <c r="GWL18" s="38"/>
      <c r="GWM18" s="38"/>
      <c r="GWN18" s="38"/>
      <c r="GWO18" s="38"/>
      <c r="GWP18" s="38"/>
      <c r="GWQ18" s="38"/>
      <c r="GWR18" s="38"/>
      <c r="GWS18" s="38"/>
      <c r="GWT18" s="38"/>
      <c r="GWU18" s="38"/>
      <c r="GWV18" s="38"/>
      <c r="GWW18" s="38"/>
      <c r="GWX18" s="38"/>
      <c r="GWY18" s="38"/>
      <c r="GWZ18" s="38"/>
      <c r="GXA18" s="38"/>
      <c r="GXB18" s="38"/>
      <c r="GXC18" s="38"/>
      <c r="GXD18" s="38"/>
      <c r="GXE18" s="38"/>
      <c r="GXF18" s="38"/>
      <c r="GXG18" s="38"/>
      <c r="GXH18" s="38"/>
      <c r="GXI18" s="38"/>
      <c r="GXJ18" s="38"/>
      <c r="GXK18" s="38"/>
      <c r="GXL18" s="38"/>
      <c r="GXM18" s="38"/>
      <c r="GXN18" s="38"/>
      <c r="GXO18" s="38"/>
      <c r="GXP18" s="38"/>
      <c r="GXQ18" s="38"/>
      <c r="GXR18" s="38"/>
      <c r="GXS18" s="38"/>
      <c r="GXT18" s="38"/>
      <c r="GXU18" s="38"/>
      <c r="GXV18" s="38"/>
      <c r="GXW18" s="38"/>
      <c r="GXX18" s="38"/>
      <c r="GXY18" s="38"/>
      <c r="GXZ18" s="38"/>
      <c r="GYA18" s="38"/>
      <c r="GYB18" s="38"/>
      <c r="GYC18" s="38"/>
      <c r="GYD18" s="38"/>
      <c r="GYE18" s="38"/>
      <c r="GYF18" s="38"/>
      <c r="GYG18" s="38"/>
      <c r="GYH18" s="38"/>
      <c r="GYI18" s="38"/>
      <c r="GYJ18" s="38"/>
      <c r="GYK18" s="38"/>
      <c r="GYL18" s="38"/>
      <c r="GYM18" s="38"/>
      <c r="GYN18" s="38"/>
      <c r="GYO18" s="38"/>
      <c r="GYP18" s="38"/>
      <c r="GYQ18" s="38"/>
      <c r="GYR18" s="38"/>
      <c r="GYS18" s="38"/>
      <c r="GYT18" s="38"/>
      <c r="GYU18" s="38"/>
      <c r="GYV18" s="38"/>
      <c r="GYW18" s="38"/>
      <c r="GYX18" s="38"/>
      <c r="GYY18" s="38"/>
      <c r="GYZ18" s="38"/>
      <c r="GZA18" s="38"/>
      <c r="GZB18" s="38"/>
      <c r="GZC18" s="38"/>
      <c r="GZD18" s="38"/>
      <c r="GZE18" s="38"/>
      <c r="GZF18" s="38"/>
      <c r="GZG18" s="38"/>
      <c r="GZH18" s="38"/>
      <c r="GZI18" s="38"/>
      <c r="GZJ18" s="38"/>
      <c r="GZK18" s="38"/>
      <c r="GZL18" s="38"/>
      <c r="GZM18" s="38"/>
      <c r="GZN18" s="38"/>
      <c r="GZO18" s="38"/>
      <c r="GZP18" s="38"/>
      <c r="GZQ18" s="38"/>
      <c r="GZR18" s="38"/>
      <c r="GZS18" s="38"/>
      <c r="GZT18" s="38"/>
      <c r="GZU18" s="38"/>
      <c r="GZV18" s="38"/>
      <c r="GZW18" s="38"/>
      <c r="GZX18" s="38"/>
      <c r="GZY18" s="38"/>
      <c r="GZZ18" s="38"/>
      <c r="HAA18" s="38"/>
      <c r="HAB18" s="38"/>
      <c r="HAC18" s="38"/>
      <c r="HAD18" s="38"/>
      <c r="HAE18" s="38"/>
      <c r="HAF18" s="38"/>
      <c r="HAG18" s="38"/>
      <c r="HAH18" s="38"/>
      <c r="HAI18" s="38"/>
      <c r="HAJ18" s="38"/>
      <c r="HAK18" s="38"/>
      <c r="HAL18" s="38"/>
      <c r="HAM18" s="38"/>
      <c r="HAN18" s="38"/>
      <c r="HAO18" s="38"/>
      <c r="HAP18" s="38"/>
      <c r="HAQ18" s="38"/>
      <c r="HAR18" s="38"/>
      <c r="HAS18" s="38"/>
      <c r="HAT18" s="38"/>
      <c r="HAU18" s="38"/>
      <c r="HAV18" s="38"/>
      <c r="HAW18" s="38"/>
      <c r="HAX18" s="38"/>
      <c r="HAY18" s="38"/>
      <c r="HAZ18" s="38"/>
      <c r="HBA18" s="38"/>
      <c r="HBB18" s="38"/>
      <c r="HBC18" s="38"/>
      <c r="HBD18" s="38"/>
      <c r="HBE18" s="38"/>
      <c r="HBF18" s="38"/>
      <c r="HBG18" s="38"/>
      <c r="HBH18" s="38"/>
      <c r="HBI18" s="38"/>
      <c r="HBJ18" s="38"/>
      <c r="HBK18" s="38"/>
      <c r="HBL18" s="38"/>
      <c r="HBM18" s="38"/>
      <c r="HBN18" s="38"/>
      <c r="HBO18" s="38"/>
      <c r="HBP18" s="38"/>
      <c r="HBQ18" s="38"/>
      <c r="HBR18" s="38"/>
      <c r="HBS18" s="38"/>
      <c r="HBT18" s="38"/>
      <c r="HBU18" s="38"/>
      <c r="HBV18" s="38"/>
      <c r="HBW18" s="38"/>
      <c r="HBX18" s="38"/>
      <c r="HBY18" s="38"/>
      <c r="HBZ18" s="38"/>
      <c r="HCA18" s="38"/>
      <c r="HCB18" s="38"/>
      <c r="HCC18" s="38"/>
      <c r="HCD18" s="38"/>
      <c r="HCE18" s="38"/>
      <c r="HCF18" s="38"/>
      <c r="HCG18" s="38"/>
      <c r="HCH18" s="38"/>
      <c r="HCI18" s="38"/>
      <c r="HCJ18" s="38"/>
      <c r="HCK18" s="38"/>
      <c r="HCL18" s="38"/>
      <c r="HCM18" s="38"/>
      <c r="HCN18" s="38"/>
      <c r="HCO18" s="38"/>
      <c r="HCP18" s="38"/>
      <c r="HCQ18" s="38"/>
      <c r="HCR18" s="38"/>
      <c r="HCS18" s="38"/>
      <c r="HCT18" s="38"/>
      <c r="HCU18" s="38"/>
      <c r="HCV18" s="38"/>
      <c r="HCW18" s="38"/>
      <c r="HCX18" s="38"/>
      <c r="HCY18" s="38"/>
      <c r="HCZ18" s="38"/>
      <c r="HDA18" s="38"/>
      <c r="HDB18" s="38"/>
      <c r="HDC18" s="38"/>
      <c r="HDD18" s="38"/>
      <c r="HDE18" s="38"/>
      <c r="HDF18" s="38"/>
      <c r="HDG18" s="38"/>
      <c r="HDH18" s="38"/>
      <c r="HDI18" s="38"/>
      <c r="HDJ18" s="38"/>
      <c r="HDK18" s="38"/>
      <c r="HDL18" s="38"/>
      <c r="HDM18" s="38"/>
      <c r="HDN18" s="38"/>
      <c r="HDO18" s="38"/>
      <c r="HDP18" s="38"/>
      <c r="HDQ18" s="38"/>
      <c r="HDR18" s="38"/>
      <c r="HDS18" s="38"/>
      <c r="HDT18" s="38"/>
      <c r="HDU18" s="38"/>
      <c r="HDV18" s="38"/>
      <c r="HDW18" s="38"/>
      <c r="HDX18" s="38"/>
      <c r="HDY18" s="38"/>
      <c r="HDZ18" s="38"/>
      <c r="HEA18" s="38"/>
      <c r="HEB18" s="38"/>
      <c r="HEC18" s="38"/>
      <c r="HED18" s="38"/>
      <c r="HEE18" s="38"/>
      <c r="HEF18" s="38"/>
      <c r="HEG18" s="38"/>
      <c r="HEH18" s="38"/>
      <c r="HEI18" s="38"/>
      <c r="HEJ18" s="38"/>
      <c r="HEK18" s="38"/>
      <c r="HEL18" s="38"/>
      <c r="HEM18" s="38"/>
      <c r="HEN18" s="38"/>
      <c r="HEO18" s="38"/>
      <c r="HEP18" s="38"/>
      <c r="HEQ18" s="38"/>
      <c r="HER18" s="38"/>
      <c r="HES18" s="38"/>
      <c r="HET18" s="38"/>
      <c r="HEU18" s="38"/>
      <c r="HEV18" s="38"/>
      <c r="HEW18" s="38"/>
      <c r="HEX18" s="38"/>
      <c r="HEY18" s="38"/>
      <c r="HEZ18" s="38"/>
      <c r="HFA18" s="38"/>
      <c r="HFB18" s="38"/>
      <c r="HFC18" s="38"/>
      <c r="HFD18" s="38"/>
      <c r="HFE18" s="38"/>
      <c r="HFF18" s="38"/>
      <c r="HFG18" s="38"/>
      <c r="HFH18" s="38"/>
      <c r="HFI18" s="38"/>
      <c r="HFJ18" s="38"/>
      <c r="HFK18" s="38"/>
      <c r="HFL18" s="38"/>
      <c r="HFM18" s="38"/>
      <c r="HFN18" s="38"/>
      <c r="HFO18" s="38"/>
      <c r="HFP18" s="38"/>
      <c r="HFQ18" s="38"/>
      <c r="HFR18" s="38"/>
      <c r="HFS18" s="38"/>
      <c r="HFT18" s="38"/>
      <c r="HFU18" s="38"/>
      <c r="HFV18" s="38"/>
      <c r="HFW18" s="38"/>
      <c r="HFX18" s="38"/>
      <c r="HFY18" s="38"/>
      <c r="HFZ18" s="38"/>
      <c r="HGA18" s="38"/>
      <c r="HGB18" s="38"/>
      <c r="HGC18" s="38"/>
      <c r="HGD18" s="38"/>
      <c r="HGE18" s="38"/>
      <c r="HGF18" s="38"/>
      <c r="HGG18" s="38"/>
      <c r="HGH18" s="38"/>
      <c r="HGI18" s="38"/>
      <c r="HGJ18" s="38"/>
      <c r="HGK18" s="38"/>
      <c r="HGL18" s="38"/>
      <c r="HGM18" s="38"/>
      <c r="HGN18" s="38"/>
      <c r="HGO18" s="38"/>
      <c r="HGP18" s="38"/>
      <c r="HGQ18" s="38"/>
      <c r="HGR18" s="38"/>
      <c r="HGS18" s="38"/>
      <c r="HGT18" s="38"/>
      <c r="HGU18" s="38"/>
      <c r="HGV18" s="38"/>
      <c r="HGW18" s="38"/>
      <c r="HGX18" s="38"/>
      <c r="HGY18" s="38"/>
      <c r="HGZ18" s="38"/>
      <c r="HHA18" s="38"/>
      <c r="HHB18" s="38"/>
      <c r="HHC18" s="38"/>
      <c r="HHD18" s="38"/>
      <c r="HHE18" s="38"/>
      <c r="HHF18" s="38"/>
      <c r="HHG18" s="38"/>
      <c r="HHH18" s="38"/>
      <c r="HHI18" s="38"/>
      <c r="HHJ18" s="38"/>
      <c r="HHK18" s="38"/>
      <c r="HHL18" s="38"/>
      <c r="HHM18" s="38"/>
      <c r="HHN18" s="38"/>
      <c r="HHO18" s="38"/>
      <c r="HHP18" s="38"/>
      <c r="HHQ18" s="38"/>
      <c r="HHR18" s="38"/>
      <c r="HHS18" s="38"/>
      <c r="HHT18" s="38"/>
      <c r="HHU18" s="38"/>
      <c r="HHV18" s="38"/>
      <c r="HHW18" s="38"/>
      <c r="HHX18" s="38"/>
      <c r="HHY18" s="38"/>
      <c r="HHZ18" s="38"/>
      <c r="HIA18" s="38"/>
      <c r="HIB18" s="38"/>
      <c r="HIC18" s="38"/>
      <c r="HID18" s="38"/>
      <c r="HIE18" s="38"/>
      <c r="HIF18" s="38"/>
      <c r="HIG18" s="38"/>
      <c r="HIH18" s="38"/>
      <c r="HII18" s="38"/>
      <c r="HIJ18" s="38"/>
      <c r="HIK18" s="38"/>
      <c r="HIL18" s="38"/>
      <c r="HIM18" s="38"/>
      <c r="HIN18" s="38"/>
      <c r="HIO18" s="38"/>
      <c r="HIP18" s="38"/>
      <c r="HIQ18" s="38"/>
      <c r="HIR18" s="38"/>
      <c r="HIS18" s="38"/>
      <c r="HIT18" s="38"/>
      <c r="HIU18" s="38"/>
      <c r="HIV18" s="38"/>
      <c r="HIW18" s="38"/>
      <c r="HIX18" s="38"/>
      <c r="HIY18" s="38"/>
      <c r="HIZ18" s="38"/>
      <c r="HJA18" s="38"/>
      <c r="HJB18" s="38"/>
      <c r="HJC18" s="38"/>
      <c r="HJD18" s="38"/>
      <c r="HJE18" s="38"/>
      <c r="HJF18" s="38"/>
      <c r="HJG18" s="38"/>
      <c r="HJH18" s="38"/>
      <c r="HJI18" s="38"/>
      <c r="HJJ18" s="38"/>
      <c r="HJK18" s="38"/>
      <c r="HJL18" s="38"/>
      <c r="HJM18" s="38"/>
      <c r="HJN18" s="38"/>
      <c r="HJO18" s="38"/>
      <c r="HJP18" s="38"/>
      <c r="HJQ18" s="38"/>
      <c r="HJR18" s="38"/>
      <c r="HJS18" s="38"/>
      <c r="HJT18" s="38"/>
      <c r="HJU18" s="38"/>
      <c r="HJV18" s="38"/>
      <c r="HJW18" s="38"/>
      <c r="HJX18" s="38"/>
      <c r="HJY18" s="38"/>
      <c r="HJZ18" s="38"/>
      <c r="HKA18" s="38"/>
      <c r="HKB18" s="38"/>
      <c r="HKC18" s="38"/>
      <c r="HKD18" s="38"/>
      <c r="HKE18" s="38"/>
      <c r="HKF18" s="38"/>
      <c r="HKG18" s="38"/>
      <c r="HKH18" s="38"/>
      <c r="HKI18" s="38"/>
      <c r="HKJ18" s="38"/>
      <c r="HKK18" s="38"/>
      <c r="HKL18" s="38"/>
      <c r="HKM18" s="38"/>
      <c r="HKN18" s="38"/>
      <c r="HKO18" s="38"/>
      <c r="HKP18" s="38"/>
      <c r="HKQ18" s="38"/>
      <c r="HKR18" s="38"/>
      <c r="HKS18" s="38"/>
      <c r="HKT18" s="38"/>
      <c r="HKU18" s="38"/>
      <c r="HKV18" s="38"/>
      <c r="HKW18" s="38"/>
      <c r="HKX18" s="38"/>
      <c r="HKY18" s="38"/>
      <c r="HKZ18" s="38"/>
      <c r="HLA18" s="38"/>
      <c r="HLB18" s="38"/>
      <c r="HLC18" s="38"/>
      <c r="HLD18" s="38"/>
      <c r="HLE18" s="38"/>
      <c r="HLF18" s="38"/>
      <c r="HLG18" s="38"/>
      <c r="HLH18" s="38"/>
      <c r="HLI18" s="38"/>
      <c r="HLJ18" s="38"/>
      <c r="HLK18" s="38"/>
      <c r="HLL18" s="38"/>
      <c r="HLM18" s="38"/>
      <c r="HLN18" s="38"/>
      <c r="HLO18" s="38"/>
      <c r="HLP18" s="38"/>
      <c r="HLQ18" s="38"/>
      <c r="HLR18" s="38"/>
      <c r="HLS18" s="38"/>
      <c r="HLT18" s="38"/>
      <c r="HLU18" s="38"/>
      <c r="HLV18" s="38"/>
      <c r="HLW18" s="38"/>
      <c r="HLX18" s="38"/>
      <c r="HLY18" s="38"/>
      <c r="HLZ18" s="38"/>
      <c r="HMA18" s="38"/>
      <c r="HMB18" s="38"/>
      <c r="HMC18" s="38"/>
      <c r="HMD18" s="38"/>
      <c r="HME18" s="38"/>
      <c r="HMF18" s="38"/>
      <c r="HMG18" s="38"/>
      <c r="HMH18" s="38"/>
      <c r="HMI18" s="38"/>
      <c r="HMJ18" s="38"/>
      <c r="HMK18" s="38"/>
      <c r="HML18" s="38"/>
      <c r="HMM18" s="38"/>
      <c r="HMN18" s="38"/>
      <c r="HMO18" s="38"/>
      <c r="HMP18" s="38"/>
      <c r="HMQ18" s="38"/>
      <c r="HMR18" s="38"/>
      <c r="HMS18" s="38"/>
      <c r="HMT18" s="38"/>
      <c r="HMU18" s="38"/>
      <c r="HMV18" s="38"/>
      <c r="HMW18" s="38"/>
      <c r="HMX18" s="38"/>
      <c r="HMY18" s="38"/>
      <c r="HMZ18" s="38"/>
      <c r="HNA18" s="38"/>
      <c r="HNB18" s="38"/>
      <c r="HNC18" s="38"/>
      <c r="HND18" s="38"/>
      <c r="HNE18" s="38"/>
      <c r="HNF18" s="38"/>
      <c r="HNG18" s="38"/>
      <c r="HNH18" s="38"/>
      <c r="HNI18" s="38"/>
      <c r="HNJ18" s="38"/>
      <c r="HNK18" s="38"/>
      <c r="HNL18" s="38"/>
      <c r="HNM18" s="38"/>
      <c r="HNN18" s="38"/>
      <c r="HNO18" s="38"/>
      <c r="HNP18" s="38"/>
      <c r="HNQ18" s="38"/>
      <c r="HNR18" s="38"/>
      <c r="HNS18" s="38"/>
      <c r="HNT18" s="38"/>
      <c r="HNU18" s="38"/>
      <c r="HNV18" s="38"/>
      <c r="HNW18" s="38"/>
      <c r="HNX18" s="38"/>
      <c r="HNY18" s="38"/>
      <c r="HNZ18" s="38"/>
      <c r="HOA18" s="38"/>
      <c r="HOB18" s="38"/>
      <c r="HOC18" s="38"/>
      <c r="HOD18" s="38"/>
      <c r="HOE18" s="38"/>
      <c r="HOF18" s="38"/>
      <c r="HOG18" s="38"/>
      <c r="HOH18" s="38"/>
      <c r="HOI18" s="38"/>
      <c r="HOJ18" s="38"/>
      <c r="HOK18" s="38"/>
      <c r="HOL18" s="38"/>
      <c r="HOM18" s="38"/>
      <c r="HON18" s="38"/>
      <c r="HOO18" s="38"/>
      <c r="HOP18" s="38"/>
      <c r="HOQ18" s="38"/>
      <c r="HOR18" s="38"/>
      <c r="HOS18" s="38"/>
      <c r="HOT18" s="38"/>
      <c r="HOU18" s="38"/>
      <c r="HOV18" s="38"/>
      <c r="HOW18" s="38"/>
      <c r="HOX18" s="38"/>
      <c r="HOY18" s="38"/>
      <c r="HOZ18" s="38"/>
      <c r="HPA18" s="38"/>
      <c r="HPB18" s="38"/>
      <c r="HPC18" s="38"/>
      <c r="HPD18" s="38"/>
      <c r="HPE18" s="38"/>
      <c r="HPF18" s="38"/>
      <c r="HPG18" s="38"/>
      <c r="HPH18" s="38"/>
      <c r="HPI18" s="38"/>
      <c r="HPJ18" s="38"/>
      <c r="HPK18" s="38"/>
      <c r="HPL18" s="38"/>
      <c r="HPM18" s="38"/>
      <c r="HPN18" s="38"/>
      <c r="HPO18" s="38"/>
      <c r="HPP18" s="38"/>
      <c r="HPQ18" s="38"/>
      <c r="HPR18" s="38"/>
      <c r="HPS18" s="38"/>
      <c r="HPT18" s="38"/>
      <c r="HPU18" s="38"/>
      <c r="HPV18" s="38"/>
      <c r="HPW18" s="38"/>
      <c r="HPX18" s="38"/>
      <c r="HPY18" s="38"/>
      <c r="HPZ18" s="38"/>
      <c r="HQA18" s="38"/>
      <c r="HQB18" s="38"/>
      <c r="HQC18" s="38"/>
      <c r="HQD18" s="38"/>
      <c r="HQE18" s="38"/>
      <c r="HQF18" s="38"/>
      <c r="HQG18" s="38"/>
      <c r="HQH18" s="38"/>
      <c r="HQI18" s="38"/>
      <c r="HQJ18" s="38"/>
      <c r="HQK18" s="38"/>
      <c r="HQL18" s="38"/>
      <c r="HQM18" s="38"/>
      <c r="HQN18" s="38"/>
      <c r="HQO18" s="38"/>
      <c r="HQP18" s="38"/>
      <c r="HQQ18" s="38"/>
      <c r="HQR18" s="38"/>
      <c r="HQS18" s="38"/>
      <c r="HQT18" s="38"/>
      <c r="HQU18" s="38"/>
      <c r="HQV18" s="38"/>
      <c r="HQW18" s="38"/>
      <c r="HQX18" s="38"/>
      <c r="HQY18" s="38"/>
      <c r="HQZ18" s="38"/>
      <c r="HRA18" s="38"/>
      <c r="HRB18" s="38"/>
      <c r="HRC18" s="38"/>
      <c r="HRD18" s="38"/>
      <c r="HRE18" s="38"/>
      <c r="HRF18" s="38"/>
      <c r="HRG18" s="38"/>
      <c r="HRH18" s="38"/>
      <c r="HRI18" s="38"/>
      <c r="HRJ18" s="38"/>
      <c r="HRK18" s="38"/>
      <c r="HRL18" s="38"/>
      <c r="HRM18" s="38"/>
      <c r="HRN18" s="38"/>
      <c r="HRO18" s="38"/>
      <c r="HRP18" s="38"/>
      <c r="HRQ18" s="38"/>
      <c r="HRR18" s="38"/>
      <c r="HRS18" s="38"/>
      <c r="HRT18" s="38"/>
      <c r="HRU18" s="38"/>
      <c r="HRV18" s="38"/>
      <c r="HRW18" s="38"/>
      <c r="HRX18" s="38"/>
      <c r="HRY18" s="38"/>
      <c r="HRZ18" s="38"/>
      <c r="HSA18" s="38"/>
      <c r="HSB18" s="38"/>
      <c r="HSC18" s="38"/>
      <c r="HSD18" s="38"/>
      <c r="HSE18" s="38"/>
      <c r="HSF18" s="38"/>
      <c r="HSG18" s="38"/>
      <c r="HSH18" s="38"/>
      <c r="HSI18" s="38"/>
      <c r="HSJ18" s="38"/>
      <c r="HSK18" s="38"/>
      <c r="HSL18" s="38"/>
      <c r="HSM18" s="38"/>
      <c r="HSN18" s="38"/>
      <c r="HSO18" s="38"/>
      <c r="HSP18" s="38"/>
      <c r="HSQ18" s="38"/>
      <c r="HSR18" s="38"/>
      <c r="HSS18" s="38"/>
      <c r="HST18" s="38"/>
      <c r="HSU18" s="38"/>
      <c r="HSV18" s="38"/>
      <c r="HSW18" s="38"/>
      <c r="HSX18" s="38"/>
      <c r="HSY18" s="38"/>
      <c r="HSZ18" s="38"/>
      <c r="HTA18" s="38"/>
      <c r="HTB18" s="38"/>
      <c r="HTC18" s="38"/>
      <c r="HTD18" s="38"/>
      <c r="HTE18" s="38"/>
      <c r="HTF18" s="38"/>
      <c r="HTG18" s="38"/>
      <c r="HTH18" s="38"/>
      <c r="HTI18" s="38"/>
      <c r="HTJ18" s="38"/>
      <c r="HTK18" s="38"/>
      <c r="HTL18" s="38"/>
      <c r="HTM18" s="38"/>
      <c r="HTN18" s="38"/>
      <c r="HTO18" s="38"/>
      <c r="HTP18" s="38"/>
      <c r="HTQ18" s="38"/>
      <c r="HTR18" s="38"/>
      <c r="HTS18" s="38"/>
      <c r="HTT18" s="38"/>
      <c r="HTU18" s="38"/>
      <c r="HTV18" s="38"/>
      <c r="HTW18" s="38"/>
      <c r="HTX18" s="38"/>
      <c r="HTY18" s="38"/>
      <c r="HTZ18" s="38"/>
      <c r="HUA18" s="38"/>
      <c r="HUB18" s="38"/>
      <c r="HUC18" s="38"/>
      <c r="HUD18" s="38"/>
      <c r="HUE18" s="38"/>
      <c r="HUF18" s="38"/>
      <c r="HUG18" s="38"/>
      <c r="HUH18" s="38"/>
      <c r="HUI18" s="38"/>
      <c r="HUJ18" s="38"/>
      <c r="HUK18" s="38"/>
      <c r="HUL18" s="38"/>
      <c r="HUM18" s="38"/>
      <c r="HUN18" s="38"/>
      <c r="HUO18" s="38"/>
      <c r="HUP18" s="38"/>
      <c r="HUQ18" s="38"/>
      <c r="HUR18" s="38"/>
      <c r="HUS18" s="38"/>
      <c r="HUT18" s="38"/>
      <c r="HUU18" s="38"/>
      <c r="HUV18" s="38"/>
      <c r="HUW18" s="38"/>
      <c r="HUX18" s="38"/>
      <c r="HUY18" s="38"/>
      <c r="HUZ18" s="38"/>
      <c r="HVA18" s="38"/>
      <c r="HVB18" s="38"/>
      <c r="HVC18" s="38"/>
      <c r="HVD18" s="38"/>
      <c r="HVE18" s="38"/>
      <c r="HVF18" s="38"/>
      <c r="HVG18" s="38"/>
      <c r="HVH18" s="38"/>
      <c r="HVI18" s="38"/>
      <c r="HVJ18" s="38"/>
      <c r="HVK18" s="38"/>
      <c r="HVL18" s="38"/>
      <c r="HVM18" s="38"/>
      <c r="HVN18" s="38"/>
      <c r="HVO18" s="38"/>
      <c r="HVP18" s="38"/>
      <c r="HVQ18" s="38"/>
      <c r="HVR18" s="38"/>
      <c r="HVS18" s="38"/>
      <c r="HVT18" s="38"/>
      <c r="HVU18" s="38"/>
      <c r="HVV18" s="38"/>
      <c r="HVW18" s="38"/>
      <c r="HVX18" s="38"/>
      <c r="HVY18" s="38"/>
      <c r="HVZ18" s="38"/>
      <c r="HWA18" s="38"/>
      <c r="HWB18" s="38"/>
      <c r="HWC18" s="38"/>
      <c r="HWD18" s="38"/>
      <c r="HWE18" s="38"/>
      <c r="HWF18" s="38"/>
      <c r="HWG18" s="38"/>
      <c r="HWH18" s="38"/>
      <c r="HWI18" s="38"/>
      <c r="HWJ18" s="38"/>
      <c r="HWK18" s="38"/>
      <c r="HWL18" s="38"/>
      <c r="HWM18" s="38"/>
      <c r="HWN18" s="38"/>
      <c r="HWO18" s="38"/>
      <c r="HWP18" s="38"/>
      <c r="HWQ18" s="38"/>
      <c r="HWR18" s="38"/>
      <c r="HWS18" s="38"/>
      <c r="HWT18" s="38"/>
      <c r="HWU18" s="38"/>
      <c r="HWV18" s="38"/>
      <c r="HWW18" s="38"/>
      <c r="HWX18" s="38"/>
      <c r="HWY18" s="38"/>
      <c r="HWZ18" s="38"/>
      <c r="HXA18" s="38"/>
      <c r="HXB18" s="38"/>
      <c r="HXC18" s="38"/>
      <c r="HXD18" s="38"/>
      <c r="HXE18" s="38"/>
      <c r="HXF18" s="38"/>
      <c r="HXG18" s="38"/>
      <c r="HXH18" s="38"/>
      <c r="HXI18" s="38"/>
      <c r="HXJ18" s="38"/>
      <c r="HXK18" s="38"/>
      <c r="HXL18" s="38"/>
      <c r="HXM18" s="38"/>
      <c r="HXN18" s="38"/>
      <c r="HXO18" s="38"/>
      <c r="HXP18" s="38"/>
      <c r="HXQ18" s="38"/>
      <c r="HXR18" s="38"/>
      <c r="HXS18" s="38"/>
      <c r="HXT18" s="38"/>
      <c r="HXU18" s="38"/>
      <c r="HXV18" s="38"/>
      <c r="HXW18" s="38"/>
      <c r="HXX18" s="38"/>
      <c r="HXY18" s="38"/>
      <c r="HXZ18" s="38"/>
      <c r="HYA18" s="38"/>
      <c r="HYB18" s="38"/>
      <c r="HYC18" s="38"/>
      <c r="HYD18" s="38"/>
      <c r="HYE18" s="38"/>
      <c r="HYF18" s="38"/>
      <c r="HYG18" s="38"/>
      <c r="HYH18" s="38"/>
      <c r="HYI18" s="38"/>
      <c r="HYJ18" s="38"/>
      <c r="HYK18" s="38"/>
      <c r="HYL18" s="38"/>
      <c r="HYM18" s="38"/>
      <c r="HYN18" s="38"/>
      <c r="HYO18" s="38"/>
      <c r="HYP18" s="38"/>
      <c r="HYQ18" s="38"/>
      <c r="HYR18" s="38"/>
      <c r="HYS18" s="38"/>
      <c r="HYT18" s="38"/>
      <c r="HYU18" s="38"/>
      <c r="HYV18" s="38"/>
      <c r="HYW18" s="38"/>
      <c r="HYX18" s="38"/>
      <c r="HYY18" s="38"/>
      <c r="HYZ18" s="38"/>
      <c r="HZA18" s="38"/>
      <c r="HZB18" s="38"/>
      <c r="HZC18" s="38"/>
      <c r="HZD18" s="38"/>
      <c r="HZE18" s="38"/>
      <c r="HZF18" s="38"/>
      <c r="HZG18" s="38"/>
      <c r="HZH18" s="38"/>
      <c r="HZI18" s="38"/>
      <c r="HZJ18" s="38"/>
      <c r="HZK18" s="38"/>
      <c r="HZL18" s="38"/>
      <c r="HZM18" s="38"/>
      <c r="HZN18" s="38"/>
      <c r="HZO18" s="38"/>
      <c r="HZP18" s="38"/>
      <c r="HZQ18" s="38"/>
      <c r="HZR18" s="38"/>
      <c r="HZS18" s="38"/>
      <c r="HZT18" s="38"/>
      <c r="HZU18" s="38"/>
      <c r="HZV18" s="38"/>
      <c r="HZW18" s="38"/>
      <c r="HZX18" s="38"/>
      <c r="HZY18" s="38"/>
      <c r="HZZ18" s="38"/>
      <c r="IAA18" s="38"/>
      <c r="IAB18" s="38"/>
      <c r="IAC18" s="38"/>
      <c r="IAD18" s="38"/>
      <c r="IAE18" s="38"/>
      <c r="IAF18" s="38"/>
      <c r="IAG18" s="38"/>
      <c r="IAH18" s="38"/>
      <c r="IAI18" s="38"/>
      <c r="IAJ18" s="38"/>
      <c r="IAK18" s="38"/>
      <c r="IAL18" s="38"/>
      <c r="IAM18" s="38"/>
      <c r="IAN18" s="38"/>
      <c r="IAO18" s="38"/>
      <c r="IAP18" s="38"/>
      <c r="IAQ18" s="38"/>
      <c r="IAR18" s="38"/>
      <c r="IAS18" s="38"/>
      <c r="IAT18" s="38"/>
      <c r="IAU18" s="38"/>
      <c r="IAV18" s="38"/>
      <c r="IAW18" s="38"/>
      <c r="IAX18" s="38"/>
      <c r="IAY18" s="38"/>
      <c r="IAZ18" s="38"/>
      <c r="IBA18" s="38"/>
      <c r="IBB18" s="38"/>
      <c r="IBC18" s="38"/>
      <c r="IBD18" s="38"/>
      <c r="IBE18" s="38"/>
      <c r="IBF18" s="38"/>
      <c r="IBG18" s="38"/>
      <c r="IBH18" s="38"/>
      <c r="IBI18" s="38"/>
      <c r="IBJ18" s="38"/>
      <c r="IBK18" s="38"/>
      <c r="IBL18" s="38"/>
      <c r="IBM18" s="38"/>
      <c r="IBN18" s="38"/>
      <c r="IBO18" s="38"/>
      <c r="IBP18" s="38"/>
      <c r="IBQ18" s="38"/>
      <c r="IBR18" s="38"/>
      <c r="IBS18" s="38"/>
      <c r="IBT18" s="38"/>
      <c r="IBU18" s="38"/>
      <c r="IBV18" s="38"/>
      <c r="IBW18" s="38"/>
      <c r="IBX18" s="38"/>
      <c r="IBY18" s="38"/>
      <c r="IBZ18" s="38"/>
      <c r="ICA18" s="38"/>
      <c r="ICB18" s="38"/>
      <c r="ICC18" s="38"/>
      <c r="ICD18" s="38"/>
      <c r="ICE18" s="38"/>
      <c r="ICF18" s="38"/>
      <c r="ICG18" s="38"/>
      <c r="ICH18" s="38"/>
      <c r="ICI18" s="38"/>
      <c r="ICJ18" s="38"/>
      <c r="ICK18" s="38"/>
      <c r="ICL18" s="38"/>
      <c r="ICM18" s="38"/>
      <c r="ICN18" s="38"/>
      <c r="ICO18" s="38"/>
      <c r="ICP18" s="38"/>
      <c r="ICQ18" s="38"/>
      <c r="ICR18" s="38"/>
      <c r="ICS18" s="38"/>
      <c r="ICT18" s="38"/>
      <c r="ICU18" s="38"/>
      <c r="ICV18" s="38"/>
      <c r="ICW18" s="38"/>
      <c r="ICX18" s="38"/>
      <c r="ICY18" s="38"/>
      <c r="ICZ18" s="38"/>
      <c r="IDA18" s="38"/>
      <c r="IDB18" s="38"/>
      <c r="IDC18" s="38"/>
      <c r="IDD18" s="38"/>
      <c r="IDE18" s="38"/>
      <c r="IDF18" s="38"/>
      <c r="IDG18" s="38"/>
      <c r="IDH18" s="38"/>
      <c r="IDI18" s="38"/>
      <c r="IDJ18" s="38"/>
      <c r="IDK18" s="38"/>
      <c r="IDL18" s="38"/>
      <c r="IDM18" s="38"/>
      <c r="IDN18" s="38"/>
      <c r="IDO18" s="38"/>
      <c r="IDP18" s="38"/>
      <c r="IDQ18" s="38"/>
      <c r="IDR18" s="38"/>
      <c r="IDS18" s="38"/>
      <c r="IDT18" s="38"/>
      <c r="IDU18" s="38"/>
      <c r="IDV18" s="38"/>
      <c r="IDW18" s="38"/>
      <c r="IDX18" s="38"/>
      <c r="IDY18" s="38"/>
      <c r="IDZ18" s="38"/>
      <c r="IEA18" s="38"/>
      <c r="IEB18" s="38"/>
      <c r="IEC18" s="38"/>
      <c r="IED18" s="38"/>
      <c r="IEE18" s="38"/>
      <c r="IEF18" s="38"/>
      <c r="IEG18" s="38"/>
      <c r="IEH18" s="38"/>
      <c r="IEI18" s="38"/>
      <c r="IEJ18" s="38"/>
      <c r="IEK18" s="38"/>
      <c r="IEL18" s="38"/>
      <c r="IEM18" s="38"/>
      <c r="IEN18" s="38"/>
      <c r="IEO18" s="38"/>
      <c r="IEP18" s="38"/>
      <c r="IEQ18" s="38"/>
      <c r="IER18" s="38"/>
      <c r="IES18" s="38"/>
      <c r="IET18" s="38"/>
      <c r="IEU18" s="38"/>
      <c r="IEV18" s="38"/>
      <c r="IEW18" s="38"/>
      <c r="IEX18" s="38"/>
      <c r="IEY18" s="38"/>
      <c r="IEZ18" s="38"/>
      <c r="IFA18" s="38"/>
      <c r="IFB18" s="38"/>
      <c r="IFC18" s="38"/>
      <c r="IFD18" s="38"/>
      <c r="IFE18" s="38"/>
      <c r="IFF18" s="38"/>
      <c r="IFG18" s="38"/>
      <c r="IFH18" s="38"/>
      <c r="IFI18" s="38"/>
      <c r="IFJ18" s="38"/>
      <c r="IFK18" s="38"/>
      <c r="IFL18" s="38"/>
      <c r="IFM18" s="38"/>
      <c r="IFN18" s="38"/>
      <c r="IFO18" s="38"/>
      <c r="IFP18" s="38"/>
      <c r="IFQ18" s="38"/>
      <c r="IFR18" s="38"/>
      <c r="IFS18" s="38"/>
      <c r="IFT18" s="38"/>
      <c r="IFU18" s="38"/>
      <c r="IFV18" s="38"/>
      <c r="IFW18" s="38"/>
      <c r="IFX18" s="38"/>
      <c r="IFY18" s="38"/>
      <c r="IFZ18" s="38"/>
      <c r="IGA18" s="38"/>
      <c r="IGB18" s="38"/>
      <c r="IGC18" s="38"/>
      <c r="IGD18" s="38"/>
      <c r="IGE18" s="38"/>
      <c r="IGF18" s="38"/>
      <c r="IGG18" s="38"/>
      <c r="IGH18" s="38"/>
      <c r="IGI18" s="38"/>
      <c r="IGJ18" s="38"/>
      <c r="IGK18" s="38"/>
      <c r="IGL18" s="38"/>
      <c r="IGM18" s="38"/>
      <c r="IGN18" s="38"/>
      <c r="IGO18" s="38"/>
      <c r="IGP18" s="38"/>
      <c r="IGQ18" s="38"/>
      <c r="IGR18" s="38"/>
      <c r="IGS18" s="38"/>
      <c r="IGT18" s="38"/>
      <c r="IGU18" s="38"/>
      <c r="IGV18" s="38"/>
      <c r="IGW18" s="38"/>
      <c r="IGX18" s="38"/>
      <c r="IGY18" s="38"/>
      <c r="IGZ18" s="38"/>
      <c r="IHA18" s="38"/>
      <c r="IHB18" s="38"/>
      <c r="IHC18" s="38"/>
      <c r="IHD18" s="38"/>
      <c r="IHE18" s="38"/>
      <c r="IHF18" s="38"/>
      <c r="IHG18" s="38"/>
      <c r="IHH18" s="38"/>
      <c r="IHI18" s="38"/>
      <c r="IHJ18" s="38"/>
      <c r="IHK18" s="38"/>
      <c r="IHL18" s="38"/>
      <c r="IHM18" s="38"/>
      <c r="IHN18" s="38"/>
      <c r="IHO18" s="38"/>
      <c r="IHP18" s="38"/>
      <c r="IHQ18" s="38"/>
      <c r="IHR18" s="38"/>
      <c r="IHS18" s="38"/>
      <c r="IHT18" s="38"/>
      <c r="IHU18" s="38"/>
      <c r="IHV18" s="38"/>
      <c r="IHW18" s="38"/>
      <c r="IHX18" s="38"/>
      <c r="IHY18" s="38"/>
      <c r="IHZ18" s="38"/>
      <c r="IIA18" s="38"/>
      <c r="IIB18" s="38"/>
      <c r="IIC18" s="38"/>
      <c r="IID18" s="38"/>
      <c r="IIE18" s="38"/>
      <c r="IIF18" s="38"/>
      <c r="IIG18" s="38"/>
      <c r="IIH18" s="38"/>
      <c r="III18" s="38"/>
      <c r="IIJ18" s="38"/>
      <c r="IIK18" s="38"/>
      <c r="IIL18" s="38"/>
      <c r="IIM18" s="38"/>
      <c r="IIN18" s="38"/>
      <c r="IIO18" s="38"/>
      <c r="IIP18" s="38"/>
      <c r="IIQ18" s="38"/>
      <c r="IIR18" s="38"/>
      <c r="IIS18" s="38"/>
      <c r="IIT18" s="38"/>
      <c r="IIU18" s="38"/>
      <c r="IIV18" s="38"/>
      <c r="IIW18" s="38"/>
      <c r="IIX18" s="38"/>
      <c r="IIY18" s="38"/>
      <c r="IIZ18" s="38"/>
      <c r="IJA18" s="38"/>
      <c r="IJB18" s="38"/>
      <c r="IJC18" s="38"/>
      <c r="IJD18" s="38"/>
      <c r="IJE18" s="38"/>
      <c r="IJF18" s="38"/>
      <c r="IJG18" s="38"/>
      <c r="IJH18" s="38"/>
      <c r="IJI18" s="38"/>
      <c r="IJJ18" s="38"/>
      <c r="IJK18" s="38"/>
      <c r="IJL18" s="38"/>
      <c r="IJM18" s="38"/>
      <c r="IJN18" s="38"/>
      <c r="IJO18" s="38"/>
      <c r="IJP18" s="38"/>
      <c r="IJQ18" s="38"/>
      <c r="IJR18" s="38"/>
      <c r="IJS18" s="38"/>
      <c r="IJT18" s="38"/>
      <c r="IJU18" s="38"/>
      <c r="IJV18" s="38"/>
      <c r="IJW18" s="38"/>
      <c r="IJX18" s="38"/>
      <c r="IJY18" s="38"/>
      <c r="IJZ18" s="38"/>
      <c r="IKA18" s="38"/>
      <c r="IKB18" s="38"/>
      <c r="IKC18" s="38"/>
      <c r="IKD18" s="38"/>
      <c r="IKE18" s="38"/>
      <c r="IKF18" s="38"/>
      <c r="IKG18" s="38"/>
      <c r="IKH18" s="38"/>
      <c r="IKI18" s="38"/>
      <c r="IKJ18" s="38"/>
      <c r="IKK18" s="38"/>
      <c r="IKL18" s="38"/>
      <c r="IKM18" s="38"/>
      <c r="IKN18" s="38"/>
      <c r="IKO18" s="38"/>
      <c r="IKP18" s="38"/>
      <c r="IKQ18" s="38"/>
      <c r="IKR18" s="38"/>
      <c r="IKS18" s="38"/>
      <c r="IKT18" s="38"/>
      <c r="IKU18" s="38"/>
      <c r="IKV18" s="38"/>
      <c r="IKW18" s="38"/>
      <c r="IKX18" s="38"/>
      <c r="IKY18" s="38"/>
      <c r="IKZ18" s="38"/>
      <c r="ILA18" s="38"/>
      <c r="ILB18" s="38"/>
      <c r="ILC18" s="38"/>
      <c r="ILD18" s="38"/>
      <c r="ILE18" s="38"/>
      <c r="ILF18" s="38"/>
      <c r="ILG18" s="38"/>
      <c r="ILH18" s="38"/>
      <c r="ILI18" s="38"/>
      <c r="ILJ18" s="38"/>
      <c r="ILK18" s="38"/>
      <c r="ILL18" s="38"/>
      <c r="ILM18" s="38"/>
      <c r="ILN18" s="38"/>
      <c r="ILO18" s="38"/>
      <c r="ILP18" s="38"/>
      <c r="ILQ18" s="38"/>
      <c r="ILR18" s="38"/>
      <c r="ILS18" s="38"/>
      <c r="ILT18" s="38"/>
      <c r="ILU18" s="38"/>
      <c r="ILV18" s="38"/>
      <c r="ILW18" s="38"/>
      <c r="ILX18" s="38"/>
      <c r="ILY18" s="38"/>
      <c r="ILZ18" s="38"/>
      <c r="IMA18" s="38"/>
      <c r="IMB18" s="38"/>
      <c r="IMC18" s="38"/>
      <c r="IMD18" s="38"/>
      <c r="IME18" s="38"/>
      <c r="IMF18" s="38"/>
      <c r="IMG18" s="38"/>
      <c r="IMH18" s="38"/>
      <c r="IMI18" s="38"/>
      <c r="IMJ18" s="38"/>
      <c r="IMK18" s="38"/>
      <c r="IML18" s="38"/>
      <c r="IMM18" s="38"/>
      <c r="IMN18" s="38"/>
      <c r="IMO18" s="38"/>
      <c r="IMP18" s="38"/>
      <c r="IMQ18" s="38"/>
      <c r="IMR18" s="38"/>
      <c r="IMS18" s="38"/>
      <c r="IMT18" s="38"/>
      <c r="IMU18" s="38"/>
      <c r="IMV18" s="38"/>
      <c r="IMW18" s="38"/>
      <c r="IMX18" s="38"/>
      <c r="IMY18" s="38"/>
      <c r="IMZ18" s="38"/>
      <c r="INA18" s="38"/>
      <c r="INB18" s="38"/>
      <c r="INC18" s="38"/>
      <c r="IND18" s="38"/>
      <c r="INE18" s="38"/>
      <c r="INF18" s="38"/>
      <c r="ING18" s="38"/>
      <c r="INH18" s="38"/>
      <c r="INI18" s="38"/>
      <c r="INJ18" s="38"/>
      <c r="INK18" s="38"/>
      <c r="INL18" s="38"/>
      <c r="INM18" s="38"/>
      <c r="INN18" s="38"/>
      <c r="INO18" s="38"/>
      <c r="INP18" s="38"/>
      <c r="INQ18" s="38"/>
      <c r="INR18" s="38"/>
      <c r="INS18" s="38"/>
      <c r="INT18" s="38"/>
      <c r="INU18" s="38"/>
      <c r="INV18" s="38"/>
      <c r="INW18" s="38"/>
      <c r="INX18" s="38"/>
      <c r="INY18" s="38"/>
      <c r="INZ18" s="38"/>
      <c r="IOA18" s="38"/>
      <c r="IOB18" s="38"/>
      <c r="IOC18" s="38"/>
      <c r="IOD18" s="38"/>
      <c r="IOE18" s="38"/>
      <c r="IOF18" s="38"/>
      <c r="IOG18" s="38"/>
      <c r="IOH18" s="38"/>
      <c r="IOI18" s="38"/>
      <c r="IOJ18" s="38"/>
      <c r="IOK18" s="38"/>
      <c r="IOL18" s="38"/>
      <c r="IOM18" s="38"/>
      <c r="ION18" s="38"/>
      <c r="IOO18" s="38"/>
      <c r="IOP18" s="38"/>
      <c r="IOQ18" s="38"/>
      <c r="IOR18" s="38"/>
      <c r="IOS18" s="38"/>
      <c r="IOT18" s="38"/>
      <c r="IOU18" s="38"/>
      <c r="IOV18" s="38"/>
      <c r="IOW18" s="38"/>
      <c r="IOX18" s="38"/>
      <c r="IOY18" s="38"/>
      <c r="IOZ18" s="38"/>
      <c r="IPA18" s="38"/>
      <c r="IPB18" s="38"/>
      <c r="IPC18" s="38"/>
      <c r="IPD18" s="38"/>
      <c r="IPE18" s="38"/>
      <c r="IPF18" s="38"/>
      <c r="IPG18" s="38"/>
      <c r="IPH18" s="38"/>
      <c r="IPI18" s="38"/>
      <c r="IPJ18" s="38"/>
      <c r="IPK18" s="38"/>
      <c r="IPL18" s="38"/>
      <c r="IPM18" s="38"/>
      <c r="IPN18" s="38"/>
      <c r="IPO18" s="38"/>
      <c r="IPP18" s="38"/>
      <c r="IPQ18" s="38"/>
      <c r="IPR18" s="38"/>
      <c r="IPS18" s="38"/>
      <c r="IPT18" s="38"/>
      <c r="IPU18" s="38"/>
      <c r="IPV18" s="38"/>
      <c r="IPW18" s="38"/>
      <c r="IPX18" s="38"/>
      <c r="IPY18" s="38"/>
      <c r="IPZ18" s="38"/>
      <c r="IQA18" s="38"/>
      <c r="IQB18" s="38"/>
      <c r="IQC18" s="38"/>
      <c r="IQD18" s="38"/>
      <c r="IQE18" s="38"/>
      <c r="IQF18" s="38"/>
      <c r="IQG18" s="38"/>
      <c r="IQH18" s="38"/>
      <c r="IQI18" s="38"/>
      <c r="IQJ18" s="38"/>
      <c r="IQK18" s="38"/>
      <c r="IQL18" s="38"/>
      <c r="IQM18" s="38"/>
      <c r="IQN18" s="38"/>
      <c r="IQO18" s="38"/>
      <c r="IQP18" s="38"/>
      <c r="IQQ18" s="38"/>
      <c r="IQR18" s="38"/>
      <c r="IQS18" s="38"/>
      <c r="IQT18" s="38"/>
      <c r="IQU18" s="38"/>
      <c r="IQV18" s="38"/>
      <c r="IQW18" s="38"/>
      <c r="IQX18" s="38"/>
      <c r="IQY18" s="38"/>
      <c r="IQZ18" s="38"/>
      <c r="IRA18" s="38"/>
      <c r="IRB18" s="38"/>
      <c r="IRC18" s="38"/>
      <c r="IRD18" s="38"/>
      <c r="IRE18" s="38"/>
      <c r="IRF18" s="38"/>
      <c r="IRG18" s="38"/>
      <c r="IRH18" s="38"/>
      <c r="IRI18" s="38"/>
      <c r="IRJ18" s="38"/>
      <c r="IRK18" s="38"/>
      <c r="IRL18" s="38"/>
      <c r="IRM18" s="38"/>
      <c r="IRN18" s="38"/>
      <c r="IRO18" s="38"/>
      <c r="IRP18" s="38"/>
      <c r="IRQ18" s="38"/>
      <c r="IRR18" s="38"/>
      <c r="IRS18" s="38"/>
      <c r="IRT18" s="38"/>
      <c r="IRU18" s="38"/>
      <c r="IRV18" s="38"/>
      <c r="IRW18" s="38"/>
      <c r="IRX18" s="38"/>
      <c r="IRY18" s="38"/>
      <c r="IRZ18" s="38"/>
      <c r="ISA18" s="38"/>
      <c r="ISB18" s="38"/>
      <c r="ISC18" s="38"/>
      <c r="ISD18" s="38"/>
      <c r="ISE18" s="38"/>
      <c r="ISF18" s="38"/>
      <c r="ISG18" s="38"/>
      <c r="ISH18" s="38"/>
      <c r="ISI18" s="38"/>
      <c r="ISJ18" s="38"/>
      <c r="ISK18" s="38"/>
      <c r="ISL18" s="38"/>
      <c r="ISM18" s="38"/>
      <c r="ISN18" s="38"/>
      <c r="ISO18" s="38"/>
      <c r="ISP18" s="38"/>
      <c r="ISQ18" s="38"/>
      <c r="ISR18" s="38"/>
      <c r="ISS18" s="38"/>
      <c r="IST18" s="38"/>
      <c r="ISU18" s="38"/>
      <c r="ISV18" s="38"/>
      <c r="ISW18" s="38"/>
      <c r="ISX18" s="38"/>
      <c r="ISY18" s="38"/>
      <c r="ISZ18" s="38"/>
      <c r="ITA18" s="38"/>
      <c r="ITB18" s="38"/>
      <c r="ITC18" s="38"/>
      <c r="ITD18" s="38"/>
      <c r="ITE18" s="38"/>
      <c r="ITF18" s="38"/>
      <c r="ITG18" s="38"/>
      <c r="ITH18" s="38"/>
      <c r="ITI18" s="38"/>
      <c r="ITJ18" s="38"/>
      <c r="ITK18" s="38"/>
      <c r="ITL18" s="38"/>
      <c r="ITM18" s="38"/>
      <c r="ITN18" s="38"/>
      <c r="ITO18" s="38"/>
      <c r="ITP18" s="38"/>
      <c r="ITQ18" s="38"/>
      <c r="ITR18" s="38"/>
      <c r="ITS18" s="38"/>
      <c r="ITT18" s="38"/>
      <c r="ITU18" s="38"/>
      <c r="ITV18" s="38"/>
      <c r="ITW18" s="38"/>
      <c r="ITX18" s="38"/>
      <c r="ITY18" s="38"/>
      <c r="ITZ18" s="38"/>
      <c r="IUA18" s="38"/>
      <c r="IUB18" s="38"/>
      <c r="IUC18" s="38"/>
      <c r="IUD18" s="38"/>
      <c r="IUE18" s="38"/>
      <c r="IUF18" s="38"/>
      <c r="IUG18" s="38"/>
      <c r="IUH18" s="38"/>
      <c r="IUI18" s="38"/>
      <c r="IUJ18" s="38"/>
      <c r="IUK18" s="38"/>
      <c r="IUL18" s="38"/>
      <c r="IUM18" s="38"/>
      <c r="IUN18" s="38"/>
      <c r="IUO18" s="38"/>
      <c r="IUP18" s="38"/>
      <c r="IUQ18" s="38"/>
      <c r="IUR18" s="38"/>
      <c r="IUS18" s="38"/>
      <c r="IUT18" s="38"/>
      <c r="IUU18" s="38"/>
      <c r="IUV18" s="38"/>
      <c r="IUW18" s="38"/>
      <c r="IUX18" s="38"/>
      <c r="IUY18" s="38"/>
      <c r="IUZ18" s="38"/>
      <c r="IVA18" s="38"/>
      <c r="IVB18" s="38"/>
      <c r="IVC18" s="38"/>
      <c r="IVD18" s="38"/>
      <c r="IVE18" s="38"/>
      <c r="IVF18" s="38"/>
      <c r="IVG18" s="38"/>
      <c r="IVH18" s="38"/>
      <c r="IVI18" s="38"/>
      <c r="IVJ18" s="38"/>
      <c r="IVK18" s="38"/>
      <c r="IVL18" s="38"/>
      <c r="IVM18" s="38"/>
      <c r="IVN18" s="38"/>
      <c r="IVO18" s="38"/>
      <c r="IVP18" s="38"/>
      <c r="IVQ18" s="38"/>
      <c r="IVR18" s="38"/>
      <c r="IVS18" s="38"/>
      <c r="IVT18" s="38"/>
      <c r="IVU18" s="38"/>
      <c r="IVV18" s="38"/>
      <c r="IVW18" s="38"/>
      <c r="IVX18" s="38"/>
      <c r="IVY18" s="38"/>
      <c r="IVZ18" s="38"/>
      <c r="IWA18" s="38"/>
      <c r="IWB18" s="38"/>
      <c r="IWC18" s="38"/>
      <c r="IWD18" s="38"/>
      <c r="IWE18" s="38"/>
      <c r="IWF18" s="38"/>
      <c r="IWG18" s="38"/>
      <c r="IWH18" s="38"/>
      <c r="IWI18" s="38"/>
      <c r="IWJ18" s="38"/>
      <c r="IWK18" s="38"/>
      <c r="IWL18" s="38"/>
      <c r="IWM18" s="38"/>
      <c r="IWN18" s="38"/>
      <c r="IWO18" s="38"/>
      <c r="IWP18" s="38"/>
      <c r="IWQ18" s="38"/>
      <c r="IWR18" s="38"/>
      <c r="IWS18" s="38"/>
      <c r="IWT18" s="38"/>
      <c r="IWU18" s="38"/>
      <c r="IWV18" s="38"/>
      <c r="IWW18" s="38"/>
      <c r="IWX18" s="38"/>
      <c r="IWY18" s="38"/>
      <c r="IWZ18" s="38"/>
      <c r="IXA18" s="38"/>
      <c r="IXB18" s="38"/>
      <c r="IXC18" s="38"/>
      <c r="IXD18" s="38"/>
      <c r="IXE18" s="38"/>
      <c r="IXF18" s="38"/>
      <c r="IXG18" s="38"/>
      <c r="IXH18" s="38"/>
      <c r="IXI18" s="38"/>
      <c r="IXJ18" s="38"/>
      <c r="IXK18" s="38"/>
      <c r="IXL18" s="38"/>
      <c r="IXM18" s="38"/>
      <c r="IXN18" s="38"/>
      <c r="IXO18" s="38"/>
      <c r="IXP18" s="38"/>
      <c r="IXQ18" s="38"/>
      <c r="IXR18" s="38"/>
      <c r="IXS18" s="38"/>
      <c r="IXT18" s="38"/>
      <c r="IXU18" s="38"/>
      <c r="IXV18" s="38"/>
      <c r="IXW18" s="38"/>
      <c r="IXX18" s="38"/>
      <c r="IXY18" s="38"/>
      <c r="IXZ18" s="38"/>
      <c r="IYA18" s="38"/>
      <c r="IYB18" s="38"/>
      <c r="IYC18" s="38"/>
      <c r="IYD18" s="38"/>
      <c r="IYE18" s="38"/>
      <c r="IYF18" s="38"/>
      <c r="IYG18" s="38"/>
      <c r="IYH18" s="38"/>
      <c r="IYI18" s="38"/>
      <c r="IYJ18" s="38"/>
      <c r="IYK18" s="38"/>
      <c r="IYL18" s="38"/>
      <c r="IYM18" s="38"/>
      <c r="IYN18" s="38"/>
      <c r="IYO18" s="38"/>
      <c r="IYP18" s="38"/>
      <c r="IYQ18" s="38"/>
      <c r="IYR18" s="38"/>
      <c r="IYS18" s="38"/>
      <c r="IYT18" s="38"/>
      <c r="IYU18" s="38"/>
      <c r="IYV18" s="38"/>
      <c r="IYW18" s="38"/>
      <c r="IYX18" s="38"/>
      <c r="IYY18" s="38"/>
      <c r="IYZ18" s="38"/>
      <c r="IZA18" s="38"/>
      <c r="IZB18" s="38"/>
      <c r="IZC18" s="38"/>
      <c r="IZD18" s="38"/>
      <c r="IZE18" s="38"/>
      <c r="IZF18" s="38"/>
      <c r="IZG18" s="38"/>
      <c r="IZH18" s="38"/>
      <c r="IZI18" s="38"/>
      <c r="IZJ18" s="38"/>
      <c r="IZK18" s="38"/>
      <c r="IZL18" s="38"/>
      <c r="IZM18" s="38"/>
      <c r="IZN18" s="38"/>
      <c r="IZO18" s="38"/>
      <c r="IZP18" s="38"/>
      <c r="IZQ18" s="38"/>
      <c r="IZR18" s="38"/>
      <c r="IZS18" s="38"/>
      <c r="IZT18" s="38"/>
      <c r="IZU18" s="38"/>
      <c r="IZV18" s="38"/>
      <c r="IZW18" s="38"/>
      <c r="IZX18" s="38"/>
      <c r="IZY18" s="38"/>
      <c r="IZZ18" s="38"/>
      <c r="JAA18" s="38"/>
      <c r="JAB18" s="38"/>
      <c r="JAC18" s="38"/>
      <c r="JAD18" s="38"/>
      <c r="JAE18" s="38"/>
      <c r="JAF18" s="38"/>
      <c r="JAG18" s="38"/>
      <c r="JAH18" s="38"/>
      <c r="JAI18" s="38"/>
      <c r="JAJ18" s="38"/>
      <c r="JAK18" s="38"/>
      <c r="JAL18" s="38"/>
      <c r="JAM18" s="38"/>
      <c r="JAN18" s="38"/>
      <c r="JAO18" s="38"/>
      <c r="JAP18" s="38"/>
      <c r="JAQ18" s="38"/>
      <c r="JAR18" s="38"/>
      <c r="JAS18" s="38"/>
      <c r="JAT18" s="38"/>
      <c r="JAU18" s="38"/>
      <c r="JAV18" s="38"/>
      <c r="JAW18" s="38"/>
      <c r="JAX18" s="38"/>
      <c r="JAY18" s="38"/>
      <c r="JAZ18" s="38"/>
      <c r="JBA18" s="38"/>
      <c r="JBB18" s="38"/>
      <c r="JBC18" s="38"/>
      <c r="JBD18" s="38"/>
      <c r="JBE18" s="38"/>
      <c r="JBF18" s="38"/>
      <c r="JBG18" s="38"/>
      <c r="JBH18" s="38"/>
      <c r="JBI18" s="38"/>
      <c r="JBJ18" s="38"/>
      <c r="JBK18" s="38"/>
      <c r="JBL18" s="38"/>
      <c r="JBM18" s="38"/>
      <c r="JBN18" s="38"/>
      <c r="JBO18" s="38"/>
      <c r="JBP18" s="38"/>
      <c r="JBQ18" s="38"/>
      <c r="JBR18" s="38"/>
      <c r="JBS18" s="38"/>
      <c r="JBT18" s="38"/>
      <c r="JBU18" s="38"/>
      <c r="JBV18" s="38"/>
      <c r="JBW18" s="38"/>
      <c r="JBX18" s="38"/>
      <c r="JBY18" s="38"/>
      <c r="JBZ18" s="38"/>
      <c r="JCA18" s="38"/>
      <c r="JCB18" s="38"/>
      <c r="JCC18" s="38"/>
      <c r="JCD18" s="38"/>
      <c r="JCE18" s="38"/>
      <c r="JCF18" s="38"/>
      <c r="JCG18" s="38"/>
      <c r="JCH18" s="38"/>
      <c r="JCI18" s="38"/>
      <c r="JCJ18" s="38"/>
      <c r="JCK18" s="38"/>
      <c r="JCL18" s="38"/>
      <c r="JCM18" s="38"/>
      <c r="JCN18" s="38"/>
      <c r="JCO18" s="38"/>
      <c r="JCP18" s="38"/>
      <c r="JCQ18" s="38"/>
      <c r="JCR18" s="38"/>
      <c r="JCS18" s="38"/>
      <c r="JCT18" s="38"/>
      <c r="JCU18" s="38"/>
      <c r="JCV18" s="38"/>
      <c r="JCW18" s="38"/>
      <c r="JCX18" s="38"/>
      <c r="JCY18" s="38"/>
      <c r="JCZ18" s="38"/>
      <c r="JDA18" s="38"/>
      <c r="JDB18" s="38"/>
      <c r="JDC18" s="38"/>
      <c r="JDD18" s="38"/>
      <c r="JDE18" s="38"/>
      <c r="JDF18" s="38"/>
      <c r="JDG18" s="38"/>
      <c r="JDH18" s="38"/>
      <c r="JDI18" s="38"/>
      <c r="JDJ18" s="38"/>
      <c r="JDK18" s="38"/>
      <c r="JDL18" s="38"/>
      <c r="JDM18" s="38"/>
      <c r="JDN18" s="38"/>
      <c r="JDO18" s="38"/>
      <c r="JDP18" s="38"/>
      <c r="JDQ18" s="38"/>
      <c r="JDR18" s="38"/>
      <c r="JDS18" s="38"/>
      <c r="JDT18" s="38"/>
      <c r="JDU18" s="38"/>
      <c r="JDV18" s="38"/>
      <c r="JDW18" s="38"/>
      <c r="JDX18" s="38"/>
      <c r="JDY18" s="38"/>
      <c r="JDZ18" s="38"/>
      <c r="JEA18" s="38"/>
      <c r="JEB18" s="38"/>
      <c r="JEC18" s="38"/>
      <c r="JED18" s="38"/>
      <c r="JEE18" s="38"/>
      <c r="JEF18" s="38"/>
      <c r="JEG18" s="38"/>
      <c r="JEH18" s="38"/>
      <c r="JEI18" s="38"/>
      <c r="JEJ18" s="38"/>
      <c r="JEK18" s="38"/>
      <c r="JEL18" s="38"/>
      <c r="JEM18" s="38"/>
      <c r="JEN18" s="38"/>
      <c r="JEO18" s="38"/>
      <c r="JEP18" s="38"/>
      <c r="JEQ18" s="38"/>
      <c r="JER18" s="38"/>
      <c r="JES18" s="38"/>
      <c r="JET18" s="38"/>
      <c r="JEU18" s="38"/>
      <c r="JEV18" s="38"/>
      <c r="JEW18" s="38"/>
      <c r="JEX18" s="38"/>
      <c r="JEY18" s="38"/>
      <c r="JEZ18" s="38"/>
      <c r="JFA18" s="38"/>
      <c r="JFB18" s="38"/>
      <c r="JFC18" s="38"/>
      <c r="JFD18" s="38"/>
      <c r="JFE18" s="38"/>
      <c r="JFF18" s="38"/>
      <c r="JFG18" s="38"/>
      <c r="JFH18" s="38"/>
      <c r="JFI18" s="38"/>
      <c r="JFJ18" s="38"/>
      <c r="JFK18" s="38"/>
      <c r="JFL18" s="38"/>
      <c r="JFM18" s="38"/>
      <c r="JFN18" s="38"/>
      <c r="JFO18" s="38"/>
      <c r="JFP18" s="38"/>
      <c r="JFQ18" s="38"/>
      <c r="JFR18" s="38"/>
      <c r="JFS18" s="38"/>
      <c r="JFT18" s="38"/>
      <c r="JFU18" s="38"/>
      <c r="JFV18" s="38"/>
      <c r="JFW18" s="38"/>
      <c r="JFX18" s="38"/>
      <c r="JFY18" s="38"/>
      <c r="JFZ18" s="38"/>
      <c r="JGA18" s="38"/>
      <c r="JGB18" s="38"/>
      <c r="JGC18" s="38"/>
      <c r="JGD18" s="38"/>
      <c r="JGE18" s="38"/>
      <c r="JGF18" s="38"/>
      <c r="JGG18" s="38"/>
      <c r="JGH18" s="38"/>
      <c r="JGI18" s="38"/>
      <c r="JGJ18" s="38"/>
      <c r="JGK18" s="38"/>
      <c r="JGL18" s="38"/>
      <c r="JGM18" s="38"/>
      <c r="JGN18" s="38"/>
      <c r="JGO18" s="38"/>
      <c r="JGP18" s="38"/>
      <c r="JGQ18" s="38"/>
      <c r="JGR18" s="38"/>
      <c r="JGS18" s="38"/>
      <c r="JGT18" s="38"/>
      <c r="JGU18" s="38"/>
      <c r="JGV18" s="38"/>
      <c r="JGW18" s="38"/>
      <c r="JGX18" s="38"/>
      <c r="JGY18" s="38"/>
      <c r="JGZ18" s="38"/>
      <c r="JHA18" s="38"/>
      <c r="JHB18" s="38"/>
      <c r="JHC18" s="38"/>
      <c r="JHD18" s="38"/>
      <c r="JHE18" s="38"/>
      <c r="JHF18" s="38"/>
      <c r="JHG18" s="38"/>
      <c r="JHH18" s="38"/>
      <c r="JHI18" s="38"/>
      <c r="JHJ18" s="38"/>
      <c r="JHK18" s="38"/>
      <c r="JHL18" s="38"/>
      <c r="JHM18" s="38"/>
      <c r="JHN18" s="38"/>
      <c r="JHO18" s="38"/>
      <c r="JHP18" s="38"/>
      <c r="JHQ18" s="38"/>
      <c r="JHR18" s="38"/>
      <c r="JHS18" s="38"/>
      <c r="JHT18" s="38"/>
      <c r="JHU18" s="38"/>
      <c r="JHV18" s="38"/>
      <c r="JHW18" s="38"/>
      <c r="JHX18" s="38"/>
      <c r="JHY18" s="38"/>
      <c r="JHZ18" s="38"/>
      <c r="JIA18" s="38"/>
      <c r="JIB18" s="38"/>
      <c r="JIC18" s="38"/>
      <c r="JID18" s="38"/>
      <c r="JIE18" s="38"/>
      <c r="JIF18" s="38"/>
      <c r="JIG18" s="38"/>
      <c r="JIH18" s="38"/>
      <c r="JII18" s="38"/>
      <c r="JIJ18" s="38"/>
      <c r="JIK18" s="38"/>
      <c r="JIL18" s="38"/>
      <c r="JIM18" s="38"/>
      <c r="JIN18" s="38"/>
      <c r="JIO18" s="38"/>
      <c r="JIP18" s="38"/>
      <c r="JIQ18" s="38"/>
      <c r="JIR18" s="38"/>
      <c r="JIS18" s="38"/>
      <c r="JIT18" s="38"/>
      <c r="JIU18" s="38"/>
      <c r="JIV18" s="38"/>
      <c r="JIW18" s="38"/>
      <c r="JIX18" s="38"/>
      <c r="JIY18" s="38"/>
      <c r="JIZ18" s="38"/>
      <c r="JJA18" s="38"/>
      <c r="JJB18" s="38"/>
      <c r="JJC18" s="38"/>
      <c r="JJD18" s="38"/>
      <c r="JJE18" s="38"/>
      <c r="JJF18" s="38"/>
      <c r="JJG18" s="38"/>
      <c r="JJH18" s="38"/>
      <c r="JJI18" s="38"/>
      <c r="JJJ18" s="38"/>
      <c r="JJK18" s="38"/>
      <c r="JJL18" s="38"/>
      <c r="JJM18" s="38"/>
      <c r="JJN18" s="38"/>
      <c r="JJO18" s="38"/>
      <c r="JJP18" s="38"/>
      <c r="JJQ18" s="38"/>
      <c r="JJR18" s="38"/>
      <c r="JJS18" s="38"/>
      <c r="JJT18" s="38"/>
      <c r="JJU18" s="38"/>
      <c r="JJV18" s="38"/>
      <c r="JJW18" s="38"/>
      <c r="JJX18" s="38"/>
      <c r="JJY18" s="38"/>
      <c r="JJZ18" s="38"/>
      <c r="JKA18" s="38"/>
      <c r="JKB18" s="38"/>
      <c r="JKC18" s="38"/>
      <c r="JKD18" s="38"/>
      <c r="JKE18" s="38"/>
      <c r="JKF18" s="38"/>
      <c r="JKG18" s="38"/>
      <c r="JKH18" s="38"/>
      <c r="JKI18" s="38"/>
      <c r="JKJ18" s="38"/>
      <c r="JKK18" s="38"/>
      <c r="JKL18" s="38"/>
      <c r="JKM18" s="38"/>
      <c r="JKN18" s="38"/>
      <c r="JKO18" s="38"/>
      <c r="JKP18" s="38"/>
      <c r="JKQ18" s="38"/>
      <c r="JKR18" s="38"/>
      <c r="JKS18" s="38"/>
      <c r="JKT18" s="38"/>
      <c r="JKU18" s="38"/>
      <c r="JKV18" s="38"/>
      <c r="JKW18" s="38"/>
      <c r="JKX18" s="38"/>
      <c r="JKY18" s="38"/>
      <c r="JKZ18" s="38"/>
      <c r="JLA18" s="38"/>
      <c r="JLB18" s="38"/>
      <c r="JLC18" s="38"/>
      <c r="JLD18" s="38"/>
      <c r="JLE18" s="38"/>
      <c r="JLF18" s="38"/>
      <c r="JLG18" s="38"/>
      <c r="JLH18" s="38"/>
      <c r="JLI18" s="38"/>
      <c r="JLJ18" s="38"/>
      <c r="JLK18" s="38"/>
      <c r="JLL18" s="38"/>
      <c r="JLM18" s="38"/>
      <c r="JLN18" s="38"/>
      <c r="JLO18" s="38"/>
      <c r="JLP18" s="38"/>
      <c r="JLQ18" s="38"/>
      <c r="JLR18" s="38"/>
      <c r="JLS18" s="38"/>
      <c r="JLT18" s="38"/>
      <c r="JLU18" s="38"/>
      <c r="JLV18" s="38"/>
      <c r="JLW18" s="38"/>
      <c r="JLX18" s="38"/>
      <c r="JLY18" s="38"/>
      <c r="JLZ18" s="38"/>
      <c r="JMA18" s="38"/>
      <c r="JMB18" s="38"/>
      <c r="JMC18" s="38"/>
      <c r="JMD18" s="38"/>
      <c r="JME18" s="38"/>
      <c r="JMF18" s="38"/>
      <c r="JMG18" s="38"/>
      <c r="JMH18" s="38"/>
      <c r="JMI18" s="38"/>
      <c r="JMJ18" s="38"/>
      <c r="JMK18" s="38"/>
      <c r="JML18" s="38"/>
      <c r="JMM18" s="38"/>
      <c r="JMN18" s="38"/>
      <c r="JMO18" s="38"/>
      <c r="JMP18" s="38"/>
      <c r="JMQ18" s="38"/>
      <c r="JMR18" s="38"/>
      <c r="JMS18" s="38"/>
      <c r="JMT18" s="38"/>
      <c r="JMU18" s="38"/>
      <c r="JMV18" s="38"/>
      <c r="JMW18" s="38"/>
      <c r="JMX18" s="38"/>
      <c r="JMY18" s="38"/>
      <c r="JMZ18" s="38"/>
      <c r="JNA18" s="38"/>
      <c r="JNB18" s="38"/>
      <c r="JNC18" s="38"/>
      <c r="JND18" s="38"/>
      <c r="JNE18" s="38"/>
      <c r="JNF18" s="38"/>
      <c r="JNG18" s="38"/>
      <c r="JNH18" s="38"/>
      <c r="JNI18" s="38"/>
      <c r="JNJ18" s="38"/>
      <c r="JNK18" s="38"/>
      <c r="JNL18" s="38"/>
      <c r="JNM18" s="38"/>
      <c r="JNN18" s="38"/>
      <c r="JNO18" s="38"/>
      <c r="JNP18" s="38"/>
      <c r="JNQ18" s="38"/>
      <c r="JNR18" s="38"/>
      <c r="JNS18" s="38"/>
      <c r="JNT18" s="38"/>
      <c r="JNU18" s="38"/>
      <c r="JNV18" s="38"/>
      <c r="JNW18" s="38"/>
      <c r="JNX18" s="38"/>
      <c r="JNY18" s="38"/>
      <c r="JNZ18" s="38"/>
      <c r="JOA18" s="38"/>
      <c r="JOB18" s="38"/>
      <c r="JOC18" s="38"/>
      <c r="JOD18" s="38"/>
      <c r="JOE18" s="38"/>
      <c r="JOF18" s="38"/>
      <c r="JOG18" s="38"/>
      <c r="JOH18" s="38"/>
      <c r="JOI18" s="38"/>
      <c r="JOJ18" s="38"/>
      <c r="JOK18" s="38"/>
      <c r="JOL18" s="38"/>
      <c r="JOM18" s="38"/>
      <c r="JON18" s="38"/>
      <c r="JOO18" s="38"/>
      <c r="JOP18" s="38"/>
      <c r="JOQ18" s="38"/>
      <c r="JOR18" s="38"/>
      <c r="JOS18" s="38"/>
      <c r="JOT18" s="38"/>
      <c r="JOU18" s="38"/>
      <c r="JOV18" s="38"/>
      <c r="JOW18" s="38"/>
      <c r="JOX18" s="38"/>
      <c r="JOY18" s="38"/>
      <c r="JOZ18" s="38"/>
      <c r="JPA18" s="38"/>
      <c r="JPB18" s="38"/>
      <c r="JPC18" s="38"/>
      <c r="JPD18" s="38"/>
      <c r="JPE18" s="38"/>
      <c r="JPF18" s="38"/>
      <c r="JPG18" s="38"/>
      <c r="JPH18" s="38"/>
      <c r="JPI18" s="38"/>
      <c r="JPJ18" s="38"/>
      <c r="JPK18" s="38"/>
      <c r="JPL18" s="38"/>
      <c r="JPM18" s="38"/>
      <c r="JPN18" s="38"/>
      <c r="JPO18" s="38"/>
      <c r="JPP18" s="38"/>
      <c r="JPQ18" s="38"/>
      <c r="JPR18" s="38"/>
      <c r="JPS18" s="38"/>
      <c r="JPT18" s="38"/>
      <c r="JPU18" s="38"/>
      <c r="JPV18" s="38"/>
      <c r="JPW18" s="38"/>
      <c r="JPX18" s="38"/>
      <c r="JPY18" s="38"/>
      <c r="JPZ18" s="38"/>
      <c r="JQA18" s="38"/>
      <c r="JQB18" s="38"/>
      <c r="JQC18" s="38"/>
      <c r="JQD18" s="38"/>
      <c r="JQE18" s="38"/>
      <c r="JQF18" s="38"/>
      <c r="JQG18" s="38"/>
      <c r="JQH18" s="38"/>
      <c r="JQI18" s="38"/>
      <c r="JQJ18" s="38"/>
      <c r="JQK18" s="38"/>
      <c r="JQL18" s="38"/>
      <c r="JQM18" s="38"/>
      <c r="JQN18" s="38"/>
      <c r="JQO18" s="38"/>
      <c r="JQP18" s="38"/>
      <c r="JQQ18" s="38"/>
      <c r="JQR18" s="38"/>
      <c r="JQS18" s="38"/>
      <c r="JQT18" s="38"/>
      <c r="JQU18" s="38"/>
      <c r="JQV18" s="38"/>
      <c r="JQW18" s="38"/>
      <c r="JQX18" s="38"/>
      <c r="JQY18" s="38"/>
      <c r="JQZ18" s="38"/>
      <c r="JRA18" s="38"/>
      <c r="JRB18" s="38"/>
      <c r="JRC18" s="38"/>
      <c r="JRD18" s="38"/>
      <c r="JRE18" s="38"/>
      <c r="JRF18" s="38"/>
      <c r="JRG18" s="38"/>
      <c r="JRH18" s="38"/>
      <c r="JRI18" s="38"/>
      <c r="JRJ18" s="38"/>
      <c r="JRK18" s="38"/>
      <c r="JRL18" s="38"/>
      <c r="JRM18" s="38"/>
      <c r="JRN18" s="38"/>
      <c r="JRO18" s="38"/>
      <c r="JRP18" s="38"/>
      <c r="JRQ18" s="38"/>
      <c r="JRR18" s="38"/>
      <c r="JRS18" s="38"/>
      <c r="JRT18" s="38"/>
      <c r="JRU18" s="38"/>
      <c r="JRV18" s="38"/>
      <c r="JRW18" s="38"/>
      <c r="JRX18" s="38"/>
      <c r="JRY18" s="38"/>
      <c r="JRZ18" s="38"/>
      <c r="JSA18" s="38"/>
      <c r="JSB18" s="38"/>
      <c r="JSC18" s="38"/>
      <c r="JSD18" s="38"/>
      <c r="JSE18" s="38"/>
      <c r="JSF18" s="38"/>
      <c r="JSG18" s="38"/>
      <c r="JSH18" s="38"/>
      <c r="JSI18" s="38"/>
      <c r="JSJ18" s="38"/>
      <c r="JSK18" s="38"/>
      <c r="JSL18" s="38"/>
      <c r="JSM18" s="38"/>
      <c r="JSN18" s="38"/>
      <c r="JSO18" s="38"/>
      <c r="JSP18" s="38"/>
      <c r="JSQ18" s="38"/>
      <c r="JSR18" s="38"/>
      <c r="JSS18" s="38"/>
      <c r="JST18" s="38"/>
      <c r="JSU18" s="38"/>
      <c r="JSV18" s="38"/>
      <c r="JSW18" s="38"/>
      <c r="JSX18" s="38"/>
      <c r="JSY18" s="38"/>
      <c r="JSZ18" s="38"/>
      <c r="JTA18" s="38"/>
      <c r="JTB18" s="38"/>
      <c r="JTC18" s="38"/>
      <c r="JTD18" s="38"/>
      <c r="JTE18" s="38"/>
      <c r="JTF18" s="38"/>
      <c r="JTG18" s="38"/>
      <c r="JTH18" s="38"/>
      <c r="JTI18" s="38"/>
      <c r="JTJ18" s="38"/>
      <c r="JTK18" s="38"/>
      <c r="JTL18" s="38"/>
      <c r="JTM18" s="38"/>
      <c r="JTN18" s="38"/>
      <c r="JTO18" s="38"/>
      <c r="JTP18" s="38"/>
      <c r="JTQ18" s="38"/>
      <c r="JTR18" s="38"/>
      <c r="JTS18" s="38"/>
      <c r="JTT18" s="38"/>
      <c r="JTU18" s="38"/>
      <c r="JTV18" s="38"/>
      <c r="JTW18" s="38"/>
      <c r="JTX18" s="38"/>
      <c r="JTY18" s="38"/>
      <c r="JTZ18" s="38"/>
      <c r="JUA18" s="38"/>
      <c r="JUB18" s="38"/>
      <c r="JUC18" s="38"/>
      <c r="JUD18" s="38"/>
      <c r="JUE18" s="38"/>
      <c r="JUF18" s="38"/>
      <c r="JUG18" s="38"/>
      <c r="JUH18" s="38"/>
      <c r="JUI18" s="38"/>
      <c r="JUJ18" s="38"/>
      <c r="JUK18" s="38"/>
      <c r="JUL18" s="38"/>
      <c r="JUM18" s="38"/>
      <c r="JUN18" s="38"/>
      <c r="JUO18" s="38"/>
      <c r="JUP18" s="38"/>
      <c r="JUQ18" s="38"/>
      <c r="JUR18" s="38"/>
      <c r="JUS18" s="38"/>
      <c r="JUT18" s="38"/>
      <c r="JUU18" s="38"/>
      <c r="JUV18" s="38"/>
      <c r="JUW18" s="38"/>
      <c r="JUX18" s="38"/>
      <c r="JUY18" s="38"/>
      <c r="JUZ18" s="38"/>
      <c r="JVA18" s="38"/>
      <c r="JVB18" s="38"/>
      <c r="JVC18" s="38"/>
      <c r="JVD18" s="38"/>
      <c r="JVE18" s="38"/>
      <c r="JVF18" s="38"/>
      <c r="JVG18" s="38"/>
      <c r="JVH18" s="38"/>
      <c r="JVI18" s="38"/>
      <c r="JVJ18" s="38"/>
      <c r="JVK18" s="38"/>
      <c r="JVL18" s="38"/>
      <c r="JVM18" s="38"/>
      <c r="JVN18" s="38"/>
      <c r="JVO18" s="38"/>
      <c r="JVP18" s="38"/>
      <c r="JVQ18" s="38"/>
      <c r="JVR18" s="38"/>
      <c r="JVS18" s="38"/>
      <c r="JVT18" s="38"/>
      <c r="JVU18" s="38"/>
      <c r="JVV18" s="38"/>
      <c r="JVW18" s="38"/>
      <c r="JVX18" s="38"/>
      <c r="JVY18" s="38"/>
      <c r="JVZ18" s="38"/>
      <c r="JWA18" s="38"/>
      <c r="JWB18" s="38"/>
      <c r="JWC18" s="38"/>
      <c r="JWD18" s="38"/>
      <c r="JWE18" s="38"/>
      <c r="JWF18" s="38"/>
      <c r="JWG18" s="38"/>
      <c r="JWH18" s="38"/>
      <c r="JWI18" s="38"/>
      <c r="JWJ18" s="38"/>
      <c r="JWK18" s="38"/>
      <c r="JWL18" s="38"/>
      <c r="JWM18" s="38"/>
      <c r="JWN18" s="38"/>
      <c r="JWO18" s="38"/>
      <c r="JWP18" s="38"/>
      <c r="JWQ18" s="38"/>
      <c r="JWR18" s="38"/>
      <c r="JWS18" s="38"/>
      <c r="JWT18" s="38"/>
      <c r="JWU18" s="38"/>
      <c r="JWV18" s="38"/>
      <c r="JWW18" s="38"/>
      <c r="JWX18" s="38"/>
      <c r="JWY18" s="38"/>
      <c r="JWZ18" s="38"/>
      <c r="JXA18" s="38"/>
      <c r="JXB18" s="38"/>
      <c r="JXC18" s="38"/>
      <c r="JXD18" s="38"/>
      <c r="JXE18" s="38"/>
      <c r="JXF18" s="38"/>
      <c r="JXG18" s="38"/>
      <c r="JXH18" s="38"/>
      <c r="JXI18" s="38"/>
      <c r="JXJ18" s="38"/>
      <c r="JXK18" s="38"/>
      <c r="JXL18" s="38"/>
      <c r="JXM18" s="38"/>
      <c r="JXN18" s="38"/>
      <c r="JXO18" s="38"/>
      <c r="JXP18" s="38"/>
      <c r="JXQ18" s="38"/>
      <c r="JXR18" s="38"/>
      <c r="JXS18" s="38"/>
      <c r="JXT18" s="38"/>
      <c r="JXU18" s="38"/>
      <c r="JXV18" s="38"/>
      <c r="JXW18" s="38"/>
      <c r="JXX18" s="38"/>
      <c r="JXY18" s="38"/>
      <c r="JXZ18" s="38"/>
      <c r="JYA18" s="38"/>
      <c r="JYB18" s="38"/>
      <c r="JYC18" s="38"/>
      <c r="JYD18" s="38"/>
      <c r="JYE18" s="38"/>
      <c r="JYF18" s="38"/>
      <c r="JYG18" s="38"/>
      <c r="JYH18" s="38"/>
      <c r="JYI18" s="38"/>
      <c r="JYJ18" s="38"/>
      <c r="JYK18" s="38"/>
      <c r="JYL18" s="38"/>
      <c r="JYM18" s="38"/>
      <c r="JYN18" s="38"/>
      <c r="JYO18" s="38"/>
      <c r="JYP18" s="38"/>
      <c r="JYQ18" s="38"/>
      <c r="JYR18" s="38"/>
      <c r="JYS18" s="38"/>
      <c r="JYT18" s="38"/>
      <c r="JYU18" s="38"/>
      <c r="JYV18" s="38"/>
      <c r="JYW18" s="38"/>
      <c r="JYX18" s="38"/>
      <c r="JYY18" s="38"/>
      <c r="JYZ18" s="38"/>
      <c r="JZA18" s="38"/>
      <c r="JZB18" s="38"/>
      <c r="JZC18" s="38"/>
      <c r="JZD18" s="38"/>
      <c r="JZE18" s="38"/>
      <c r="JZF18" s="38"/>
      <c r="JZG18" s="38"/>
      <c r="JZH18" s="38"/>
      <c r="JZI18" s="38"/>
      <c r="JZJ18" s="38"/>
      <c r="JZK18" s="38"/>
      <c r="JZL18" s="38"/>
      <c r="JZM18" s="38"/>
      <c r="JZN18" s="38"/>
      <c r="JZO18" s="38"/>
      <c r="JZP18" s="38"/>
      <c r="JZQ18" s="38"/>
      <c r="JZR18" s="38"/>
      <c r="JZS18" s="38"/>
      <c r="JZT18" s="38"/>
      <c r="JZU18" s="38"/>
      <c r="JZV18" s="38"/>
      <c r="JZW18" s="38"/>
      <c r="JZX18" s="38"/>
      <c r="JZY18" s="38"/>
      <c r="JZZ18" s="38"/>
      <c r="KAA18" s="38"/>
      <c r="KAB18" s="38"/>
      <c r="KAC18" s="38"/>
      <c r="KAD18" s="38"/>
      <c r="KAE18" s="38"/>
      <c r="KAF18" s="38"/>
      <c r="KAG18" s="38"/>
      <c r="KAH18" s="38"/>
      <c r="KAI18" s="38"/>
      <c r="KAJ18" s="38"/>
      <c r="KAK18" s="38"/>
      <c r="KAL18" s="38"/>
      <c r="KAM18" s="38"/>
      <c r="KAN18" s="38"/>
      <c r="KAO18" s="38"/>
      <c r="KAP18" s="38"/>
      <c r="KAQ18" s="38"/>
      <c r="KAR18" s="38"/>
      <c r="KAS18" s="38"/>
      <c r="KAT18" s="38"/>
      <c r="KAU18" s="38"/>
      <c r="KAV18" s="38"/>
      <c r="KAW18" s="38"/>
      <c r="KAX18" s="38"/>
      <c r="KAY18" s="38"/>
      <c r="KAZ18" s="38"/>
      <c r="KBA18" s="38"/>
      <c r="KBB18" s="38"/>
      <c r="KBC18" s="38"/>
      <c r="KBD18" s="38"/>
      <c r="KBE18" s="38"/>
      <c r="KBF18" s="38"/>
      <c r="KBG18" s="38"/>
      <c r="KBH18" s="38"/>
      <c r="KBI18" s="38"/>
      <c r="KBJ18" s="38"/>
      <c r="KBK18" s="38"/>
      <c r="KBL18" s="38"/>
      <c r="KBM18" s="38"/>
      <c r="KBN18" s="38"/>
      <c r="KBO18" s="38"/>
      <c r="KBP18" s="38"/>
      <c r="KBQ18" s="38"/>
      <c r="KBR18" s="38"/>
      <c r="KBS18" s="38"/>
      <c r="KBT18" s="38"/>
      <c r="KBU18" s="38"/>
      <c r="KBV18" s="38"/>
      <c r="KBW18" s="38"/>
      <c r="KBX18" s="38"/>
      <c r="KBY18" s="38"/>
      <c r="KBZ18" s="38"/>
      <c r="KCA18" s="38"/>
      <c r="KCB18" s="38"/>
      <c r="KCC18" s="38"/>
      <c r="KCD18" s="38"/>
      <c r="KCE18" s="38"/>
      <c r="KCF18" s="38"/>
      <c r="KCG18" s="38"/>
      <c r="KCH18" s="38"/>
      <c r="KCI18" s="38"/>
      <c r="KCJ18" s="38"/>
      <c r="KCK18" s="38"/>
      <c r="KCL18" s="38"/>
      <c r="KCM18" s="38"/>
      <c r="KCN18" s="38"/>
      <c r="KCO18" s="38"/>
      <c r="KCP18" s="38"/>
      <c r="KCQ18" s="38"/>
      <c r="KCR18" s="38"/>
      <c r="KCS18" s="38"/>
      <c r="KCT18" s="38"/>
      <c r="KCU18" s="38"/>
      <c r="KCV18" s="38"/>
      <c r="KCW18" s="38"/>
      <c r="KCX18" s="38"/>
      <c r="KCY18" s="38"/>
      <c r="KCZ18" s="38"/>
      <c r="KDA18" s="38"/>
      <c r="KDB18" s="38"/>
      <c r="KDC18" s="38"/>
      <c r="KDD18" s="38"/>
      <c r="KDE18" s="38"/>
      <c r="KDF18" s="38"/>
      <c r="KDG18" s="38"/>
      <c r="KDH18" s="38"/>
      <c r="KDI18" s="38"/>
      <c r="KDJ18" s="38"/>
      <c r="KDK18" s="38"/>
      <c r="KDL18" s="38"/>
      <c r="KDM18" s="38"/>
      <c r="KDN18" s="38"/>
      <c r="KDO18" s="38"/>
      <c r="KDP18" s="38"/>
      <c r="KDQ18" s="38"/>
      <c r="KDR18" s="38"/>
      <c r="KDS18" s="38"/>
      <c r="KDT18" s="38"/>
      <c r="KDU18" s="38"/>
      <c r="KDV18" s="38"/>
      <c r="KDW18" s="38"/>
      <c r="KDX18" s="38"/>
      <c r="KDY18" s="38"/>
      <c r="KDZ18" s="38"/>
      <c r="KEA18" s="38"/>
      <c r="KEB18" s="38"/>
      <c r="KEC18" s="38"/>
      <c r="KED18" s="38"/>
      <c r="KEE18" s="38"/>
      <c r="KEF18" s="38"/>
      <c r="KEG18" s="38"/>
      <c r="KEH18" s="38"/>
      <c r="KEI18" s="38"/>
      <c r="KEJ18" s="38"/>
      <c r="KEK18" s="38"/>
      <c r="KEL18" s="38"/>
      <c r="KEM18" s="38"/>
      <c r="KEN18" s="38"/>
      <c r="KEO18" s="38"/>
      <c r="KEP18" s="38"/>
      <c r="KEQ18" s="38"/>
      <c r="KER18" s="38"/>
      <c r="KES18" s="38"/>
      <c r="KET18" s="38"/>
      <c r="KEU18" s="38"/>
      <c r="KEV18" s="38"/>
      <c r="KEW18" s="38"/>
      <c r="KEX18" s="38"/>
      <c r="KEY18" s="38"/>
      <c r="KEZ18" s="38"/>
      <c r="KFA18" s="38"/>
      <c r="KFB18" s="38"/>
      <c r="KFC18" s="38"/>
      <c r="KFD18" s="38"/>
      <c r="KFE18" s="38"/>
      <c r="KFF18" s="38"/>
      <c r="KFG18" s="38"/>
      <c r="KFH18" s="38"/>
      <c r="KFI18" s="38"/>
      <c r="KFJ18" s="38"/>
      <c r="KFK18" s="38"/>
      <c r="KFL18" s="38"/>
      <c r="KFM18" s="38"/>
      <c r="KFN18" s="38"/>
      <c r="KFO18" s="38"/>
      <c r="KFP18" s="38"/>
      <c r="KFQ18" s="38"/>
      <c r="KFR18" s="38"/>
      <c r="KFS18" s="38"/>
      <c r="KFT18" s="38"/>
      <c r="KFU18" s="38"/>
      <c r="KFV18" s="38"/>
      <c r="KFW18" s="38"/>
      <c r="KFX18" s="38"/>
      <c r="KFY18" s="38"/>
      <c r="KFZ18" s="38"/>
      <c r="KGA18" s="38"/>
      <c r="KGB18" s="38"/>
      <c r="KGC18" s="38"/>
      <c r="KGD18" s="38"/>
      <c r="KGE18" s="38"/>
      <c r="KGF18" s="38"/>
      <c r="KGG18" s="38"/>
      <c r="KGH18" s="38"/>
      <c r="KGI18" s="38"/>
      <c r="KGJ18" s="38"/>
      <c r="KGK18" s="38"/>
      <c r="KGL18" s="38"/>
      <c r="KGM18" s="38"/>
      <c r="KGN18" s="38"/>
      <c r="KGO18" s="38"/>
      <c r="KGP18" s="38"/>
      <c r="KGQ18" s="38"/>
      <c r="KGR18" s="38"/>
      <c r="KGS18" s="38"/>
      <c r="KGT18" s="38"/>
      <c r="KGU18" s="38"/>
      <c r="KGV18" s="38"/>
      <c r="KGW18" s="38"/>
      <c r="KGX18" s="38"/>
      <c r="KGY18" s="38"/>
      <c r="KGZ18" s="38"/>
      <c r="KHA18" s="38"/>
      <c r="KHB18" s="38"/>
      <c r="KHC18" s="38"/>
      <c r="KHD18" s="38"/>
      <c r="KHE18" s="38"/>
      <c r="KHF18" s="38"/>
      <c r="KHG18" s="38"/>
      <c r="KHH18" s="38"/>
      <c r="KHI18" s="38"/>
      <c r="KHJ18" s="38"/>
      <c r="KHK18" s="38"/>
      <c r="KHL18" s="38"/>
      <c r="KHM18" s="38"/>
      <c r="KHN18" s="38"/>
      <c r="KHO18" s="38"/>
      <c r="KHP18" s="38"/>
      <c r="KHQ18" s="38"/>
      <c r="KHR18" s="38"/>
      <c r="KHS18" s="38"/>
      <c r="KHT18" s="38"/>
      <c r="KHU18" s="38"/>
      <c r="KHV18" s="38"/>
      <c r="KHW18" s="38"/>
      <c r="KHX18" s="38"/>
      <c r="KHY18" s="38"/>
      <c r="KHZ18" s="38"/>
      <c r="KIA18" s="38"/>
      <c r="KIB18" s="38"/>
      <c r="KIC18" s="38"/>
      <c r="KID18" s="38"/>
      <c r="KIE18" s="38"/>
      <c r="KIF18" s="38"/>
      <c r="KIG18" s="38"/>
      <c r="KIH18" s="38"/>
      <c r="KII18" s="38"/>
      <c r="KIJ18" s="38"/>
      <c r="KIK18" s="38"/>
      <c r="KIL18" s="38"/>
      <c r="KIM18" s="38"/>
      <c r="KIN18" s="38"/>
      <c r="KIO18" s="38"/>
      <c r="KIP18" s="38"/>
      <c r="KIQ18" s="38"/>
      <c r="KIR18" s="38"/>
      <c r="KIS18" s="38"/>
      <c r="KIT18" s="38"/>
      <c r="KIU18" s="38"/>
      <c r="KIV18" s="38"/>
      <c r="KIW18" s="38"/>
      <c r="KIX18" s="38"/>
      <c r="KIY18" s="38"/>
      <c r="KIZ18" s="38"/>
      <c r="KJA18" s="38"/>
      <c r="KJB18" s="38"/>
      <c r="KJC18" s="38"/>
      <c r="KJD18" s="38"/>
      <c r="KJE18" s="38"/>
      <c r="KJF18" s="38"/>
      <c r="KJG18" s="38"/>
      <c r="KJH18" s="38"/>
      <c r="KJI18" s="38"/>
      <c r="KJJ18" s="38"/>
      <c r="KJK18" s="38"/>
      <c r="KJL18" s="38"/>
      <c r="KJM18" s="38"/>
      <c r="KJN18" s="38"/>
      <c r="KJO18" s="38"/>
      <c r="KJP18" s="38"/>
      <c r="KJQ18" s="38"/>
      <c r="KJR18" s="38"/>
      <c r="KJS18" s="38"/>
      <c r="KJT18" s="38"/>
      <c r="KJU18" s="38"/>
      <c r="KJV18" s="38"/>
      <c r="KJW18" s="38"/>
      <c r="KJX18" s="38"/>
      <c r="KJY18" s="38"/>
      <c r="KJZ18" s="38"/>
      <c r="KKA18" s="38"/>
      <c r="KKB18" s="38"/>
      <c r="KKC18" s="38"/>
      <c r="KKD18" s="38"/>
      <c r="KKE18" s="38"/>
      <c r="KKF18" s="38"/>
      <c r="KKG18" s="38"/>
      <c r="KKH18" s="38"/>
      <c r="KKI18" s="38"/>
      <c r="KKJ18" s="38"/>
      <c r="KKK18" s="38"/>
      <c r="KKL18" s="38"/>
      <c r="KKM18" s="38"/>
      <c r="KKN18" s="38"/>
      <c r="KKO18" s="38"/>
      <c r="KKP18" s="38"/>
      <c r="KKQ18" s="38"/>
      <c r="KKR18" s="38"/>
      <c r="KKS18" s="38"/>
      <c r="KKT18" s="38"/>
      <c r="KKU18" s="38"/>
      <c r="KKV18" s="38"/>
      <c r="KKW18" s="38"/>
      <c r="KKX18" s="38"/>
      <c r="KKY18" s="38"/>
      <c r="KKZ18" s="38"/>
      <c r="KLA18" s="38"/>
      <c r="KLB18" s="38"/>
      <c r="KLC18" s="38"/>
      <c r="KLD18" s="38"/>
      <c r="KLE18" s="38"/>
      <c r="KLF18" s="38"/>
      <c r="KLG18" s="38"/>
      <c r="KLH18" s="38"/>
      <c r="KLI18" s="38"/>
      <c r="KLJ18" s="38"/>
      <c r="KLK18" s="38"/>
      <c r="KLL18" s="38"/>
      <c r="KLM18" s="38"/>
      <c r="KLN18" s="38"/>
      <c r="KLO18" s="38"/>
      <c r="KLP18" s="38"/>
      <c r="KLQ18" s="38"/>
      <c r="KLR18" s="38"/>
      <c r="KLS18" s="38"/>
      <c r="KLT18" s="38"/>
      <c r="KLU18" s="38"/>
      <c r="KLV18" s="38"/>
      <c r="KLW18" s="38"/>
      <c r="KLX18" s="38"/>
      <c r="KLY18" s="38"/>
      <c r="KLZ18" s="38"/>
      <c r="KMA18" s="38"/>
      <c r="KMB18" s="38"/>
      <c r="KMC18" s="38"/>
      <c r="KMD18" s="38"/>
      <c r="KME18" s="38"/>
      <c r="KMF18" s="38"/>
      <c r="KMG18" s="38"/>
      <c r="KMH18" s="38"/>
      <c r="KMI18" s="38"/>
      <c r="KMJ18" s="38"/>
      <c r="KMK18" s="38"/>
      <c r="KML18" s="38"/>
      <c r="KMM18" s="38"/>
      <c r="KMN18" s="38"/>
      <c r="KMO18" s="38"/>
      <c r="KMP18" s="38"/>
      <c r="KMQ18" s="38"/>
      <c r="KMR18" s="38"/>
      <c r="KMS18" s="38"/>
      <c r="KMT18" s="38"/>
      <c r="KMU18" s="38"/>
      <c r="KMV18" s="38"/>
      <c r="KMW18" s="38"/>
      <c r="KMX18" s="38"/>
      <c r="KMY18" s="38"/>
      <c r="KMZ18" s="38"/>
      <c r="KNA18" s="38"/>
      <c r="KNB18" s="38"/>
      <c r="KNC18" s="38"/>
      <c r="KND18" s="38"/>
      <c r="KNE18" s="38"/>
      <c r="KNF18" s="38"/>
      <c r="KNG18" s="38"/>
      <c r="KNH18" s="38"/>
      <c r="KNI18" s="38"/>
      <c r="KNJ18" s="38"/>
      <c r="KNK18" s="38"/>
      <c r="KNL18" s="38"/>
      <c r="KNM18" s="38"/>
      <c r="KNN18" s="38"/>
      <c r="KNO18" s="38"/>
      <c r="KNP18" s="38"/>
      <c r="KNQ18" s="38"/>
      <c r="KNR18" s="38"/>
      <c r="KNS18" s="38"/>
      <c r="KNT18" s="38"/>
      <c r="KNU18" s="38"/>
      <c r="KNV18" s="38"/>
      <c r="KNW18" s="38"/>
      <c r="KNX18" s="38"/>
      <c r="KNY18" s="38"/>
      <c r="KNZ18" s="38"/>
      <c r="KOA18" s="38"/>
      <c r="KOB18" s="38"/>
      <c r="KOC18" s="38"/>
      <c r="KOD18" s="38"/>
      <c r="KOE18" s="38"/>
      <c r="KOF18" s="38"/>
      <c r="KOG18" s="38"/>
      <c r="KOH18" s="38"/>
      <c r="KOI18" s="38"/>
      <c r="KOJ18" s="38"/>
      <c r="KOK18" s="38"/>
      <c r="KOL18" s="38"/>
      <c r="KOM18" s="38"/>
      <c r="KON18" s="38"/>
      <c r="KOO18" s="38"/>
      <c r="KOP18" s="38"/>
      <c r="KOQ18" s="38"/>
      <c r="KOR18" s="38"/>
      <c r="KOS18" s="38"/>
      <c r="KOT18" s="38"/>
      <c r="KOU18" s="38"/>
      <c r="KOV18" s="38"/>
      <c r="KOW18" s="38"/>
      <c r="KOX18" s="38"/>
      <c r="KOY18" s="38"/>
      <c r="KOZ18" s="38"/>
      <c r="KPA18" s="38"/>
      <c r="KPB18" s="38"/>
      <c r="KPC18" s="38"/>
      <c r="KPD18" s="38"/>
      <c r="KPE18" s="38"/>
      <c r="KPF18" s="38"/>
      <c r="KPG18" s="38"/>
      <c r="KPH18" s="38"/>
      <c r="KPI18" s="38"/>
      <c r="KPJ18" s="38"/>
      <c r="KPK18" s="38"/>
      <c r="KPL18" s="38"/>
      <c r="KPM18" s="38"/>
      <c r="KPN18" s="38"/>
      <c r="KPO18" s="38"/>
      <c r="KPP18" s="38"/>
      <c r="KPQ18" s="38"/>
      <c r="KPR18" s="38"/>
      <c r="KPS18" s="38"/>
      <c r="KPT18" s="38"/>
      <c r="KPU18" s="38"/>
      <c r="KPV18" s="38"/>
      <c r="KPW18" s="38"/>
      <c r="KPX18" s="38"/>
      <c r="KPY18" s="38"/>
      <c r="KPZ18" s="38"/>
      <c r="KQA18" s="38"/>
      <c r="KQB18" s="38"/>
      <c r="KQC18" s="38"/>
      <c r="KQD18" s="38"/>
      <c r="KQE18" s="38"/>
      <c r="KQF18" s="38"/>
      <c r="KQG18" s="38"/>
      <c r="KQH18" s="38"/>
      <c r="KQI18" s="38"/>
      <c r="KQJ18" s="38"/>
      <c r="KQK18" s="38"/>
      <c r="KQL18" s="38"/>
      <c r="KQM18" s="38"/>
      <c r="KQN18" s="38"/>
      <c r="KQO18" s="38"/>
      <c r="KQP18" s="38"/>
      <c r="KQQ18" s="38"/>
      <c r="KQR18" s="38"/>
      <c r="KQS18" s="38"/>
      <c r="KQT18" s="38"/>
      <c r="KQU18" s="38"/>
      <c r="KQV18" s="38"/>
      <c r="KQW18" s="38"/>
      <c r="KQX18" s="38"/>
      <c r="KQY18" s="38"/>
      <c r="KQZ18" s="38"/>
      <c r="KRA18" s="38"/>
      <c r="KRB18" s="38"/>
      <c r="KRC18" s="38"/>
      <c r="KRD18" s="38"/>
      <c r="KRE18" s="38"/>
      <c r="KRF18" s="38"/>
      <c r="KRG18" s="38"/>
      <c r="KRH18" s="38"/>
      <c r="KRI18" s="38"/>
      <c r="KRJ18" s="38"/>
      <c r="KRK18" s="38"/>
      <c r="KRL18" s="38"/>
      <c r="KRM18" s="38"/>
      <c r="KRN18" s="38"/>
      <c r="KRO18" s="38"/>
      <c r="KRP18" s="38"/>
      <c r="KRQ18" s="38"/>
      <c r="KRR18" s="38"/>
      <c r="KRS18" s="38"/>
      <c r="KRT18" s="38"/>
      <c r="KRU18" s="38"/>
      <c r="KRV18" s="38"/>
      <c r="KRW18" s="38"/>
      <c r="KRX18" s="38"/>
      <c r="KRY18" s="38"/>
      <c r="KRZ18" s="38"/>
      <c r="KSA18" s="38"/>
      <c r="KSB18" s="38"/>
      <c r="KSC18" s="38"/>
      <c r="KSD18" s="38"/>
      <c r="KSE18" s="38"/>
      <c r="KSF18" s="38"/>
      <c r="KSG18" s="38"/>
      <c r="KSH18" s="38"/>
      <c r="KSI18" s="38"/>
      <c r="KSJ18" s="38"/>
      <c r="KSK18" s="38"/>
      <c r="KSL18" s="38"/>
      <c r="KSM18" s="38"/>
      <c r="KSN18" s="38"/>
      <c r="KSO18" s="38"/>
      <c r="KSP18" s="38"/>
      <c r="KSQ18" s="38"/>
      <c r="KSR18" s="38"/>
      <c r="KSS18" s="38"/>
      <c r="KST18" s="38"/>
      <c r="KSU18" s="38"/>
      <c r="KSV18" s="38"/>
      <c r="KSW18" s="38"/>
      <c r="KSX18" s="38"/>
      <c r="KSY18" s="38"/>
      <c r="KSZ18" s="38"/>
      <c r="KTA18" s="38"/>
      <c r="KTB18" s="38"/>
      <c r="KTC18" s="38"/>
      <c r="KTD18" s="38"/>
      <c r="KTE18" s="38"/>
      <c r="KTF18" s="38"/>
      <c r="KTG18" s="38"/>
      <c r="KTH18" s="38"/>
      <c r="KTI18" s="38"/>
      <c r="KTJ18" s="38"/>
      <c r="KTK18" s="38"/>
      <c r="KTL18" s="38"/>
      <c r="KTM18" s="38"/>
      <c r="KTN18" s="38"/>
      <c r="KTO18" s="38"/>
      <c r="KTP18" s="38"/>
      <c r="KTQ18" s="38"/>
      <c r="KTR18" s="38"/>
      <c r="KTS18" s="38"/>
      <c r="KTT18" s="38"/>
      <c r="KTU18" s="38"/>
      <c r="KTV18" s="38"/>
      <c r="KTW18" s="38"/>
      <c r="KTX18" s="38"/>
      <c r="KTY18" s="38"/>
      <c r="KTZ18" s="38"/>
      <c r="KUA18" s="38"/>
      <c r="KUB18" s="38"/>
      <c r="KUC18" s="38"/>
      <c r="KUD18" s="38"/>
      <c r="KUE18" s="38"/>
      <c r="KUF18" s="38"/>
      <c r="KUG18" s="38"/>
      <c r="KUH18" s="38"/>
      <c r="KUI18" s="38"/>
      <c r="KUJ18" s="38"/>
      <c r="KUK18" s="38"/>
      <c r="KUL18" s="38"/>
      <c r="KUM18" s="38"/>
      <c r="KUN18" s="38"/>
      <c r="KUO18" s="38"/>
      <c r="KUP18" s="38"/>
      <c r="KUQ18" s="38"/>
      <c r="KUR18" s="38"/>
      <c r="KUS18" s="38"/>
      <c r="KUT18" s="38"/>
      <c r="KUU18" s="38"/>
      <c r="KUV18" s="38"/>
      <c r="KUW18" s="38"/>
      <c r="KUX18" s="38"/>
      <c r="KUY18" s="38"/>
      <c r="KUZ18" s="38"/>
      <c r="KVA18" s="38"/>
      <c r="KVB18" s="38"/>
      <c r="KVC18" s="38"/>
      <c r="KVD18" s="38"/>
      <c r="KVE18" s="38"/>
      <c r="KVF18" s="38"/>
      <c r="KVG18" s="38"/>
      <c r="KVH18" s="38"/>
      <c r="KVI18" s="38"/>
      <c r="KVJ18" s="38"/>
      <c r="KVK18" s="38"/>
      <c r="KVL18" s="38"/>
      <c r="KVM18" s="38"/>
      <c r="KVN18" s="38"/>
      <c r="KVO18" s="38"/>
      <c r="KVP18" s="38"/>
      <c r="KVQ18" s="38"/>
      <c r="KVR18" s="38"/>
      <c r="KVS18" s="38"/>
      <c r="KVT18" s="38"/>
      <c r="KVU18" s="38"/>
      <c r="KVV18" s="38"/>
      <c r="KVW18" s="38"/>
      <c r="KVX18" s="38"/>
      <c r="KVY18" s="38"/>
      <c r="KVZ18" s="38"/>
      <c r="KWA18" s="38"/>
      <c r="KWB18" s="38"/>
      <c r="KWC18" s="38"/>
      <c r="KWD18" s="38"/>
      <c r="KWE18" s="38"/>
      <c r="KWF18" s="38"/>
      <c r="KWG18" s="38"/>
      <c r="KWH18" s="38"/>
      <c r="KWI18" s="38"/>
      <c r="KWJ18" s="38"/>
      <c r="KWK18" s="38"/>
      <c r="KWL18" s="38"/>
      <c r="KWM18" s="38"/>
      <c r="KWN18" s="38"/>
      <c r="KWO18" s="38"/>
      <c r="KWP18" s="38"/>
      <c r="KWQ18" s="38"/>
      <c r="KWR18" s="38"/>
      <c r="KWS18" s="38"/>
      <c r="KWT18" s="38"/>
      <c r="KWU18" s="38"/>
      <c r="KWV18" s="38"/>
      <c r="KWW18" s="38"/>
      <c r="KWX18" s="38"/>
      <c r="KWY18" s="38"/>
      <c r="KWZ18" s="38"/>
      <c r="KXA18" s="38"/>
      <c r="KXB18" s="38"/>
      <c r="KXC18" s="38"/>
      <c r="KXD18" s="38"/>
      <c r="KXE18" s="38"/>
      <c r="KXF18" s="38"/>
      <c r="KXG18" s="38"/>
      <c r="KXH18" s="38"/>
      <c r="KXI18" s="38"/>
      <c r="KXJ18" s="38"/>
      <c r="KXK18" s="38"/>
      <c r="KXL18" s="38"/>
      <c r="KXM18" s="38"/>
      <c r="KXN18" s="38"/>
      <c r="KXO18" s="38"/>
      <c r="KXP18" s="38"/>
      <c r="KXQ18" s="38"/>
      <c r="KXR18" s="38"/>
      <c r="KXS18" s="38"/>
      <c r="KXT18" s="38"/>
      <c r="KXU18" s="38"/>
      <c r="KXV18" s="38"/>
      <c r="KXW18" s="38"/>
      <c r="KXX18" s="38"/>
      <c r="KXY18" s="38"/>
      <c r="KXZ18" s="38"/>
      <c r="KYA18" s="38"/>
      <c r="KYB18" s="38"/>
      <c r="KYC18" s="38"/>
      <c r="KYD18" s="38"/>
      <c r="KYE18" s="38"/>
      <c r="KYF18" s="38"/>
      <c r="KYG18" s="38"/>
      <c r="KYH18" s="38"/>
      <c r="KYI18" s="38"/>
      <c r="KYJ18" s="38"/>
      <c r="KYK18" s="38"/>
      <c r="KYL18" s="38"/>
      <c r="KYM18" s="38"/>
      <c r="KYN18" s="38"/>
      <c r="KYO18" s="38"/>
      <c r="KYP18" s="38"/>
      <c r="KYQ18" s="38"/>
      <c r="KYR18" s="38"/>
      <c r="KYS18" s="38"/>
      <c r="KYT18" s="38"/>
      <c r="KYU18" s="38"/>
      <c r="KYV18" s="38"/>
      <c r="KYW18" s="38"/>
      <c r="KYX18" s="38"/>
      <c r="KYY18" s="38"/>
      <c r="KYZ18" s="38"/>
      <c r="KZA18" s="38"/>
      <c r="KZB18" s="38"/>
      <c r="KZC18" s="38"/>
      <c r="KZD18" s="38"/>
      <c r="KZE18" s="38"/>
      <c r="KZF18" s="38"/>
      <c r="KZG18" s="38"/>
      <c r="KZH18" s="38"/>
      <c r="KZI18" s="38"/>
      <c r="KZJ18" s="38"/>
      <c r="KZK18" s="38"/>
      <c r="KZL18" s="38"/>
      <c r="KZM18" s="38"/>
      <c r="KZN18" s="38"/>
      <c r="KZO18" s="38"/>
      <c r="KZP18" s="38"/>
      <c r="KZQ18" s="38"/>
      <c r="KZR18" s="38"/>
      <c r="KZS18" s="38"/>
      <c r="KZT18" s="38"/>
      <c r="KZU18" s="38"/>
      <c r="KZV18" s="38"/>
      <c r="KZW18" s="38"/>
      <c r="KZX18" s="38"/>
      <c r="KZY18" s="38"/>
      <c r="KZZ18" s="38"/>
      <c r="LAA18" s="38"/>
      <c r="LAB18" s="38"/>
      <c r="LAC18" s="38"/>
      <c r="LAD18" s="38"/>
      <c r="LAE18" s="38"/>
      <c r="LAF18" s="38"/>
      <c r="LAG18" s="38"/>
      <c r="LAH18" s="38"/>
      <c r="LAI18" s="38"/>
      <c r="LAJ18" s="38"/>
      <c r="LAK18" s="38"/>
      <c r="LAL18" s="38"/>
      <c r="LAM18" s="38"/>
      <c r="LAN18" s="38"/>
      <c r="LAO18" s="38"/>
      <c r="LAP18" s="38"/>
      <c r="LAQ18" s="38"/>
      <c r="LAR18" s="38"/>
      <c r="LAS18" s="38"/>
      <c r="LAT18" s="38"/>
      <c r="LAU18" s="38"/>
      <c r="LAV18" s="38"/>
      <c r="LAW18" s="38"/>
      <c r="LAX18" s="38"/>
      <c r="LAY18" s="38"/>
      <c r="LAZ18" s="38"/>
      <c r="LBA18" s="38"/>
      <c r="LBB18" s="38"/>
      <c r="LBC18" s="38"/>
      <c r="LBD18" s="38"/>
      <c r="LBE18" s="38"/>
      <c r="LBF18" s="38"/>
      <c r="LBG18" s="38"/>
      <c r="LBH18" s="38"/>
      <c r="LBI18" s="38"/>
      <c r="LBJ18" s="38"/>
      <c r="LBK18" s="38"/>
      <c r="LBL18" s="38"/>
      <c r="LBM18" s="38"/>
      <c r="LBN18" s="38"/>
      <c r="LBO18" s="38"/>
      <c r="LBP18" s="38"/>
      <c r="LBQ18" s="38"/>
      <c r="LBR18" s="38"/>
      <c r="LBS18" s="38"/>
      <c r="LBT18" s="38"/>
      <c r="LBU18" s="38"/>
      <c r="LBV18" s="38"/>
      <c r="LBW18" s="38"/>
      <c r="LBX18" s="38"/>
      <c r="LBY18" s="38"/>
      <c r="LBZ18" s="38"/>
      <c r="LCA18" s="38"/>
      <c r="LCB18" s="38"/>
      <c r="LCC18" s="38"/>
      <c r="LCD18" s="38"/>
      <c r="LCE18" s="38"/>
      <c r="LCF18" s="38"/>
      <c r="LCG18" s="38"/>
      <c r="LCH18" s="38"/>
      <c r="LCI18" s="38"/>
      <c r="LCJ18" s="38"/>
      <c r="LCK18" s="38"/>
      <c r="LCL18" s="38"/>
      <c r="LCM18" s="38"/>
      <c r="LCN18" s="38"/>
      <c r="LCO18" s="38"/>
      <c r="LCP18" s="38"/>
      <c r="LCQ18" s="38"/>
      <c r="LCR18" s="38"/>
      <c r="LCS18" s="38"/>
      <c r="LCT18" s="38"/>
      <c r="LCU18" s="38"/>
      <c r="LCV18" s="38"/>
      <c r="LCW18" s="38"/>
      <c r="LCX18" s="38"/>
      <c r="LCY18" s="38"/>
      <c r="LCZ18" s="38"/>
      <c r="LDA18" s="38"/>
      <c r="LDB18" s="38"/>
      <c r="LDC18" s="38"/>
      <c r="LDD18" s="38"/>
      <c r="LDE18" s="38"/>
      <c r="LDF18" s="38"/>
      <c r="LDG18" s="38"/>
      <c r="LDH18" s="38"/>
      <c r="LDI18" s="38"/>
      <c r="LDJ18" s="38"/>
      <c r="LDK18" s="38"/>
      <c r="LDL18" s="38"/>
      <c r="LDM18" s="38"/>
      <c r="LDN18" s="38"/>
      <c r="LDO18" s="38"/>
      <c r="LDP18" s="38"/>
      <c r="LDQ18" s="38"/>
      <c r="LDR18" s="38"/>
      <c r="LDS18" s="38"/>
      <c r="LDT18" s="38"/>
      <c r="LDU18" s="38"/>
      <c r="LDV18" s="38"/>
      <c r="LDW18" s="38"/>
      <c r="LDX18" s="38"/>
      <c r="LDY18" s="38"/>
      <c r="LDZ18" s="38"/>
      <c r="LEA18" s="38"/>
      <c r="LEB18" s="38"/>
      <c r="LEC18" s="38"/>
      <c r="LED18" s="38"/>
      <c r="LEE18" s="38"/>
      <c r="LEF18" s="38"/>
      <c r="LEG18" s="38"/>
      <c r="LEH18" s="38"/>
      <c r="LEI18" s="38"/>
      <c r="LEJ18" s="38"/>
      <c r="LEK18" s="38"/>
      <c r="LEL18" s="38"/>
      <c r="LEM18" s="38"/>
      <c r="LEN18" s="38"/>
      <c r="LEO18" s="38"/>
      <c r="LEP18" s="38"/>
      <c r="LEQ18" s="38"/>
      <c r="LER18" s="38"/>
      <c r="LES18" s="38"/>
      <c r="LET18" s="38"/>
      <c r="LEU18" s="38"/>
      <c r="LEV18" s="38"/>
      <c r="LEW18" s="38"/>
      <c r="LEX18" s="38"/>
      <c r="LEY18" s="38"/>
      <c r="LEZ18" s="38"/>
      <c r="LFA18" s="38"/>
      <c r="LFB18" s="38"/>
      <c r="LFC18" s="38"/>
      <c r="LFD18" s="38"/>
      <c r="LFE18" s="38"/>
      <c r="LFF18" s="38"/>
      <c r="LFG18" s="38"/>
      <c r="LFH18" s="38"/>
      <c r="LFI18" s="38"/>
      <c r="LFJ18" s="38"/>
      <c r="LFK18" s="38"/>
      <c r="LFL18" s="38"/>
      <c r="LFM18" s="38"/>
      <c r="LFN18" s="38"/>
      <c r="LFO18" s="38"/>
      <c r="LFP18" s="38"/>
      <c r="LFQ18" s="38"/>
      <c r="LFR18" s="38"/>
      <c r="LFS18" s="38"/>
      <c r="LFT18" s="38"/>
      <c r="LFU18" s="38"/>
      <c r="LFV18" s="38"/>
      <c r="LFW18" s="38"/>
      <c r="LFX18" s="38"/>
      <c r="LFY18" s="38"/>
      <c r="LFZ18" s="38"/>
      <c r="LGA18" s="38"/>
      <c r="LGB18" s="38"/>
      <c r="LGC18" s="38"/>
      <c r="LGD18" s="38"/>
      <c r="LGE18" s="38"/>
      <c r="LGF18" s="38"/>
      <c r="LGG18" s="38"/>
      <c r="LGH18" s="38"/>
      <c r="LGI18" s="38"/>
      <c r="LGJ18" s="38"/>
      <c r="LGK18" s="38"/>
      <c r="LGL18" s="38"/>
      <c r="LGM18" s="38"/>
      <c r="LGN18" s="38"/>
      <c r="LGO18" s="38"/>
      <c r="LGP18" s="38"/>
      <c r="LGQ18" s="38"/>
      <c r="LGR18" s="38"/>
      <c r="LGS18" s="38"/>
      <c r="LGT18" s="38"/>
      <c r="LGU18" s="38"/>
      <c r="LGV18" s="38"/>
      <c r="LGW18" s="38"/>
      <c r="LGX18" s="38"/>
      <c r="LGY18" s="38"/>
      <c r="LGZ18" s="38"/>
      <c r="LHA18" s="38"/>
      <c r="LHB18" s="38"/>
      <c r="LHC18" s="38"/>
      <c r="LHD18" s="38"/>
      <c r="LHE18" s="38"/>
      <c r="LHF18" s="38"/>
      <c r="LHG18" s="38"/>
      <c r="LHH18" s="38"/>
      <c r="LHI18" s="38"/>
      <c r="LHJ18" s="38"/>
      <c r="LHK18" s="38"/>
      <c r="LHL18" s="38"/>
      <c r="LHM18" s="38"/>
      <c r="LHN18" s="38"/>
      <c r="LHO18" s="38"/>
      <c r="LHP18" s="38"/>
      <c r="LHQ18" s="38"/>
      <c r="LHR18" s="38"/>
      <c r="LHS18" s="38"/>
      <c r="LHT18" s="38"/>
      <c r="LHU18" s="38"/>
      <c r="LHV18" s="38"/>
      <c r="LHW18" s="38"/>
      <c r="LHX18" s="38"/>
      <c r="LHY18" s="38"/>
      <c r="LHZ18" s="38"/>
      <c r="LIA18" s="38"/>
      <c r="LIB18" s="38"/>
      <c r="LIC18" s="38"/>
      <c r="LID18" s="38"/>
      <c r="LIE18" s="38"/>
      <c r="LIF18" s="38"/>
      <c r="LIG18" s="38"/>
      <c r="LIH18" s="38"/>
      <c r="LII18" s="38"/>
      <c r="LIJ18" s="38"/>
      <c r="LIK18" s="38"/>
      <c r="LIL18" s="38"/>
      <c r="LIM18" s="38"/>
      <c r="LIN18" s="38"/>
      <c r="LIO18" s="38"/>
      <c r="LIP18" s="38"/>
      <c r="LIQ18" s="38"/>
      <c r="LIR18" s="38"/>
      <c r="LIS18" s="38"/>
      <c r="LIT18" s="38"/>
      <c r="LIU18" s="38"/>
      <c r="LIV18" s="38"/>
      <c r="LIW18" s="38"/>
      <c r="LIX18" s="38"/>
      <c r="LIY18" s="38"/>
      <c r="LIZ18" s="38"/>
      <c r="LJA18" s="38"/>
      <c r="LJB18" s="38"/>
      <c r="LJC18" s="38"/>
      <c r="LJD18" s="38"/>
      <c r="LJE18" s="38"/>
      <c r="LJF18" s="38"/>
      <c r="LJG18" s="38"/>
      <c r="LJH18" s="38"/>
      <c r="LJI18" s="38"/>
      <c r="LJJ18" s="38"/>
      <c r="LJK18" s="38"/>
      <c r="LJL18" s="38"/>
      <c r="LJM18" s="38"/>
      <c r="LJN18" s="38"/>
      <c r="LJO18" s="38"/>
      <c r="LJP18" s="38"/>
      <c r="LJQ18" s="38"/>
      <c r="LJR18" s="38"/>
      <c r="LJS18" s="38"/>
      <c r="LJT18" s="38"/>
      <c r="LJU18" s="38"/>
      <c r="LJV18" s="38"/>
      <c r="LJW18" s="38"/>
      <c r="LJX18" s="38"/>
      <c r="LJY18" s="38"/>
      <c r="LJZ18" s="38"/>
      <c r="LKA18" s="38"/>
      <c r="LKB18" s="38"/>
      <c r="LKC18" s="38"/>
      <c r="LKD18" s="38"/>
      <c r="LKE18" s="38"/>
      <c r="LKF18" s="38"/>
      <c r="LKG18" s="38"/>
      <c r="LKH18" s="38"/>
      <c r="LKI18" s="38"/>
      <c r="LKJ18" s="38"/>
      <c r="LKK18" s="38"/>
      <c r="LKL18" s="38"/>
      <c r="LKM18" s="38"/>
      <c r="LKN18" s="38"/>
      <c r="LKO18" s="38"/>
      <c r="LKP18" s="38"/>
      <c r="LKQ18" s="38"/>
      <c r="LKR18" s="38"/>
      <c r="LKS18" s="38"/>
      <c r="LKT18" s="38"/>
      <c r="LKU18" s="38"/>
      <c r="LKV18" s="38"/>
      <c r="LKW18" s="38"/>
      <c r="LKX18" s="38"/>
      <c r="LKY18" s="38"/>
      <c r="LKZ18" s="38"/>
      <c r="LLA18" s="38"/>
      <c r="LLB18" s="38"/>
      <c r="LLC18" s="38"/>
      <c r="LLD18" s="38"/>
      <c r="LLE18" s="38"/>
      <c r="LLF18" s="38"/>
      <c r="LLG18" s="38"/>
      <c r="LLH18" s="38"/>
      <c r="LLI18" s="38"/>
      <c r="LLJ18" s="38"/>
      <c r="LLK18" s="38"/>
      <c r="LLL18" s="38"/>
      <c r="LLM18" s="38"/>
      <c r="LLN18" s="38"/>
      <c r="LLO18" s="38"/>
      <c r="LLP18" s="38"/>
      <c r="LLQ18" s="38"/>
      <c r="LLR18" s="38"/>
      <c r="LLS18" s="38"/>
      <c r="LLT18" s="38"/>
      <c r="LLU18" s="38"/>
      <c r="LLV18" s="38"/>
      <c r="LLW18" s="38"/>
      <c r="LLX18" s="38"/>
      <c r="LLY18" s="38"/>
      <c r="LLZ18" s="38"/>
      <c r="LMA18" s="38"/>
      <c r="LMB18" s="38"/>
      <c r="LMC18" s="38"/>
      <c r="LMD18" s="38"/>
      <c r="LME18" s="38"/>
      <c r="LMF18" s="38"/>
      <c r="LMG18" s="38"/>
      <c r="LMH18" s="38"/>
      <c r="LMI18" s="38"/>
      <c r="LMJ18" s="38"/>
      <c r="LMK18" s="38"/>
      <c r="LML18" s="38"/>
      <c r="LMM18" s="38"/>
      <c r="LMN18" s="38"/>
      <c r="LMO18" s="38"/>
      <c r="LMP18" s="38"/>
      <c r="LMQ18" s="38"/>
      <c r="LMR18" s="38"/>
      <c r="LMS18" s="38"/>
      <c r="LMT18" s="38"/>
      <c r="LMU18" s="38"/>
      <c r="LMV18" s="38"/>
      <c r="LMW18" s="38"/>
      <c r="LMX18" s="38"/>
      <c r="LMY18" s="38"/>
      <c r="LMZ18" s="38"/>
      <c r="LNA18" s="38"/>
      <c r="LNB18" s="38"/>
      <c r="LNC18" s="38"/>
      <c r="LND18" s="38"/>
      <c r="LNE18" s="38"/>
      <c r="LNF18" s="38"/>
      <c r="LNG18" s="38"/>
      <c r="LNH18" s="38"/>
      <c r="LNI18" s="38"/>
      <c r="LNJ18" s="38"/>
      <c r="LNK18" s="38"/>
      <c r="LNL18" s="38"/>
      <c r="LNM18" s="38"/>
      <c r="LNN18" s="38"/>
      <c r="LNO18" s="38"/>
      <c r="LNP18" s="38"/>
      <c r="LNQ18" s="38"/>
      <c r="LNR18" s="38"/>
      <c r="LNS18" s="38"/>
      <c r="LNT18" s="38"/>
      <c r="LNU18" s="38"/>
      <c r="LNV18" s="38"/>
      <c r="LNW18" s="38"/>
      <c r="LNX18" s="38"/>
      <c r="LNY18" s="38"/>
      <c r="LNZ18" s="38"/>
      <c r="LOA18" s="38"/>
      <c r="LOB18" s="38"/>
      <c r="LOC18" s="38"/>
      <c r="LOD18" s="38"/>
      <c r="LOE18" s="38"/>
      <c r="LOF18" s="38"/>
      <c r="LOG18" s="38"/>
      <c r="LOH18" s="38"/>
      <c r="LOI18" s="38"/>
      <c r="LOJ18" s="38"/>
      <c r="LOK18" s="38"/>
      <c r="LOL18" s="38"/>
      <c r="LOM18" s="38"/>
      <c r="LON18" s="38"/>
      <c r="LOO18" s="38"/>
      <c r="LOP18" s="38"/>
      <c r="LOQ18" s="38"/>
      <c r="LOR18" s="38"/>
      <c r="LOS18" s="38"/>
      <c r="LOT18" s="38"/>
      <c r="LOU18" s="38"/>
      <c r="LOV18" s="38"/>
      <c r="LOW18" s="38"/>
      <c r="LOX18" s="38"/>
      <c r="LOY18" s="38"/>
      <c r="LOZ18" s="38"/>
      <c r="LPA18" s="38"/>
      <c r="LPB18" s="38"/>
      <c r="LPC18" s="38"/>
      <c r="LPD18" s="38"/>
      <c r="LPE18" s="38"/>
      <c r="LPF18" s="38"/>
      <c r="LPG18" s="38"/>
      <c r="LPH18" s="38"/>
      <c r="LPI18" s="38"/>
      <c r="LPJ18" s="38"/>
      <c r="LPK18" s="38"/>
      <c r="LPL18" s="38"/>
      <c r="LPM18" s="38"/>
      <c r="LPN18" s="38"/>
      <c r="LPO18" s="38"/>
      <c r="LPP18" s="38"/>
      <c r="LPQ18" s="38"/>
      <c r="LPR18" s="38"/>
      <c r="LPS18" s="38"/>
      <c r="LPT18" s="38"/>
      <c r="LPU18" s="38"/>
      <c r="LPV18" s="38"/>
      <c r="LPW18" s="38"/>
      <c r="LPX18" s="38"/>
      <c r="LPY18" s="38"/>
      <c r="LPZ18" s="38"/>
      <c r="LQA18" s="38"/>
      <c r="LQB18" s="38"/>
      <c r="LQC18" s="38"/>
      <c r="LQD18" s="38"/>
      <c r="LQE18" s="38"/>
      <c r="LQF18" s="38"/>
      <c r="LQG18" s="38"/>
      <c r="LQH18" s="38"/>
      <c r="LQI18" s="38"/>
      <c r="LQJ18" s="38"/>
      <c r="LQK18" s="38"/>
      <c r="LQL18" s="38"/>
      <c r="LQM18" s="38"/>
      <c r="LQN18" s="38"/>
      <c r="LQO18" s="38"/>
      <c r="LQP18" s="38"/>
      <c r="LQQ18" s="38"/>
      <c r="LQR18" s="38"/>
      <c r="LQS18" s="38"/>
      <c r="LQT18" s="38"/>
      <c r="LQU18" s="38"/>
      <c r="LQV18" s="38"/>
      <c r="LQW18" s="38"/>
      <c r="LQX18" s="38"/>
      <c r="LQY18" s="38"/>
      <c r="LQZ18" s="38"/>
      <c r="LRA18" s="38"/>
      <c r="LRB18" s="38"/>
      <c r="LRC18" s="38"/>
      <c r="LRD18" s="38"/>
      <c r="LRE18" s="38"/>
      <c r="LRF18" s="38"/>
      <c r="LRG18" s="38"/>
      <c r="LRH18" s="38"/>
      <c r="LRI18" s="38"/>
      <c r="LRJ18" s="38"/>
      <c r="LRK18" s="38"/>
      <c r="LRL18" s="38"/>
      <c r="LRM18" s="38"/>
      <c r="LRN18" s="38"/>
      <c r="LRO18" s="38"/>
      <c r="LRP18" s="38"/>
      <c r="LRQ18" s="38"/>
      <c r="LRR18" s="38"/>
      <c r="LRS18" s="38"/>
      <c r="LRT18" s="38"/>
      <c r="LRU18" s="38"/>
      <c r="LRV18" s="38"/>
      <c r="LRW18" s="38"/>
      <c r="LRX18" s="38"/>
      <c r="LRY18" s="38"/>
      <c r="LRZ18" s="38"/>
      <c r="LSA18" s="38"/>
      <c r="LSB18" s="38"/>
      <c r="LSC18" s="38"/>
      <c r="LSD18" s="38"/>
      <c r="LSE18" s="38"/>
      <c r="LSF18" s="38"/>
      <c r="LSG18" s="38"/>
      <c r="LSH18" s="38"/>
      <c r="LSI18" s="38"/>
      <c r="LSJ18" s="38"/>
      <c r="LSK18" s="38"/>
      <c r="LSL18" s="38"/>
      <c r="LSM18" s="38"/>
      <c r="LSN18" s="38"/>
      <c r="LSO18" s="38"/>
      <c r="LSP18" s="38"/>
      <c r="LSQ18" s="38"/>
      <c r="LSR18" s="38"/>
      <c r="LSS18" s="38"/>
      <c r="LST18" s="38"/>
      <c r="LSU18" s="38"/>
      <c r="LSV18" s="38"/>
      <c r="LSW18" s="38"/>
      <c r="LSX18" s="38"/>
      <c r="LSY18" s="38"/>
      <c r="LSZ18" s="38"/>
      <c r="LTA18" s="38"/>
      <c r="LTB18" s="38"/>
      <c r="LTC18" s="38"/>
      <c r="LTD18" s="38"/>
      <c r="LTE18" s="38"/>
      <c r="LTF18" s="38"/>
      <c r="LTG18" s="38"/>
      <c r="LTH18" s="38"/>
      <c r="LTI18" s="38"/>
      <c r="LTJ18" s="38"/>
      <c r="LTK18" s="38"/>
      <c r="LTL18" s="38"/>
      <c r="LTM18" s="38"/>
      <c r="LTN18" s="38"/>
      <c r="LTO18" s="38"/>
      <c r="LTP18" s="38"/>
      <c r="LTQ18" s="38"/>
      <c r="LTR18" s="38"/>
      <c r="LTS18" s="38"/>
      <c r="LTT18" s="38"/>
      <c r="LTU18" s="38"/>
      <c r="LTV18" s="38"/>
      <c r="LTW18" s="38"/>
      <c r="LTX18" s="38"/>
      <c r="LTY18" s="38"/>
      <c r="LTZ18" s="38"/>
      <c r="LUA18" s="38"/>
      <c r="LUB18" s="38"/>
      <c r="LUC18" s="38"/>
      <c r="LUD18" s="38"/>
      <c r="LUE18" s="38"/>
      <c r="LUF18" s="38"/>
      <c r="LUG18" s="38"/>
      <c r="LUH18" s="38"/>
      <c r="LUI18" s="38"/>
      <c r="LUJ18" s="38"/>
      <c r="LUK18" s="38"/>
      <c r="LUL18" s="38"/>
      <c r="LUM18" s="38"/>
      <c r="LUN18" s="38"/>
      <c r="LUO18" s="38"/>
      <c r="LUP18" s="38"/>
      <c r="LUQ18" s="38"/>
      <c r="LUR18" s="38"/>
      <c r="LUS18" s="38"/>
      <c r="LUT18" s="38"/>
      <c r="LUU18" s="38"/>
      <c r="LUV18" s="38"/>
      <c r="LUW18" s="38"/>
      <c r="LUX18" s="38"/>
      <c r="LUY18" s="38"/>
      <c r="LUZ18" s="38"/>
      <c r="LVA18" s="38"/>
      <c r="LVB18" s="38"/>
      <c r="LVC18" s="38"/>
      <c r="LVD18" s="38"/>
      <c r="LVE18" s="38"/>
      <c r="LVF18" s="38"/>
      <c r="LVG18" s="38"/>
      <c r="LVH18" s="38"/>
      <c r="LVI18" s="38"/>
      <c r="LVJ18" s="38"/>
      <c r="LVK18" s="38"/>
      <c r="LVL18" s="38"/>
      <c r="LVM18" s="38"/>
      <c r="LVN18" s="38"/>
      <c r="LVO18" s="38"/>
      <c r="LVP18" s="38"/>
      <c r="LVQ18" s="38"/>
      <c r="LVR18" s="38"/>
      <c r="LVS18" s="38"/>
      <c r="LVT18" s="38"/>
      <c r="LVU18" s="38"/>
      <c r="LVV18" s="38"/>
      <c r="LVW18" s="38"/>
      <c r="LVX18" s="38"/>
      <c r="LVY18" s="38"/>
      <c r="LVZ18" s="38"/>
      <c r="LWA18" s="38"/>
      <c r="LWB18" s="38"/>
      <c r="LWC18" s="38"/>
      <c r="LWD18" s="38"/>
      <c r="LWE18" s="38"/>
      <c r="LWF18" s="38"/>
      <c r="LWG18" s="38"/>
      <c r="LWH18" s="38"/>
      <c r="LWI18" s="38"/>
      <c r="LWJ18" s="38"/>
      <c r="LWK18" s="38"/>
      <c r="LWL18" s="38"/>
      <c r="LWM18" s="38"/>
      <c r="LWN18" s="38"/>
      <c r="LWO18" s="38"/>
      <c r="LWP18" s="38"/>
      <c r="LWQ18" s="38"/>
      <c r="LWR18" s="38"/>
      <c r="LWS18" s="38"/>
      <c r="LWT18" s="38"/>
      <c r="LWU18" s="38"/>
      <c r="LWV18" s="38"/>
      <c r="LWW18" s="38"/>
      <c r="LWX18" s="38"/>
      <c r="LWY18" s="38"/>
      <c r="LWZ18" s="38"/>
      <c r="LXA18" s="38"/>
      <c r="LXB18" s="38"/>
      <c r="LXC18" s="38"/>
      <c r="LXD18" s="38"/>
      <c r="LXE18" s="38"/>
      <c r="LXF18" s="38"/>
      <c r="LXG18" s="38"/>
      <c r="LXH18" s="38"/>
      <c r="LXI18" s="38"/>
      <c r="LXJ18" s="38"/>
      <c r="LXK18" s="38"/>
      <c r="LXL18" s="38"/>
      <c r="LXM18" s="38"/>
      <c r="LXN18" s="38"/>
      <c r="LXO18" s="38"/>
      <c r="LXP18" s="38"/>
      <c r="LXQ18" s="38"/>
      <c r="LXR18" s="38"/>
      <c r="LXS18" s="38"/>
      <c r="LXT18" s="38"/>
      <c r="LXU18" s="38"/>
      <c r="LXV18" s="38"/>
      <c r="LXW18" s="38"/>
      <c r="LXX18" s="38"/>
      <c r="LXY18" s="38"/>
      <c r="LXZ18" s="38"/>
      <c r="LYA18" s="38"/>
      <c r="LYB18" s="38"/>
      <c r="LYC18" s="38"/>
      <c r="LYD18" s="38"/>
      <c r="LYE18" s="38"/>
      <c r="LYF18" s="38"/>
      <c r="LYG18" s="38"/>
      <c r="LYH18" s="38"/>
      <c r="LYI18" s="38"/>
      <c r="LYJ18" s="38"/>
      <c r="LYK18" s="38"/>
      <c r="LYL18" s="38"/>
      <c r="LYM18" s="38"/>
      <c r="LYN18" s="38"/>
      <c r="LYO18" s="38"/>
      <c r="LYP18" s="38"/>
      <c r="LYQ18" s="38"/>
      <c r="LYR18" s="38"/>
      <c r="LYS18" s="38"/>
      <c r="LYT18" s="38"/>
      <c r="LYU18" s="38"/>
      <c r="LYV18" s="38"/>
      <c r="LYW18" s="38"/>
      <c r="LYX18" s="38"/>
      <c r="LYY18" s="38"/>
      <c r="LYZ18" s="38"/>
      <c r="LZA18" s="38"/>
      <c r="LZB18" s="38"/>
      <c r="LZC18" s="38"/>
      <c r="LZD18" s="38"/>
      <c r="LZE18" s="38"/>
      <c r="LZF18" s="38"/>
      <c r="LZG18" s="38"/>
      <c r="LZH18" s="38"/>
      <c r="LZI18" s="38"/>
      <c r="LZJ18" s="38"/>
      <c r="LZK18" s="38"/>
      <c r="LZL18" s="38"/>
      <c r="LZM18" s="38"/>
      <c r="LZN18" s="38"/>
      <c r="LZO18" s="38"/>
      <c r="LZP18" s="38"/>
      <c r="LZQ18" s="38"/>
      <c r="LZR18" s="38"/>
      <c r="LZS18" s="38"/>
      <c r="LZT18" s="38"/>
      <c r="LZU18" s="38"/>
      <c r="LZV18" s="38"/>
      <c r="LZW18" s="38"/>
      <c r="LZX18" s="38"/>
      <c r="LZY18" s="38"/>
      <c r="LZZ18" s="38"/>
      <c r="MAA18" s="38"/>
      <c r="MAB18" s="38"/>
      <c r="MAC18" s="38"/>
      <c r="MAD18" s="38"/>
      <c r="MAE18" s="38"/>
      <c r="MAF18" s="38"/>
      <c r="MAG18" s="38"/>
      <c r="MAH18" s="38"/>
      <c r="MAI18" s="38"/>
      <c r="MAJ18" s="38"/>
      <c r="MAK18" s="38"/>
      <c r="MAL18" s="38"/>
      <c r="MAM18" s="38"/>
      <c r="MAN18" s="38"/>
      <c r="MAO18" s="38"/>
      <c r="MAP18" s="38"/>
      <c r="MAQ18" s="38"/>
      <c r="MAR18" s="38"/>
      <c r="MAS18" s="38"/>
      <c r="MAT18" s="38"/>
      <c r="MAU18" s="38"/>
      <c r="MAV18" s="38"/>
      <c r="MAW18" s="38"/>
      <c r="MAX18" s="38"/>
      <c r="MAY18" s="38"/>
      <c r="MAZ18" s="38"/>
      <c r="MBA18" s="38"/>
      <c r="MBB18" s="38"/>
      <c r="MBC18" s="38"/>
      <c r="MBD18" s="38"/>
      <c r="MBE18" s="38"/>
      <c r="MBF18" s="38"/>
      <c r="MBG18" s="38"/>
      <c r="MBH18" s="38"/>
      <c r="MBI18" s="38"/>
      <c r="MBJ18" s="38"/>
      <c r="MBK18" s="38"/>
      <c r="MBL18" s="38"/>
      <c r="MBM18" s="38"/>
      <c r="MBN18" s="38"/>
      <c r="MBO18" s="38"/>
      <c r="MBP18" s="38"/>
      <c r="MBQ18" s="38"/>
      <c r="MBR18" s="38"/>
      <c r="MBS18" s="38"/>
      <c r="MBT18" s="38"/>
      <c r="MBU18" s="38"/>
      <c r="MBV18" s="38"/>
      <c r="MBW18" s="38"/>
      <c r="MBX18" s="38"/>
      <c r="MBY18" s="38"/>
      <c r="MBZ18" s="38"/>
      <c r="MCA18" s="38"/>
      <c r="MCB18" s="38"/>
      <c r="MCC18" s="38"/>
      <c r="MCD18" s="38"/>
      <c r="MCE18" s="38"/>
      <c r="MCF18" s="38"/>
      <c r="MCG18" s="38"/>
      <c r="MCH18" s="38"/>
      <c r="MCI18" s="38"/>
      <c r="MCJ18" s="38"/>
      <c r="MCK18" s="38"/>
      <c r="MCL18" s="38"/>
      <c r="MCM18" s="38"/>
      <c r="MCN18" s="38"/>
      <c r="MCO18" s="38"/>
      <c r="MCP18" s="38"/>
      <c r="MCQ18" s="38"/>
      <c r="MCR18" s="38"/>
      <c r="MCS18" s="38"/>
      <c r="MCT18" s="38"/>
      <c r="MCU18" s="38"/>
      <c r="MCV18" s="38"/>
      <c r="MCW18" s="38"/>
      <c r="MCX18" s="38"/>
      <c r="MCY18" s="38"/>
      <c r="MCZ18" s="38"/>
      <c r="MDA18" s="38"/>
      <c r="MDB18" s="38"/>
      <c r="MDC18" s="38"/>
      <c r="MDD18" s="38"/>
      <c r="MDE18" s="38"/>
      <c r="MDF18" s="38"/>
      <c r="MDG18" s="38"/>
      <c r="MDH18" s="38"/>
      <c r="MDI18" s="38"/>
      <c r="MDJ18" s="38"/>
      <c r="MDK18" s="38"/>
      <c r="MDL18" s="38"/>
      <c r="MDM18" s="38"/>
      <c r="MDN18" s="38"/>
      <c r="MDO18" s="38"/>
      <c r="MDP18" s="38"/>
      <c r="MDQ18" s="38"/>
      <c r="MDR18" s="38"/>
      <c r="MDS18" s="38"/>
      <c r="MDT18" s="38"/>
      <c r="MDU18" s="38"/>
      <c r="MDV18" s="38"/>
      <c r="MDW18" s="38"/>
      <c r="MDX18" s="38"/>
      <c r="MDY18" s="38"/>
      <c r="MDZ18" s="38"/>
      <c r="MEA18" s="38"/>
      <c r="MEB18" s="38"/>
      <c r="MEC18" s="38"/>
      <c r="MED18" s="38"/>
      <c r="MEE18" s="38"/>
      <c r="MEF18" s="38"/>
      <c r="MEG18" s="38"/>
      <c r="MEH18" s="38"/>
      <c r="MEI18" s="38"/>
      <c r="MEJ18" s="38"/>
      <c r="MEK18" s="38"/>
      <c r="MEL18" s="38"/>
      <c r="MEM18" s="38"/>
      <c r="MEN18" s="38"/>
      <c r="MEO18" s="38"/>
      <c r="MEP18" s="38"/>
      <c r="MEQ18" s="38"/>
      <c r="MER18" s="38"/>
      <c r="MES18" s="38"/>
      <c r="MET18" s="38"/>
      <c r="MEU18" s="38"/>
      <c r="MEV18" s="38"/>
      <c r="MEW18" s="38"/>
      <c r="MEX18" s="38"/>
      <c r="MEY18" s="38"/>
      <c r="MEZ18" s="38"/>
      <c r="MFA18" s="38"/>
      <c r="MFB18" s="38"/>
      <c r="MFC18" s="38"/>
      <c r="MFD18" s="38"/>
      <c r="MFE18" s="38"/>
      <c r="MFF18" s="38"/>
      <c r="MFG18" s="38"/>
      <c r="MFH18" s="38"/>
      <c r="MFI18" s="38"/>
      <c r="MFJ18" s="38"/>
      <c r="MFK18" s="38"/>
      <c r="MFL18" s="38"/>
      <c r="MFM18" s="38"/>
      <c r="MFN18" s="38"/>
      <c r="MFO18" s="38"/>
      <c r="MFP18" s="38"/>
      <c r="MFQ18" s="38"/>
      <c r="MFR18" s="38"/>
      <c r="MFS18" s="38"/>
      <c r="MFT18" s="38"/>
      <c r="MFU18" s="38"/>
      <c r="MFV18" s="38"/>
      <c r="MFW18" s="38"/>
      <c r="MFX18" s="38"/>
      <c r="MFY18" s="38"/>
      <c r="MFZ18" s="38"/>
      <c r="MGA18" s="38"/>
      <c r="MGB18" s="38"/>
      <c r="MGC18" s="38"/>
      <c r="MGD18" s="38"/>
      <c r="MGE18" s="38"/>
      <c r="MGF18" s="38"/>
      <c r="MGG18" s="38"/>
      <c r="MGH18" s="38"/>
      <c r="MGI18" s="38"/>
      <c r="MGJ18" s="38"/>
      <c r="MGK18" s="38"/>
      <c r="MGL18" s="38"/>
      <c r="MGM18" s="38"/>
      <c r="MGN18" s="38"/>
      <c r="MGO18" s="38"/>
      <c r="MGP18" s="38"/>
      <c r="MGQ18" s="38"/>
      <c r="MGR18" s="38"/>
      <c r="MGS18" s="38"/>
      <c r="MGT18" s="38"/>
      <c r="MGU18" s="38"/>
      <c r="MGV18" s="38"/>
      <c r="MGW18" s="38"/>
      <c r="MGX18" s="38"/>
      <c r="MGY18" s="38"/>
      <c r="MGZ18" s="38"/>
      <c r="MHA18" s="38"/>
      <c r="MHB18" s="38"/>
      <c r="MHC18" s="38"/>
      <c r="MHD18" s="38"/>
      <c r="MHE18" s="38"/>
      <c r="MHF18" s="38"/>
      <c r="MHG18" s="38"/>
      <c r="MHH18" s="38"/>
      <c r="MHI18" s="38"/>
      <c r="MHJ18" s="38"/>
      <c r="MHK18" s="38"/>
      <c r="MHL18" s="38"/>
      <c r="MHM18" s="38"/>
      <c r="MHN18" s="38"/>
      <c r="MHO18" s="38"/>
      <c r="MHP18" s="38"/>
      <c r="MHQ18" s="38"/>
      <c r="MHR18" s="38"/>
      <c r="MHS18" s="38"/>
      <c r="MHT18" s="38"/>
      <c r="MHU18" s="38"/>
      <c r="MHV18" s="38"/>
      <c r="MHW18" s="38"/>
      <c r="MHX18" s="38"/>
      <c r="MHY18" s="38"/>
      <c r="MHZ18" s="38"/>
      <c r="MIA18" s="38"/>
      <c r="MIB18" s="38"/>
      <c r="MIC18" s="38"/>
      <c r="MID18" s="38"/>
      <c r="MIE18" s="38"/>
      <c r="MIF18" s="38"/>
      <c r="MIG18" s="38"/>
      <c r="MIH18" s="38"/>
      <c r="MII18" s="38"/>
      <c r="MIJ18" s="38"/>
      <c r="MIK18" s="38"/>
      <c r="MIL18" s="38"/>
      <c r="MIM18" s="38"/>
      <c r="MIN18" s="38"/>
      <c r="MIO18" s="38"/>
      <c r="MIP18" s="38"/>
      <c r="MIQ18" s="38"/>
      <c r="MIR18" s="38"/>
      <c r="MIS18" s="38"/>
      <c r="MIT18" s="38"/>
      <c r="MIU18" s="38"/>
      <c r="MIV18" s="38"/>
      <c r="MIW18" s="38"/>
      <c r="MIX18" s="38"/>
      <c r="MIY18" s="38"/>
      <c r="MIZ18" s="38"/>
      <c r="MJA18" s="38"/>
      <c r="MJB18" s="38"/>
      <c r="MJC18" s="38"/>
      <c r="MJD18" s="38"/>
      <c r="MJE18" s="38"/>
      <c r="MJF18" s="38"/>
      <c r="MJG18" s="38"/>
      <c r="MJH18" s="38"/>
      <c r="MJI18" s="38"/>
      <c r="MJJ18" s="38"/>
      <c r="MJK18" s="38"/>
      <c r="MJL18" s="38"/>
      <c r="MJM18" s="38"/>
      <c r="MJN18" s="38"/>
      <c r="MJO18" s="38"/>
      <c r="MJP18" s="38"/>
      <c r="MJQ18" s="38"/>
      <c r="MJR18" s="38"/>
      <c r="MJS18" s="38"/>
      <c r="MJT18" s="38"/>
      <c r="MJU18" s="38"/>
      <c r="MJV18" s="38"/>
      <c r="MJW18" s="38"/>
      <c r="MJX18" s="38"/>
      <c r="MJY18" s="38"/>
      <c r="MJZ18" s="38"/>
      <c r="MKA18" s="38"/>
      <c r="MKB18" s="38"/>
      <c r="MKC18" s="38"/>
      <c r="MKD18" s="38"/>
      <c r="MKE18" s="38"/>
      <c r="MKF18" s="38"/>
      <c r="MKG18" s="38"/>
      <c r="MKH18" s="38"/>
      <c r="MKI18" s="38"/>
      <c r="MKJ18" s="38"/>
      <c r="MKK18" s="38"/>
      <c r="MKL18" s="38"/>
      <c r="MKM18" s="38"/>
      <c r="MKN18" s="38"/>
      <c r="MKO18" s="38"/>
      <c r="MKP18" s="38"/>
      <c r="MKQ18" s="38"/>
      <c r="MKR18" s="38"/>
      <c r="MKS18" s="38"/>
      <c r="MKT18" s="38"/>
      <c r="MKU18" s="38"/>
      <c r="MKV18" s="38"/>
      <c r="MKW18" s="38"/>
      <c r="MKX18" s="38"/>
      <c r="MKY18" s="38"/>
      <c r="MKZ18" s="38"/>
      <c r="MLA18" s="38"/>
      <c r="MLB18" s="38"/>
      <c r="MLC18" s="38"/>
      <c r="MLD18" s="38"/>
      <c r="MLE18" s="38"/>
      <c r="MLF18" s="38"/>
      <c r="MLG18" s="38"/>
      <c r="MLH18" s="38"/>
      <c r="MLI18" s="38"/>
      <c r="MLJ18" s="38"/>
      <c r="MLK18" s="38"/>
      <c r="MLL18" s="38"/>
      <c r="MLM18" s="38"/>
      <c r="MLN18" s="38"/>
      <c r="MLO18" s="38"/>
      <c r="MLP18" s="38"/>
      <c r="MLQ18" s="38"/>
      <c r="MLR18" s="38"/>
      <c r="MLS18" s="38"/>
      <c r="MLT18" s="38"/>
      <c r="MLU18" s="38"/>
      <c r="MLV18" s="38"/>
      <c r="MLW18" s="38"/>
      <c r="MLX18" s="38"/>
      <c r="MLY18" s="38"/>
      <c r="MLZ18" s="38"/>
      <c r="MMA18" s="38"/>
      <c r="MMB18" s="38"/>
      <c r="MMC18" s="38"/>
      <c r="MMD18" s="38"/>
      <c r="MME18" s="38"/>
      <c r="MMF18" s="38"/>
      <c r="MMG18" s="38"/>
      <c r="MMH18" s="38"/>
      <c r="MMI18" s="38"/>
      <c r="MMJ18" s="38"/>
      <c r="MMK18" s="38"/>
      <c r="MML18" s="38"/>
      <c r="MMM18" s="38"/>
      <c r="MMN18" s="38"/>
      <c r="MMO18" s="38"/>
      <c r="MMP18" s="38"/>
      <c r="MMQ18" s="38"/>
      <c r="MMR18" s="38"/>
      <c r="MMS18" s="38"/>
      <c r="MMT18" s="38"/>
      <c r="MMU18" s="38"/>
      <c r="MMV18" s="38"/>
      <c r="MMW18" s="38"/>
      <c r="MMX18" s="38"/>
      <c r="MMY18" s="38"/>
      <c r="MMZ18" s="38"/>
      <c r="MNA18" s="38"/>
      <c r="MNB18" s="38"/>
      <c r="MNC18" s="38"/>
      <c r="MND18" s="38"/>
      <c r="MNE18" s="38"/>
      <c r="MNF18" s="38"/>
      <c r="MNG18" s="38"/>
      <c r="MNH18" s="38"/>
      <c r="MNI18" s="38"/>
      <c r="MNJ18" s="38"/>
      <c r="MNK18" s="38"/>
      <c r="MNL18" s="38"/>
      <c r="MNM18" s="38"/>
      <c r="MNN18" s="38"/>
      <c r="MNO18" s="38"/>
      <c r="MNP18" s="38"/>
      <c r="MNQ18" s="38"/>
      <c r="MNR18" s="38"/>
      <c r="MNS18" s="38"/>
      <c r="MNT18" s="38"/>
      <c r="MNU18" s="38"/>
      <c r="MNV18" s="38"/>
      <c r="MNW18" s="38"/>
      <c r="MNX18" s="38"/>
      <c r="MNY18" s="38"/>
      <c r="MNZ18" s="38"/>
      <c r="MOA18" s="38"/>
      <c r="MOB18" s="38"/>
      <c r="MOC18" s="38"/>
      <c r="MOD18" s="38"/>
      <c r="MOE18" s="38"/>
      <c r="MOF18" s="38"/>
      <c r="MOG18" s="38"/>
      <c r="MOH18" s="38"/>
      <c r="MOI18" s="38"/>
      <c r="MOJ18" s="38"/>
      <c r="MOK18" s="38"/>
      <c r="MOL18" s="38"/>
      <c r="MOM18" s="38"/>
      <c r="MON18" s="38"/>
      <c r="MOO18" s="38"/>
      <c r="MOP18" s="38"/>
      <c r="MOQ18" s="38"/>
      <c r="MOR18" s="38"/>
      <c r="MOS18" s="38"/>
      <c r="MOT18" s="38"/>
      <c r="MOU18" s="38"/>
      <c r="MOV18" s="38"/>
      <c r="MOW18" s="38"/>
      <c r="MOX18" s="38"/>
      <c r="MOY18" s="38"/>
      <c r="MOZ18" s="38"/>
      <c r="MPA18" s="38"/>
      <c r="MPB18" s="38"/>
      <c r="MPC18" s="38"/>
      <c r="MPD18" s="38"/>
      <c r="MPE18" s="38"/>
      <c r="MPF18" s="38"/>
      <c r="MPG18" s="38"/>
      <c r="MPH18" s="38"/>
      <c r="MPI18" s="38"/>
      <c r="MPJ18" s="38"/>
      <c r="MPK18" s="38"/>
      <c r="MPL18" s="38"/>
      <c r="MPM18" s="38"/>
      <c r="MPN18" s="38"/>
      <c r="MPO18" s="38"/>
      <c r="MPP18" s="38"/>
      <c r="MPQ18" s="38"/>
      <c r="MPR18" s="38"/>
      <c r="MPS18" s="38"/>
      <c r="MPT18" s="38"/>
      <c r="MPU18" s="38"/>
      <c r="MPV18" s="38"/>
      <c r="MPW18" s="38"/>
      <c r="MPX18" s="38"/>
      <c r="MPY18" s="38"/>
      <c r="MPZ18" s="38"/>
      <c r="MQA18" s="38"/>
      <c r="MQB18" s="38"/>
      <c r="MQC18" s="38"/>
      <c r="MQD18" s="38"/>
      <c r="MQE18" s="38"/>
      <c r="MQF18" s="38"/>
      <c r="MQG18" s="38"/>
      <c r="MQH18" s="38"/>
      <c r="MQI18" s="38"/>
      <c r="MQJ18" s="38"/>
      <c r="MQK18" s="38"/>
      <c r="MQL18" s="38"/>
      <c r="MQM18" s="38"/>
      <c r="MQN18" s="38"/>
      <c r="MQO18" s="38"/>
      <c r="MQP18" s="38"/>
      <c r="MQQ18" s="38"/>
      <c r="MQR18" s="38"/>
      <c r="MQS18" s="38"/>
      <c r="MQT18" s="38"/>
      <c r="MQU18" s="38"/>
      <c r="MQV18" s="38"/>
      <c r="MQW18" s="38"/>
      <c r="MQX18" s="38"/>
      <c r="MQY18" s="38"/>
      <c r="MQZ18" s="38"/>
      <c r="MRA18" s="38"/>
      <c r="MRB18" s="38"/>
      <c r="MRC18" s="38"/>
      <c r="MRD18" s="38"/>
      <c r="MRE18" s="38"/>
      <c r="MRF18" s="38"/>
      <c r="MRG18" s="38"/>
      <c r="MRH18" s="38"/>
      <c r="MRI18" s="38"/>
      <c r="MRJ18" s="38"/>
      <c r="MRK18" s="38"/>
      <c r="MRL18" s="38"/>
      <c r="MRM18" s="38"/>
      <c r="MRN18" s="38"/>
      <c r="MRO18" s="38"/>
      <c r="MRP18" s="38"/>
      <c r="MRQ18" s="38"/>
      <c r="MRR18" s="38"/>
      <c r="MRS18" s="38"/>
      <c r="MRT18" s="38"/>
      <c r="MRU18" s="38"/>
      <c r="MRV18" s="38"/>
      <c r="MRW18" s="38"/>
      <c r="MRX18" s="38"/>
      <c r="MRY18" s="38"/>
      <c r="MRZ18" s="38"/>
      <c r="MSA18" s="38"/>
      <c r="MSB18" s="38"/>
      <c r="MSC18" s="38"/>
      <c r="MSD18" s="38"/>
      <c r="MSE18" s="38"/>
      <c r="MSF18" s="38"/>
      <c r="MSG18" s="38"/>
      <c r="MSH18" s="38"/>
      <c r="MSI18" s="38"/>
      <c r="MSJ18" s="38"/>
      <c r="MSK18" s="38"/>
      <c r="MSL18" s="38"/>
      <c r="MSM18" s="38"/>
      <c r="MSN18" s="38"/>
      <c r="MSO18" s="38"/>
      <c r="MSP18" s="38"/>
      <c r="MSQ18" s="38"/>
      <c r="MSR18" s="38"/>
      <c r="MSS18" s="38"/>
      <c r="MST18" s="38"/>
      <c r="MSU18" s="38"/>
      <c r="MSV18" s="38"/>
      <c r="MSW18" s="38"/>
      <c r="MSX18" s="38"/>
      <c r="MSY18" s="38"/>
      <c r="MSZ18" s="38"/>
      <c r="MTA18" s="38"/>
      <c r="MTB18" s="38"/>
      <c r="MTC18" s="38"/>
      <c r="MTD18" s="38"/>
      <c r="MTE18" s="38"/>
      <c r="MTF18" s="38"/>
      <c r="MTG18" s="38"/>
      <c r="MTH18" s="38"/>
      <c r="MTI18" s="38"/>
      <c r="MTJ18" s="38"/>
      <c r="MTK18" s="38"/>
      <c r="MTL18" s="38"/>
      <c r="MTM18" s="38"/>
      <c r="MTN18" s="38"/>
      <c r="MTO18" s="38"/>
      <c r="MTP18" s="38"/>
      <c r="MTQ18" s="38"/>
      <c r="MTR18" s="38"/>
      <c r="MTS18" s="38"/>
      <c r="MTT18" s="38"/>
      <c r="MTU18" s="38"/>
      <c r="MTV18" s="38"/>
      <c r="MTW18" s="38"/>
      <c r="MTX18" s="38"/>
      <c r="MTY18" s="38"/>
      <c r="MTZ18" s="38"/>
      <c r="MUA18" s="38"/>
      <c r="MUB18" s="38"/>
      <c r="MUC18" s="38"/>
      <c r="MUD18" s="38"/>
      <c r="MUE18" s="38"/>
      <c r="MUF18" s="38"/>
      <c r="MUG18" s="38"/>
      <c r="MUH18" s="38"/>
      <c r="MUI18" s="38"/>
      <c r="MUJ18" s="38"/>
      <c r="MUK18" s="38"/>
      <c r="MUL18" s="38"/>
      <c r="MUM18" s="38"/>
      <c r="MUN18" s="38"/>
      <c r="MUO18" s="38"/>
      <c r="MUP18" s="38"/>
      <c r="MUQ18" s="38"/>
      <c r="MUR18" s="38"/>
      <c r="MUS18" s="38"/>
      <c r="MUT18" s="38"/>
      <c r="MUU18" s="38"/>
      <c r="MUV18" s="38"/>
      <c r="MUW18" s="38"/>
      <c r="MUX18" s="38"/>
      <c r="MUY18" s="38"/>
      <c r="MUZ18" s="38"/>
      <c r="MVA18" s="38"/>
      <c r="MVB18" s="38"/>
      <c r="MVC18" s="38"/>
      <c r="MVD18" s="38"/>
      <c r="MVE18" s="38"/>
      <c r="MVF18" s="38"/>
      <c r="MVG18" s="38"/>
      <c r="MVH18" s="38"/>
      <c r="MVI18" s="38"/>
      <c r="MVJ18" s="38"/>
      <c r="MVK18" s="38"/>
      <c r="MVL18" s="38"/>
      <c r="MVM18" s="38"/>
      <c r="MVN18" s="38"/>
      <c r="MVO18" s="38"/>
      <c r="MVP18" s="38"/>
      <c r="MVQ18" s="38"/>
      <c r="MVR18" s="38"/>
      <c r="MVS18" s="38"/>
      <c r="MVT18" s="38"/>
      <c r="MVU18" s="38"/>
      <c r="MVV18" s="38"/>
      <c r="MVW18" s="38"/>
      <c r="MVX18" s="38"/>
      <c r="MVY18" s="38"/>
      <c r="MVZ18" s="38"/>
      <c r="MWA18" s="38"/>
      <c r="MWB18" s="38"/>
      <c r="MWC18" s="38"/>
      <c r="MWD18" s="38"/>
      <c r="MWE18" s="38"/>
      <c r="MWF18" s="38"/>
      <c r="MWG18" s="38"/>
      <c r="MWH18" s="38"/>
      <c r="MWI18" s="38"/>
      <c r="MWJ18" s="38"/>
      <c r="MWK18" s="38"/>
      <c r="MWL18" s="38"/>
      <c r="MWM18" s="38"/>
      <c r="MWN18" s="38"/>
      <c r="MWO18" s="38"/>
      <c r="MWP18" s="38"/>
      <c r="MWQ18" s="38"/>
      <c r="MWR18" s="38"/>
      <c r="MWS18" s="38"/>
      <c r="MWT18" s="38"/>
      <c r="MWU18" s="38"/>
      <c r="MWV18" s="38"/>
      <c r="MWW18" s="38"/>
      <c r="MWX18" s="38"/>
      <c r="MWY18" s="38"/>
      <c r="MWZ18" s="38"/>
      <c r="MXA18" s="38"/>
      <c r="MXB18" s="38"/>
      <c r="MXC18" s="38"/>
      <c r="MXD18" s="38"/>
      <c r="MXE18" s="38"/>
      <c r="MXF18" s="38"/>
      <c r="MXG18" s="38"/>
      <c r="MXH18" s="38"/>
      <c r="MXI18" s="38"/>
      <c r="MXJ18" s="38"/>
      <c r="MXK18" s="38"/>
      <c r="MXL18" s="38"/>
      <c r="MXM18" s="38"/>
      <c r="MXN18" s="38"/>
      <c r="MXO18" s="38"/>
      <c r="MXP18" s="38"/>
      <c r="MXQ18" s="38"/>
      <c r="MXR18" s="38"/>
      <c r="MXS18" s="38"/>
      <c r="MXT18" s="38"/>
      <c r="MXU18" s="38"/>
      <c r="MXV18" s="38"/>
      <c r="MXW18" s="38"/>
      <c r="MXX18" s="38"/>
      <c r="MXY18" s="38"/>
      <c r="MXZ18" s="38"/>
      <c r="MYA18" s="38"/>
      <c r="MYB18" s="38"/>
      <c r="MYC18" s="38"/>
      <c r="MYD18" s="38"/>
      <c r="MYE18" s="38"/>
      <c r="MYF18" s="38"/>
      <c r="MYG18" s="38"/>
      <c r="MYH18" s="38"/>
      <c r="MYI18" s="38"/>
      <c r="MYJ18" s="38"/>
      <c r="MYK18" s="38"/>
      <c r="MYL18" s="38"/>
      <c r="MYM18" s="38"/>
      <c r="MYN18" s="38"/>
      <c r="MYO18" s="38"/>
      <c r="MYP18" s="38"/>
      <c r="MYQ18" s="38"/>
      <c r="MYR18" s="38"/>
      <c r="MYS18" s="38"/>
      <c r="MYT18" s="38"/>
      <c r="MYU18" s="38"/>
      <c r="MYV18" s="38"/>
      <c r="MYW18" s="38"/>
      <c r="MYX18" s="38"/>
      <c r="MYY18" s="38"/>
      <c r="MYZ18" s="38"/>
      <c r="MZA18" s="38"/>
      <c r="MZB18" s="38"/>
      <c r="MZC18" s="38"/>
      <c r="MZD18" s="38"/>
      <c r="MZE18" s="38"/>
      <c r="MZF18" s="38"/>
      <c r="MZG18" s="38"/>
      <c r="MZH18" s="38"/>
      <c r="MZI18" s="38"/>
      <c r="MZJ18" s="38"/>
      <c r="MZK18" s="38"/>
      <c r="MZL18" s="38"/>
      <c r="MZM18" s="38"/>
      <c r="MZN18" s="38"/>
      <c r="MZO18" s="38"/>
      <c r="MZP18" s="38"/>
      <c r="MZQ18" s="38"/>
      <c r="MZR18" s="38"/>
      <c r="MZS18" s="38"/>
      <c r="MZT18" s="38"/>
      <c r="MZU18" s="38"/>
      <c r="MZV18" s="38"/>
      <c r="MZW18" s="38"/>
      <c r="MZX18" s="38"/>
      <c r="MZY18" s="38"/>
      <c r="MZZ18" s="38"/>
      <c r="NAA18" s="38"/>
      <c r="NAB18" s="38"/>
      <c r="NAC18" s="38"/>
      <c r="NAD18" s="38"/>
      <c r="NAE18" s="38"/>
      <c r="NAF18" s="38"/>
      <c r="NAG18" s="38"/>
      <c r="NAH18" s="38"/>
      <c r="NAI18" s="38"/>
      <c r="NAJ18" s="38"/>
      <c r="NAK18" s="38"/>
      <c r="NAL18" s="38"/>
      <c r="NAM18" s="38"/>
      <c r="NAN18" s="38"/>
      <c r="NAO18" s="38"/>
      <c r="NAP18" s="38"/>
      <c r="NAQ18" s="38"/>
      <c r="NAR18" s="38"/>
      <c r="NAS18" s="38"/>
      <c r="NAT18" s="38"/>
      <c r="NAU18" s="38"/>
      <c r="NAV18" s="38"/>
      <c r="NAW18" s="38"/>
      <c r="NAX18" s="38"/>
      <c r="NAY18" s="38"/>
      <c r="NAZ18" s="38"/>
      <c r="NBA18" s="38"/>
      <c r="NBB18" s="38"/>
      <c r="NBC18" s="38"/>
      <c r="NBD18" s="38"/>
      <c r="NBE18" s="38"/>
      <c r="NBF18" s="38"/>
      <c r="NBG18" s="38"/>
      <c r="NBH18" s="38"/>
      <c r="NBI18" s="38"/>
      <c r="NBJ18" s="38"/>
      <c r="NBK18" s="38"/>
      <c r="NBL18" s="38"/>
      <c r="NBM18" s="38"/>
      <c r="NBN18" s="38"/>
      <c r="NBO18" s="38"/>
      <c r="NBP18" s="38"/>
      <c r="NBQ18" s="38"/>
      <c r="NBR18" s="38"/>
      <c r="NBS18" s="38"/>
      <c r="NBT18" s="38"/>
      <c r="NBU18" s="38"/>
      <c r="NBV18" s="38"/>
      <c r="NBW18" s="38"/>
      <c r="NBX18" s="38"/>
      <c r="NBY18" s="38"/>
      <c r="NBZ18" s="38"/>
      <c r="NCA18" s="38"/>
      <c r="NCB18" s="38"/>
      <c r="NCC18" s="38"/>
      <c r="NCD18" s="38"/>
      <c r="NCE18" s="38"/>
      <c r="NCF18" s="38"/>
      <c r="NCG18" s="38"/>
      <c r="NCH18" s="38"/>
      <c r="NCI18" s="38"/>
      <c r="NCJ18" s="38"/>
      <c r="NCK18" s="38"/>
      <c r="NCL18" s="38"/>
      <c r="NCM18" s="38"/>
      <c r="NCN18" s="38"/>
      <c r="NCO18" s="38"/>
      <c r="NCP18" s="38"/>
      <c r="NCQ18" s="38"/>
      <c r="NCR18" s="38"/>
      <c r="NCS18" s="38"/>
      <c r="NCT18" s="38"/>
      <c r="NCU18" s="38"/>
      <c r="NCV18" s="38"/>
      <c r="NCW18" s="38"/>
      <c r="NCX18" s="38"/>
      <c r="NCY18" s="38"/>
      <c r="NCZ18" s="38"/>
      <c r="NDA18" s="38"/>
      <c r="NDB18" s="38"/>
      <c r="NDC18" s="38"/>
      <c r="NDD18" s="38"/>
      <c r="NDE18" s="38"/>
      <c r="NDF18" s="38"/>
      <c r="NDG18" s="38"/>
      <c r="NDH18" s="38"/>
      <c r="NDI18" s="38"/>
      <c r="NDJ18" s="38"/>
      <c r="NDK18" s="38"/>
      <c r="NDL18" s="38"/>
      <c r="NDM18" s="38"/>
      <c r="NDN18" s="38"/>
      <c r="NDO18" s="38"/>
      <c r="NDP18" s="38"/>
      <c r="NDQ18" s="38"/>
      <c r="NDR18" s="38"/>
      <c r="NDS18" s="38"/>
      <c r="NDT18" s="38"/>
      <c r="NDU18" s="38"/>
      <c r="NDV18" s="38"/>
      <c r="NDW18" s="38"/>
      <c r="NDX18" s="38"/>
      <c r="NDY18" s="38"/>
      <c r="NDZ18" s="38"/>
      <c r="NEA18" s="38"/>
      <c r="NEB18" s="38"/>
      <c r="NEC18" s="38"/>
      <c r="NED18" s="38"/>
      <c r="NEE18" s="38"/>
      <c r="NEF18" s="38"/>
      <c r="NEG18" s="38"/>
      <c r="NEH18" s="38"/>
      <c r="NEI18" s="38"/>
      <c r="NEJ18" s="38"/>
      <c r="NEK18" s="38"/>
      <c r="NEL18" s="38"/>
      <c r="NEM18" s="38"/>
      <c r="NEN18" s="38"/>
      <c r="NEO18" s="38"/>
      <c r="NEP18" s="38"/>
      <c r="NEQ18" s="38"/>
      <c r="NER18" s="38"/>
      <c r="NES18" s="38"/>
      <c r="NET18" s="38"/>
      <c r="NEU18" s="38"/>
      <c r="NEV18" s="38"/>
      <c r="NEW18" s="38"/>
      <c r="NEX18" s="38"/>
      <c r="NEY18" s="38"/>
      <c r="NEZ18" s="38"/>
      <c r="NFA18" s="38"/>
      <c r="NFB18" s="38"/>
      <c r="NFC18" s="38"/>
      <c r="NFD18" s="38"/>
      <c r="NFE18" s="38"/>
      <c r="NFF18" s="38"/>
      <c r="NFG18" s="38"/>
      <c r="NFH18" s="38"/>
      <c r="NFI18" s="38"/>
      <c r="NFJ18" s="38"/>
      <c r="NFK18" s="38"/>
      <c r="NFL18" s="38"/>
      <c r="NFM18" s="38"/>
      <c r="NFN18" s="38"/>
      <c r="NFO18" s="38"/>
      <c r="NFP18" s="38"/>
      <c r="NFQ18" s="38"/>
      <c r="NFR18" s="38"/>
      <c r="NFS18" s="38"/>
      <c r="NFT18" s="38"/>
      <c r="NFU18" s="38"/>
      <c r="NFV18" s="38"/>
      <c r="NFW18" s="38"/>
      <c r="NFX18" s="38"/>
      <c r="NFY18" s="38"/>
      <c r="NFZ18" s="38"/>
      <c r="NGA18" s="38"/>
      <c r="NGB18" s="38"/>
      <c r="NGC18" s="38"/>
      <c r="NGD18" s="38"/>
      <c r="NGE18" s="38"/>
      <c r="NGF18" s="38"/>
      <c r="NGG18" s="38"/>
      <c r="NGH18" s="38"/>
      <c r="NGI18" s="38"/>
      <c r="NGJ18" s="38"/>
      <c r="NGK18" s="38"/>
      <c r="NGL18" s="38"/>
      <c r="NGM18" s="38"/>
      <c r="NGN18" s="38"/>
      <c r="NGO18" s="38"/>
      <c r="NGP18" s="38"/>
      <c r="NGQ18" s="38"/>
      <c r="NGR18" s="38"/>
      <c r="NGS18" s="38"/>
      <c r="NGT18" s="38"/>
      <c r="NGU18" s="38"/>
      <c r="NGV18" s="38"/>
      <c r="NGW18" s="38"/>
      <c r="NGX18" s="38"/>
      <c r="NGY18" s="38"/>
      <c r="NGZ18" s="38"/>
      <c r="NHA18" s="38"/>
      <c r="NHB18" s="38"/>
      <c r="NHC18" s="38"/>
      <c r="NHD18" s="38"/>
      <c r="NHE18" s="38"/>
      <c r="NHF18" s="38"/>
      <c r="NHG18" s="38"/>
      <c r="NHH18" s="38"/>
      <c r="NHI18" s="38"/>
      <c r="NHJ18" s="38"/>
      <c r="NHK18" s="38"/>
      <c r="NHL18" s="38"/>
      <c r="NHM18" s="38"/>
      <c r="NHN18" s="38"/>
      <c r="NHO18" s="38"/>
      <c r="NHP18" s="38"/>
      <c r="NHQ18" s="38"/>
      <c r="NHR18" s="38"/>
      <c r="NHS18" s="38"/>
      <c r="NHT18" s="38"/>
      <c r="NHU18" s="38"/>
      <c r="NHV18" s="38"/>
      <c r="NHW18" s="38"/>
      <c r="NHX18" s="38"/>
      <c r="NHY18" s="38"/>
      <c r="NHZ18" s="38"/>
      <c r="NIA18" s="38"/>
      <c r="NIB18" s="38"/>
      <c r="NIC18" s="38"/>
      <c r="NID18" s="38"/>
      <c r="NIE18" s="38"/>
      <c r="NIF18" s="38"/>
      <c r="NIG18" s="38"/>
      <c r="NIH18" s="38"/>
      <c r="NII18" s="38"/>
      <c r="NIJ18" s="38"/>
      <c r="NIK18" s="38"/>
      <c r="NIL18" s="38"/>
      <c r="NIM18" s="38"/>
      <c r="NIN18" s="38"/>
      <c r="NIO18" s="38"/>
      <c r="NIP18" s="38"/>
      <c r="NIQ18" s="38"/>
      <c r="NIR18" s="38"/>
      <c r="NIS18" s="38"/>
      <c r="NIT18" s="38"/>
      <c r="NIU18" s="38"/>
      <c r="NIV18" s="38"/>
      <c r="NIW18" s="38"/>
      <c r="NIX18" s="38"/>
      <c r="NIY18" s="38"/>
      <c r="NIZ18" s="38"/>
      <c r="NJA18" s="38"/>
      <c r="NJB18" s="38"/>
      <c r="NJC18" s="38"/>
      <c r="NJD18" s="38"/>
      <c r="NJE18" s="38"/>
      <c r="NJF18" s="38"/>
      <c r="NJG18" s="38"/>
      <c r="NJH18" s="38"/>
      <c r="NJI18" s="38"/>
      <c r="NJJ18" s="38"/>
      <c r="NJK18" s="38"/>
      <c r="NJL18" s="38"/>
      <c r="NJM18" s="38"/>
      <c r="NJN18" s="38"/>
      <c r="NJO18" s="38"/>
      <c r="NJP18" s="38"/>
      <c r="NJQ18" s="38"/>
      <c r="NJR18" s="38"/>
      <c r="NJS18" s="38"/>
      <c r="NJT18" s="38"/>
      <c r="NJU18" s="38"/>
      <c r="NJV18" s="38"/>
      <c r="NJW18" s="38"/>
      <c r="NJX18" s="38"/>
      <c r="NJY18" s="38"/>
      <c r="NJZ18" s="38"/>
      <c r="NKA18" s="38"/>
      <c r="NKB18" s="38"/>
      <c r="NKC18" s="38"/>
      <c r="NKD18" s="38"/>
      <c r="NKE18" s="38"/>
      <c r="NKF18" s="38"/>
      <c r="NKG18" s="38"/>
      <c r="NKH18" s="38"/>
      <c r="NKI18" s="38"/>
      <c r="NKJ18" s="38"/>
      <c r="NKK18" s="38"/>
      <c r="NKL18" s="38"/>
      <c r="NKM18" s="38"/>
      <c r="NKN18" s="38"/>
      <c r="NKO18" s="38"/>
      <c r="NKP18" s="38"/>
      <c r="NKQ18" s="38"/>
      <c r="NKR18" s="38"/>
      <c r="NKS18" s="38"/>
      <c r="NKT18" s="38"/>
      <c r="NKU18" s="38"/>
      <c r="NKV18" s="38"/>
      <c r="NKW18" s="38"/>
      <c r="NKX18" s="38"/>
      <c r="NKY18" s="38"/>
      <c r="NKZ18" s="38"/>
      <c r="NLA18" s="38"/>
      <c r="NLB18" s="38"/>
      <c r="NLC18" s="38"/>
      <c r="NLD18" s="38"/>
      <c r="NLE18" s="38"/>
      <c r="NLF18" s="38"/>
      <c r="NLG18" s="38"/>
      <c r="NLH18" s="38"/>
      <c r="NLI18" s="38"/>
      <c r="NLJ18" s="38"/>
      <c r="NLK18" s="38"/>
      <c r="NLL18" s="38"/>
      <c r="NLM18" s="38"/>
      <c r="NLN18" s="38"/>
      <c r="NLO18" s="38"/>
      <c r="NLP18" s="38"/>
      <c r="NLQ18" s="38"/>
      <c r="NLR18" s="38"/>
      <c r="NLS18" s="38"/>
      <c r="NLT18" s="38"/>
      <c r="NLU18" s="38"/>
      <c r="NLV18" s="38"/>
      <c r="NLW18" s="38"/>
      <c r="NLX18" s="38"/>
      <c r="NLY18" s="38"/>
      <c r="NLZ18" s="38"/>
      <c r="NMA18" s="38"/>
      <c r="NMB18" s="38"/>
      <c r="NMC18" s="38"/>
      <c r="NMD18" s="38"/>
      <c r="NME18" s="38"/>
      <c r="NMF18" s="38"/>
      <c r="NMG18" s="38"/>
      <c r="NMH18" s="38"/>
      <c r="NMI18" s="38"/>
      <c r="NMJ18" s="38"/>
      <c r="NMK18" s="38"/>
      <c r="NML18" s="38"/>
      <c r="NMM18" s="38"/>
      <c r="NMN18" s="38"/>
      <c r="NMO18" s="38"/>
      <c r="NMP18" s="38"/>
      <c r="NMQ18" s="38"/>
      <c r="NMR18" s="38"/>
      <c r="NMS18" s="38"/>
      <c r="NMT18" s="38"/>
      <c r="NMU18" s="38"/>
      <c r="NMV18" s="38"/>
      <c r="NMW18" s="38"/>
      <c r="NMX18" s="38"/>
      <c r="NMY18" s="38"/>
      <c r="NMZ18" s="38"/>
      <c r="NNA18" s="38"/>
      <c r="NNB18" s="38"/>
      <c r="NNC18" s="38"/>
      <c r="NND18" s="38"/>
      <c r="NNE18" s="38"/>
      <c r="NNF18" s="38"/>
      <c r="NNG18" s="38"/>
      <c r="NNH18" s="38"/>
      <c r="NNI18" s="38"/>
      <c r="NNJ18" s="38"/>
      <c r="NNK18" s="38"/>
      <c r="NNL18" s="38"/>
      <c r="NNM18" s="38"/>
      <c r="NNN18" s="38"/>
      <c r="NNO18" s="38"/>
      <c r="NNP18" s="38"/>
      <c r="NNQ18" s="38"/>
      <c r="NNR18" s="38"/>
      <c r="NNS18" s="38"/>
      <c r="NNT18" s="38"/>
      <c r="NNU18" s="38"/>
      <c r="NNV18" s="38"/>
      <c r="NNW18" s="38"/>
      <c r="NNX18" s="38"/>
      <c r="NNY18" s="38"/>
      <c r="NNZ18" s="38"/>
      <c r="NOA18" s="38"/>
      <c r="NOB18" s="38"/>
      <c r="NOC18" s="38"/>
      <c r="NOD18" s="38"/>
      <c r="NOE18" s="38"/>
      <c r="NOF18" s="38"/>
      <c r="NOG18" s="38"/>
      <c r="NOH18" s="38"/>
      <c r="NOI18" s="38"/>
      <c r="NOJ18" s="38"/>
      <c r="NOK18" s="38"/>
      <c r="NOL18" s="38"/>
      <c r="NOM18" s="38"/>
      <c r="NON18" s="38"/>
      <c r="NOO18" s="38"/>
      <c r="NOP18" s="38"/>
      <c r="NOQ18" s="38"/>
      <c r="NOR18" s="38"/>
      <c r="NOS18" s="38"/>
      <c r="NOT18" s="38"/>
      <c r="NOU18" s="38"/>
      <c r="NOV18" s="38"/>
      <c r="NOW18" s="38"/>
      <c r="NOX18" s="38"/>
      <c r="NOY18" s="38"/>
      <c r="NOZ18" s="38"/>
      <c r="NPA18" s="38"/>
      <c r="NPB18" s="38"/>
      <c r="NPC18" s="38"/>
      <c r="NPD18" s="38"/>
      <c r="NPE18" s="38"/>
      <c r="NPF18" s="38"/>
      <c r="NPG18" s="38"/>
      <c r="NPH18" s="38"/>
      <c r="NPI18" s="38"/>
      <c r="NPJ18" s="38"/>
      <c r="NPK18" s="38"/>
      <c r="NPL18" s="38"/>
      <c r="NPM18" s="38"/>
      <c r="NPN18" s="38"/>
      <c r="NPO18" s="38"/>
      <c r="NPP18" s="38"/>
      <c r="NPQ18" s="38"/>
      <c r="NPR18" s="38"/>
      <c r="NPS18" s="38"/>
      <c r="NPT18" s="38"/>
      <c r="NPU18" s="38"/>
      <c r="NPV18" s="38"/>
      <c r="NPW18" s="38"/>
      <c r="NPX18" s="38"/>
      <c r="NPY18" s="38"/>
      <c r="NPZ18" s="38"/>
      <c r="NQA18" s="38"/>
      <c r="NQB18" s="38"/>
      <c r="NQC18" s="38"/>
      <c r="NQD18" s="38"/>
      <c r="NQE18" s="38"/>
      <c r="NQF18" s="38"/>
      <c r="NQG18" s="38"/>
      <c r="NQH18" s="38"/>
      <c r="NQI18" s="38"/>
      <c r="NQJ18" s="38"/>
      <c r="NQK18" s="38"/>
      <c r="NQL18" s="38"/>
      <c r="NQM18" s="38"/>
      <c r="NQN18" s="38"/>
      <c r="NQO18" s="38"/>
      <c r="NQP18" s="38"/>
      <c r="NQQ18" s="38"/>
      <c r="NQR18" s="38"/>
      <c r="NQS18" s="38"/>
      <c r="NQT18" s="38"/>
      <c r="NQU18" s="38"/>
      <c r="NQV18" s="38"/>
      <c r="NQW18" s="38"/>
      <c r="NQX18" s="38"/>
      <c r="NQY18" s="38"/>
      <c r="NQZ18" s="38"/>
      <c r="NRA18" s="38"/>
      <c r="NRB18" s="38"/>
      <c r="NRC18" s="38"/>
      <c r="NRD18" s="38"/>
      <c r="NRE18" s="38"/>
      <c r="NRF18" s="38"/>
      <c r="NRG18" s="38"/>
      <c r="NRH18" s="38"/>
      <c r="NRI18" s="38"/>
      <c r="NRJ18" s="38"/>
      <c r="NRK18" s="38"/>
      <c r="NRL18" s="38"/>
      <c r="NRM18" s="38"/>
      <c r="NRN18" s="38"/>
      <c r="NRO18" s="38"/>
      <c r="NRP18" s="38"/>
      <c r="NRQ18" s="38"/>
      <c r="NRR18" s="38"/>
      <c r="NRS18" s="38"/>
      <c r="NRT18" s="38"/>
      <c r="NRU18" s="38"/>
      <c r="NRV18" s="38"/>
      <c r="NRW18" s="38"/>
      <c r="NRX18" s="38"/>
      <c r="NRY18" s="38"/>
      <c r="NRZ18" s="38"/>
      <c r="NSA18" s="38"/>
      <c r="NSB18" s="38"/>
      <c r="NSC18" s="38"/>
      <c r="NSD18" s="38"/>
      <c r="NSE18" s="38"/>
      <c r="NSF18" s="38"/>
      <c r="NSG18" s="38"/>
      <c r="NSH18" s="38"/>
      <c r="NSI18" s="38"/>
      <c r="NSJ18" s="38"/>
      <c r="NSK18" s="38"/>
      <c r="NSL18" s="38"/>
      <c r="NSM18" s="38"/>
      <c r="NSN18" s="38"/>
      <c r="NSO18" s="38"/>
      <c r="NSP18" s="38"/>
      <c r="NSQ18" s="38"/>
      <c r="NSR18" s="38"/>
      <c r="NSS18" s="38"/>
      <c r="NST18" s="38"/>
      <c r="NSU18" s="38"/>
      <c r="NSV18" s="38"/>
      <c r="NSW18" s="38"/>
      <c r="NSX18" s="38"/>
      <c r="NSY18" s="38"/>
      <c r="NSZ18" s="38"/>
      <c r="NTA18" s="38"/>
      <c r="NTB18" s="38"/>
      <c r="NTC18" s="38"/>
      <c r="NTD18" s="38"/>
      <c r="NTE18" s="38"/>
      <c r="NTF18" s="38"/>
      <c r="NTG18" s="38"/>
      <c r="NTH18" s="38"/>
      <c r="NTI18" s="38"/>
      <c r="NTJ18" s="38"/>
      <c r="NTK18" s="38"/>
      <c r="NTL18" s="38"/>
      <c r="NTM18" s="38"/>
      <c r="NTN18" s="38"/>
      <c r="NTO18" s="38"/>
      <c r="NTP18" s="38"/>
      <c r="NTQ18" s="38"/>
      <c r="NTR18" s="38"/>
      <c r="NTS18" s="38"/>
      <c r="NTT18" s="38"/>
      <c r="NTU18" s="38"/>
      <c r="NTV18" s="38"/>
      <c r="NTW18" s="38"/>
      <c r="NTX18" s="38"/>
      <c r="NTY18" s="38"/>
      <c r="NTZ18" s="38"/>
      <c r="NUA18" s="38"/>
      <c r="NUB18" s="38"/>
      <c r="NUC18" s="38"/>
      <c r="NUD18" s="38"/>
      <c r="NUE18" s="38"/>
      <c r="NUF18" s="38"/>
      <c r="NUG18" s="38"/>
      <c r="NUH18" s="38"/>
      <c r="NUI18" s="38"/>
      <c r="NUJ18" s="38"/>
      <c r="NUK18" s="38"/>
      <c r="NUL18" s="38"/>
      <c r="NUM18" s="38"/>
      <c r="NUN18" s="38"/>
      <c r="NUO18" s="38"/>
      <c r="NUP18" s="38"/>
      <c r="NUQ18" s="38"/>
      <c r="NUR18" s="38"/>
      <c r="NUS18" s="38"/>
      <c r="NUT18" s="38"/>
      <c r="NUU18" s="38"/>
      <c r="NUV18" s="38"/>
      <c r="NUW18" s="38"/>
      <c r="NUX18" s="38"/>
      <c r="NUY18" s="38"/>
      <c r="NUZ18" s="38"/>
      <c r="NVA18" s="38"/>
      <c r="NVB18" s="38"/>
      <c r="NVC18" s="38"/>
      <c r="NVD18" s="38"/>
      <c r="NVE18" s="38"/>
      <c r="NVF18" s="38"/>
      <c r="NVG18" s="38"/>
      <c r="NVH18" s="38"/>
      <c r="NVI18" s="38"/>
      <c r="NVJ18" s="38"/>
      <c r="NVK18" s="38"/>
      <c r="NVL18" s="38"/>
      <c r="NVM18" s="38"/>
      <c r="NVN18" s="38"/>
      <c r="NVO18" s="38"/>
      <c r="NVP18" s="38"/>
      <c r="NVQ18" s="38"/>
      <c r="NVR18" s="38"/>
      <c r="NVS18" s="38"/>
      <c r="NVT18" s="38"/>
      <c r="NVU18" s="38"/>
      <c r="NVV18" s="38"/>
      <c r="NVW18" s="38"/>
      <c r="NVX18" s="38"/>
      <c r="NVY18" s="38"/>
      <c r="NVZ18" s="38"/>
      <c r="NWA18" s="38"/>
      <c r="NWB18" s="38"/>
      <c r="NWC18" s="38"/>
      <c r="NWD18" s="38"/>
      <c r="NWE18" s="38"/>
      <c r="NWF18" s="38"/>
      <c r="NWG18" s="38"/>
      <c r="NWH18" s="38"/>
      <c r="NWI18" s="38"/>
      <c r="NWJ18" s="38"/>
      <c r="NWK18" s="38"/>
      <c r="NWL18" s="38"/>
      <c r="NWM18" s="38"/>
      <c r="NWN18" s="38"/>
      <c r="NWO18" s="38"/>
      <c r="NWP18" s="38"/>
      <c r="NWQ18" s="38"/>
      <c r="NWR18" s="38"/>
      <c r="NWS18" s="38"/>
      <c r="NWT18" s="38"/>
      <c r="NWU18" s="38"/>
      <c r="NWV18" s="38"/>
      <c r="NWW18" s="38"/>
      <c r="NWX18" s="38"/>
      <c r="NWY18" s="38"/>
      <c r="NWZ18" s="38"/>
      <c r="NXA18" s="38"/>
      <c r="NXB18" s="38"/>
      <c r="NXC18" s="38"/>
      <c r="NXD18" s="38"/>
      <c r="NXE18" s="38"/>
      <c r="NXF18" s="38"/>
      <c r="NXG18" s="38"/>
      <c r="NXH18" s="38"/>
      <c r="NXI18" s="38"/>
      <c r="NXJ18" s="38"/>
      <c r="NXK18" s="38"/>
      <c r="NXL18" s="38"/>
      <c r="NXM18" s="38"/>
      <c r="NXN18" s="38"/>
      <c r="NXO18" s="38"/>
      <c r="NXP18" s="38"/>
      <c r="NXQ18" s="38"/>
      <c r="NXR18" s="38"/>
      <c r="NXS18" s="38"/>
      <c r="NXT18" s="38"/>
      <c r="NXU18" s="38"/>
      <c r="NXV18" s="38"/>
      <c r="NXW18" s="38"/>
      <c r="NXX18" s="38"/>
      <c r="NXY18" s="38"/>
      <c r="NXZ18" s="38"/>
      <c r="NYA18" s="38"/>
      <c r="NYB18" s="38"/>
      <c r="NYC18" s="38"/>
      <c r="NYD18" s="38"/>
      <c r="NYE18" s="38"/>
      <c r="NYF18" s="38"/>
      <c r="NYG18" s="38"/>
      <c r="NYH18" s="38"/>
      <c r="NYI18" s="38"/>
      <c r="NYJ18" s="38"/>
      <c r="NYK18" s="38"/>
      <c r="NYL18" s="38"/>
      <c r="NYM18" s="38"/>
      <c r="NYN18" s="38"/>
      <c r="NYO18" s="38"/>
      <c r="NYP18" s="38"/>
      <c r="NYQ18" s="38"/>
      <c r="NYR18" s="38"/>
      <c r="NYS18" s="38"/>
      <c r="NYT18" s="38"/>
      <c r="NYU18" s="38"/>
      <c r="NYV18" s="38"/>
      <c r="NYW18" s="38"/>
      <c r="NYX18" s="38"/>
      <c r="NYY18" s="38"/>
      <c r="NYZ18" s="38"/>
      <c r="NZA18" s="38"/>
      <c r="NZB18" s="38"/>
      <c r="NZC18" s="38"/>
      <c r="NZD18" s="38"/>
      <c r="NZE18" s="38"/>
      <c r="NZF18" s="38"/>
      <c r="NZG18" s="38"/>
      <c r="NZH18" s="38"/>
      <c r="NZI18" s="38"/>
      <c r="NZJ18" s="38"/>
      <c r="NZK18" s="38"/>
      <c r="NZL18" s="38"/>
      <c r="NZM18" s="38"/>
      <c r="NZN18" s="38"/>
      <c r="NZO18" s="38"/>
      <c r="NZP18" s="38"/>
      <c r="NZQ18" s="38"/>
      <c r="NZR18" s="38"/>
      <c r="NZS18" s="38"/>
      <c r="NZT18" s="38"/>
      <c r="NZU18" s="38"/>
      <c r="NZV18" s="38"/>
      <c r="NZW18" s="38"/>
      <c r="NZX18" s="38"/>
      <c r="NZY18" s="38"/>
      <c r="NZZ18" s="38"/>
      <c r="OAA18" s="38"/>
      <c r="OAB18" s="38"/>
      <c r="OAC18" s="38"/>
      <c r="OAD18" s="38"/>
      <c r="OAE18" s="38"/>
      <c r="OAF18" s="38"/>
      <c r="OAG18" s="38"/>
      <c r="OAH18" s="38"/>
      <c r="OAI18" s="38"/>
      <c r="OAJ18" s="38"/>
      <c r="OAK18" s="38"/>
      <c r="OAL18" s="38"/>
      <c r="OAM18" s="38"/>
      <c r="OAN18" s="38"/>
      <c r="OAO18" s="38"/>
      <c r="OAP18" s="38"/>
      <c r="OAQ18" s="38"/>
      <c r="OAR18" s="38"/>
      <c r="OAS18" s="38"/>
      <c r="OAT18" s="38"/>
      <c r="OAU18" s="38"/>
      <c r="OAV18" s="38"/>
      <c r="OAW18" s="38"/>
      <c r="OAX18" s="38"/>
      <c r="OAY18" s="38"/>
      <c r="OAZ18" s="38"/>
      <c r="OBA18" s="38"/>
      <c r="OBB18" s="38"/>
      <c r="OBC18" s="38"/>
      <c r="OBD18" s="38"/>
      <c r="OBE18" s="38"/>
      <c r="OBF18" s="38"/>
      <c r="OBG18" s="38"/>
      <c r="OBH18" s="38"/>
      <c r="OBI18" s="38"/>
      <c r="OBJ18" s="38"/>
      <c r="OBK18" s="38"/>
      <c r="OBL18" s="38"/>
      <c r="OBM18" s="38"/>
      <c r="OBN18" s="38"/>
      <c r="OBO18" s="38"/>
      <c r="OBP18" s="38"/>
      <c r="OBQ18" s="38"/>
      <c r="OBR18" s="38"/>
      <c r="OBS18" s="38"/>
      <c r="OBT18" s="38"/>
      <c r="OBU18" s="38"/>
      <c r="OBV18" s="38"/>
      <c r="OBW18" s="38"/>
      <c r="OBX18" s="38"/>
      <c r="OBY18" s="38"/>
      <c r="OBZ18" s="38"/>
      <c r="OCA18" s="38"/>
      <c r="OCB18" s="38"/>
      <c r="OCC18" s="38"/>
      <c r="OCD18" s="38"/>
      <c r="OCE18" s="38"/>
      <c r="OCF18" s="38"/>
      <c r="OCG18" s="38"/>
      <c r="OCH18" s="38"/>
      <c r="OCI18" s="38"/>
      <c r="OCJ18" s="38"/>
      <c r="OCK18" s="38"/>
      <c r="OCL18" s="38"/>
      <c r="OCM18" s="38"/>
      <c r="OCN18" s="38"/>
      <c r="OCO18" s="38"/>
      <c r="OCP18" s="38"/>
      <c r="OCQ18" s="38"/>
      <c r="OCR18" s="38"/>
      <c r="OCS18" s="38"/>
      <c r="OCT18" s="38"/>
      <c r="OCU18" s="38"/>
      <c r="OCV18" s="38"/>
      <c r="OCW18" s="38"/>
      <c r="OCX18" s="38"/>
      <c r="OCY18" s="38"/>
      <c r="OCZ18" s="38"/>
      <c r="ODA18" s="38"/>
      <c r="ODB18" s="38"/>
      <c r="ODC18" s="38"/>
      <c r="ODD18" s="38"/>
      <c r="ODE18" s="38"/>
      <c r="ODF18" s="38"/>
      <c r="ODG18" s="38"/>
      <c r="ODH18" s="38"/>
      <c r="ODI18" s="38"/>
      <c r="ODJ18" s="38"/>
      <c r="ODK18" s="38"/>
      <c r="ODL18" s="38"/>
      <c r="ODM18" s="38"/>
      <c r="ODN18" s="38"/>
      <c r="ODO18" s="38"/>
      <c r="ODP18" s="38"/>
      <c r="ODQ18" s="38"/>
      <c r="ODR18" s="38"/>
      <c r="ODS18" s="38"/>
      <c r="ODT18" s="38"/>
      <c r="ODU18" s="38"/>
      <c r="ODV18" s="38"/>
      <c r="ODW18" s="38"/>
      <c r="ODX18" s="38"/>
      <c r="ODY18" s="38"/>
      <c r="ODZ18" s="38"/>
      <c r="OEA18" s="38"/>
      <c r="OEB18" s="38"/>
      <c r="OEC18" s="38"/>
      <c r="OED18" s="38"/>
      <c r="OEE18" s="38"/>
      <c r="OEF18" s="38"/>
      <c r="OEG18" s="38"/>
      <c r="OEH18" s="38"/>
      <c r="OEI18" s="38"/>
      <c r="OEJ18" s="38"/>
      <c r="OEK18" s="38"/>
      <c r="OEL18" s="38"/>
      <c r="OEM18" s="38"/>
      <c r="OEN18" s="38"/>
      <c r="OEO18" s="38"/>
      <c r="OEP18" s="38"/>
      <c r="OEQ18" s="38"/>
      <c r="OER18" s="38"/>
      <c r="OES18" s="38"/>
      <c r="OET18" s="38"/>
      <c r="OEU18" s="38"/>
      <c r="OEV18" s="38"/>
      <c r="OEW18" s="38"/>
      <c r="OEX18" s="38"/>
      <c r="OEY18" s="38"/>
      <c r="OEZ18" s="38"/>
      <c r="OFA18" s="38"/>
      <c r="OFB18" s="38"/>
      <c r="OFC18" s="38"/>
      <c r="OFD18" s="38"/>
      <c r="OFE18" s="38"/>
      <c r="OFF18" s="38"/>
      <c r="OFG18" s="38"/>
      <c r="OFH18" s="38"/>
      <c r="OFI18" s="38"/>
      <c r="OFJ18" s="38"/>
      <c r="OFK18" s="38"/>
      <c r="OFL18" s="38"/>
      <c r="OFM18" s="38"/>
      <c r="OFN18" s="38"/>
      <c r="OFO18" s="38"/>
      <c r="OFP18" s="38"/>
      <c r="OFQ18" s="38"/>
      <c r="OFR18" s="38"/>
      <c r="OFS18" s="38"/>
      <c r="OFT18" s="38"/>
      <c r="OFU18" s="38"/>
      <c r="OFV18" s="38"/>
      <c r="OFW18" s="38"/>
      <c r="OFX18" s="38"/>
      <c r="OFY18" s="38"/>
      <c r="OFZ18" s="38"/>
      <c r="OGA18" s="38"/>
      <c r="OGB18" s="38"/>
      <c r="OGC18" s="38"/>
      <c r="OGD18" s="38"/>
      <c r="OGE18" s="38"/>
      <c r="OGF18" s="38"/>
      <c r="OGG18" s="38"/>
      <c r="OGH18" s="38"/>
      <c r="OGI18" s="38"/>
      <c r="OGJ18" s="38"/>
      <c r="OGK18" s="38"/>
      <c r="OGL18" s="38"/>
      <c r="OGM18" s="38"/>
      <c r="OGN18" s="38"/>
      <c r="OGO18" s="38"/>
      <c r="OGP18" s="38"/>
      <c r="OGQ18" s="38"/>
      <c r="OGR18" s="38"/>
      <c r="OGS18" s="38"/>
      <c r="OGT18" s="38"/>
      <c r="OGU18" s="38"/>
      <c r="OGV18" s="38"/>
      <c r="OGW18" s="38"/>
      <c r="OGX18" s="38"/>
      <c r="OGY18" s="38"/>
      <c r="OGZ18" s="38"/>
      <c r="OHA18" s="38"/>
      <c r="OHB18" s="38"/>
      <c r="OHC18" s="38"/>
      <c r="OHD18" s="38"/>
      <c r="OHE18" s="38"/>
      <c r="OHF18" s="38"/>
      <c r="OHG18" s="38"/>
      <c r="OHH18" s="38"/>
      <c r="OHI18" s="38"/>
      <c r="OHJ18" s="38"/>
      <c r="OHK18" s="38"/>
      <c r="OHL18" s="38"/>
      <c r="OHM18" s="38"/>
      <c r="OHN18" s="38"/>
      <c r="OHO18" s="38"/>
      <c r="OHP18" s="38"/>
      <c r="OHQ18" s="38"/>
      <c r="OHR18" s="38"/>
      <c r="OHS18" s="38"/>
      <c r="OHT18" s="38"/>
      <c r="OHU18" s="38"/>
      <c r="OHV18" s="38"/>
      <c r="OHW18" s="38"/>
      <c r="OHX18" s="38"/>
      <c r="OHY18" s="38"/>
      <c r="OHZ18" s="38"/>
      <c r="OIA18" s="38"/>
      <c r="OIB18" s="38"/>
      <c r="OIC18" s="38"/>
      <c r="OID18" s="38"/>
      <c r="OIE18" s="38"/>
      <c r="OIF18" s="38"/>
      <c r="OIG18" s="38"/>
      <c r="OIH18" s="38"/>
      <c r="OII18" s="38"/>
      <c r="OIJ18" s="38"/>
      <c r="OIK18" s="38"/>
      <c r="OIL18" s="38"/>
      <c r="OIM18" s="38"/>
      <c r="OIN18" s="38"/>
      <c r="OIO18" s="38"/>
      <c r="OIP18" s="38"/>
      <c r="OIQ18" s="38"/>
      <c r="OIR18" s="38"/>
      <c r="OIS18" s="38"/>
      <c r="OIT18" s="38"/>
      <c r="OIU18" s="38"/>
      <c r="OIV18" s="38"/>
      <c r="OIW18" s="38"/>
      <c r="OIX18" s="38"/>
      <c r="OIY18" s="38"/>
      <c r="OIZ18" s="38"/>
      <c r="OJA18" s="38"/>
      <c r="OJB18" s="38"/>
      <c r="OJC18" s="38"/>
      <c r="OJD18" s="38"/>
      <c r="OJE18" s="38"/>
      <c r="OJF18" s="38"/>
      <c r="OJG18" s="38"/>
      <c r="OJH18" s="38"/>
      <c r="OJI18" s="38"/>
      <c r="OJJ18" s="38"/>
      <c r="OJK18" s="38"/>
      <c r="OJL18" s="38"/>
      <c r="OJM18" s="38"/>
      <c r="OJN18" s="38"/>
      <c r="OJO18" s="38"/>
      <c r="OJP18" s="38"/>
      <c r="OJQ18" s="38"/>
      <c r="OJR18" s="38"/>
      <c r="OJS18" s="38"/>
      <c r="OJT18" s="38"/>
      <c r="OJU18" s="38"/>
      <c r="OJV18" s="38"/>
      <c r="OJW18" s="38"/>
      <c r="OJX18" s="38"/>
      <c r="OJY18" s="38"/>
      <c r="OJZ18" s="38"/>
      <c r="OKA18" s="38"/>
      <c r="OKB18" s="38"/>
      <c r="OKC18" s="38"/>
      <c r="OKD18" s="38"/>
      <c r="OKE18" s="38"/>
      <c r="OKF18" s="38"/>
      <c r="OKG18" s="38"/>
      <c r="OKH18" s="38"/>
      <c r="OKI18" s="38"/>
      <c r="OKJ18" s="38"/>
      <c r="OKK18" s="38"/>
      <c r="OKL18" s="38"/>
      <c r="OKM18" s="38"/>
      <c r="OKN18" s="38"/>
      <c r="OKO18" s="38"/>
      <c r="OKP18" s="38"/>
      <c r="OKQ18" s="38"/>
      <c r="OKR18" s="38"/>
      <c r="OKS18" s="38"/>
      <c r="OKT18" s="38"/>
      <c r="OKU18" s="38"/>
      <c r="OKV18" s="38"/>
      <c r="OKW18" s="38"/>
      <c r="OKX18" s="38"/>
      <c r="OKY18" s="38"/>
      <c r="OKZ18" s="38"/>
      <c r="OLA18" s="38"/>
      <c r="OLB18" s="38"/>
      <c r="OLC18" s="38"/>
      <c r="OLD18" s="38"/>
      <c r="OLE18" s="38"/>
      <c r="OLF18" s="38"/>
      <c r="OLG18" s="38"/>
      <c r="OLH18" s="38"/>
      <c r="OLI18" s="38"/>
      <c r="OLJ18" s="38"/>
      <c r="OLK18" s="38"/>
      <c r="OLL18" s="38"/>
      <c r="OLM18" s="38"/>
      <c r="OLN18" s="38"/>
      <c r="OLO18" s="38"/>
      <c r="OLP18" s="38"/>
      <c r="OLQ18" s="38"/>
      <c r="OLR18" s="38"/>
      <c r="OLS18" s="38"/>
      <c r="OLT18" s="38"/>
      <c r="OLU18" s="38"/>
      <c r="OLV18" s="38"/>
      <c r="OLW18" s="38"/>
      <c r="OLX18" s="38"/>
      <c r="OLY18" s="38"/>
      <c r="OLZ18" s="38"/>
      <c r="OMA18" s="38"/>
      <c r="OMB18" s="38"/>
      <c r="OMC18" s="38"/>
      <c r="OMD18" s="38"/>
      <c r="OME18" s="38"/>
      <c r="OMF18" s="38"/>
      <c r="OMG18" s="38"/>
      <c r="OMH18" s="38"/>
      <c r="OMI18" s="38"/>
      <c r="OMJ18" s="38"/>
      <c r="OMK18" s="38"/>
      <c r="OML18" s="38"/>
      <c r="OMM18" s="38"/>
      <c r="OMN18" s="38"/>
      <c r="OMO18" s="38"/>
      <c r="OMP18" s="38"/>
      <c r="OMQ18" s="38"/>
      <c r="OMR18" s="38"/>
      <c r="OMS18" s="38"/>
      <c r="OMT18" s="38"/>
      <c r="OMU18" s="38"/>
      <c r="OMV18" s="38"/>
      <c r="OMW18" s="38"/>
      <c r="OMX18" s="38"/>
      <c r="OMY18" s="38"/>
      <c r="OMZ18" s="38"/>
      <c r="ONA18" s="38"/>
      <c r="ONB18" s="38"/>
      <c r="ONC18" s="38"/>
      <c r="OND18" s="38"/>
      <c r="ONE18" s="38"/>
      <c r="ONF18" s="38"/>
      <c r="ONG18" s="38"/>
      <c r="ONH18" s="38"/>
      <c r="ONI18" s="38"/>
      <c r="ONJ18" s="38"/>
      <c r="ONK18" s="38"/>
      <c r="ONL18" s="38"/>
      <c r="ONM18" s="38"/>
      <c r="ONN18" s="38"/>
      <c r="ONO18" s="38"/>
      <c r="ONP18" s="38"/>
      <c r="ONQ18" s="38"/>
      <c r="ONR18" s="38"/>
      <c r="ONS18" s="38"/>
      <c r="ONT18" s="38"/>
      <c r="ONU18" s="38"/>
      <c r="ONV18" s="38"/>
      <c r="ONW18" s="38"/>
      <c r="ONX18" s="38"/>
      <c r="ONY18" s="38"/>
      <c r="ONZ18" s="38"/>
      <c r="OOA18" s="38"/>
      <c r="OOB18" s="38"/>
      <c r="OOC18" s="38"/>
      <c r="OOD18" s="38"/>
      <c r="OOE18" s="38"/>
      <c r="OOF18" s="38"/>
      <c r="OOG18" s="38"/>
      <c r="OOH18" s="38"/>
      <c r="OOI18" s="38"/>
      <c r="OOJ18" s="38"/>
      <c r="OOK18" s="38"/>
      <c r="OOL18" s="38"/>
      <c r="OOM18" s="38"/>
      <c r="OON18" s="38"/>
      <c r="OOO18" s="38"/>
      <c r="OOP18" s="38"/>
      <c r="OOQ18" s="38"/>
      <c r="OOR18" s="38"/>
      <c r="OOS18" s="38"/>
      <c r="OOT18" s="38"/>
      <c r="OOU18" s="38"/>
      <c r="OOV18" s="38"/>
      <c r="OOW18" s="38"/>
      <c r="OOX18" s="38"/>
      <c r="OOY18" s="38"/>
      <c r="OOZ18" s="38"/>
      <c r="OPA18" s="38"/>
      <c r="OPB18" s="38"/>
      <c r="OPC18" s="38"/>
      <c r="OPD18" s="38"/>
      <c r="OPE18" s="38"/>
      <c r="OPF18" s="38"/>
      <c r="OPG18" s="38"/>
      <c r="OPH18" s="38"/>
      <c r="OPI18" s="38"/>
      <c r="OPJ18" s="38"/>
      <c r="OPK18" s="38"/>
      <c r="OPL18" s="38"/>
      <c r="OPM18" s="38"/>
      <c r="OPN18" s="38"/>
      <c r="OPO18" s="38"/>
      <c r="OPP18" s="38"/>
      <c r="OPQ18" s="38"/>
      <c r="OPR18" s="38"/>
      <c r="OPS18" s="38"/>
      <c r="OPT18" s="38"/>
      <c r="OPU18" s="38"/>
      <c r="OPV18" s="38"/>
      <c r="OPW18" s="38"/>
      <c r="OPX18" s="38"/>
      <c r="OPY18" s="38"/>
      <c r="OPZ18" s="38"/>
      <c r="OQA18" s="38"/>
      <c r="OQB18" s="38"/>
      <c r="OQC18" s="38"/>
      <c r="OQD18" s="38"/>
      <c r="OQE18" s="38"/>
      <c r="OQF18" s="38"/>
      <c r="OQG18" s="38"/>
      <c r="OQH18" s="38"/>
      <c r="OQI18" s="38"/>
      <c r="OQJ18" s="38"/>
      <c r="OQK18" s="38"/>
      <c r="OQL18" s="38"/>
      <c r="OQM18" s="38"/>
      <c r="OQN18" s="38"/>
      <c r="OQO18" s="38"/>
      <c r="OQP18" s="38"/>
      <c r="OQQ18" s="38"/>
      <c r="OQR18" s="38"/>
      <c r="OQS18" s="38"/>
      <c r="OQT18" s="38"/>
      <c r="OQU18" s="38"/>
      <c r="OQV18" s="38"/>
      <c r="OQW18" s="38"/>
      <c r="OQX18" s="38"/>
      <c r="OQY18" s="38"/>
      <c r="OQZ18" s="38"/>
      <c r="ORA18" s="38"/>
      <c r="ORB18" s="38"/>
      <c r="ORC18" s="38"/>
      <c r="ORD18" s="38"/>
      <c r="ORE18" s="38"/>
      <c r="ORF18" s="38"/>
      <c r="ORG18" s="38"/>
      <c r="ORH18" s="38"/>
      <c r="ORI18" s="38"/>
      <c r="ORJ18" s="38"/>
      <c r="ORK18" s="38"/>
      <c r="ORL18" s="38"/>
      <c r="ORM18" s="38"/>
      <c r="ORN18" s="38"/>
      <c r="ORO18" s="38"/>
      <c r="ORP18" s="38"/>
      <c r="ORQ18" s="38"/>
      <c r="ORR18" s="38"/>
      <c r="ORS18" s="38"/>
      <c r="ORT18" s="38"/>
      <c r="ORU18" s="38"/>
      <c r="ORV18" s="38"/>
      <c r="ORW18" s="38"/>
      <c r="ORX18" s="38"/>
      <c r="ORY18" s="38"/>
      <c r="ORZ18" s="38"/>
      <c r="OSA18" s="38"/>
      <c r="OSB18" s="38"/>
      <c r="OSC18" s="38"/>
      <c r="OSD18" s="38"/>
      <c r="OSE18" s="38"/>
      <c r="OSF18" s="38"/>
      <c r="OSG18" s="38"/>
      <c r="OSH18" s="38"/>
      <c r="OSI18" s="38"/>
      <c r="OSJ18" s="38"/>
      <c r="OSK18" s="38"/>
      <c r="OSL18" s="38"/>
      <c r="OSM18" s="38"/>
      <c r="OSN18" s="38"/>
      <c r="OSO18" s="38"/>
      <c r="OSP18" s="38"/>
      <c r="OSQ18" s="38"/>
      <c r="OSR18" s="38"/>
      <c r="OSS18" s="38"/>
      <c r="OST18" s="38"/>
      <c r="OSU18" s="38"/>
      <c r="OSV18" s="38"/>
      <c r="OSW18" s="38"/>
      <c r="OSX18" s="38"/>
      <c r="OSY18" s="38"/>
      <c r="OSZ18" s="38"/>
      <c r="OTA18" s="38"/>
      <c r="OTB18" s="38"/>
      <c r="OTC18" s="38"/>
      <c r="OTD18" s="38"/>
      <c r="OTE18" s="38"/>
      <c r="OTF18" s="38"/>
      <c r="OTG18" s="38"/>
      <c r="OTH18" s="38"/>
      <c r="OTI18" s="38"/>
      <c r="OTJ18" s="38"/>
      <c r="OTK18" s="38"/>
      <c r="OTL18" s="38"/>
      <c r="OTM18" s="38"/>
      <c r="OTN18" s="38"/>
      <c r="OTO18" s="38"/>
      <c r="OTP18" s="38"/>
      <c r="OTQ18" s="38"/>
      <c r="OTR18" s="38"/>
      <c r="OTS18" s="38"/>
      <c r="OTT18" s="38"/>
      <c r="OTU18" s="38"/>
      <c r="OTV18" s="38"/>
      <c r="OTW18" s="38"/>
      <c r="OTX18" s="38"/>
      <c r="OTY18" s="38"/>
      <c r="OTZ18" s="38"/>
      <c r="OUA18" s="38"/>
      <c r="OUB18" s="38"/>
      <c r="OUC18" s="38"/>
      <c r="OUD18" s="38"/>
      <c r="OUE18" s="38"/>
      <c r="OUF18" s="38"/>
      <c r="OUG18" s="38"/>
      <c r="OUH18" s="38"/>
      <c r="OUI18" s="38"/>
      <c r="OUJ18" s="38"/>
      <c r="OUK18" s="38"/>
      <c r="OUL18" s="38"/>
      <c r="OUM18" s="38"/>
      <c r="OUN18" s="38"/>
      <c r="OUO18" s="38"/>
      <c r="OUP18" s="38"/>
      <c r="OUQ18" s="38"/>
      <c r="OUR18" s="38"/>
      <c r="OUS18" s="38"/>
      <c r="OUT18" s="38"/>
      <c r="OUU18" s="38"/>
      <c r="OUV18" s="38"/>
      <c r="OUW18" s="38"/>
      <c r="OUX18" s="38"/>
      <c r="OUY18" s="38"/>
      <c r="OUZ18" s="38"/>
      <c r="OVA18" s="38"/>
      <c r="OVB18" s="38"/>
      <c r="OVC18" s="38"/>
      <c r="OVD18" s="38"/>
      <c r="OVE18" s="38"/>
      <c r="OVF18" s="38"/>
      <c r="OVG18" s="38"/>
      <c r="OVH18" s="38"/>
      <c r="OVI18" s="38"/>
      <c r="OVJ18" s="38"/>
      <c r="OVK18" s="38"/>
      <c r="OVL18" s="38"/>
      <c r="OVM18" s="38"/>
      <c r="OVN18" s="38"/>
      <c r="OVO18" s="38"/>
      <c r="OVP18" s="38"/>
      <c r="OVQ18" s="38"/>
      <c r="OVR18" s="38"/>
      <c r="OVS18" s="38"/>
      <c r="OVT18" s="38"/>
      <c r="OVU18" s="38"/>
      <c r="OVV18" s="38"/>
      <c r="OVW18" s="38"/>
      <c r="OVX18" s="38"/>
      <c r="OVY18" s="38"/>
      <c r="OVZ18" s="38"/>
      <c r="OWA18" s="38"/>
      <c r="OWB18" s="38"/>
      <c r="OWC18" s="38"/>
      <c r="OWD18" s="38"/>
      <c r="OWE18" s="38"/>
      <c r="OWF18" s="38"/>
      <c r="OWG18" s="38"/>
      <c r="OWH18" s="38"/>
      <c r="OWI18" s="38"/>
      <c r="OWJ18" s="38"/>
      <c r="OWK18" s="38"/>
      <c r="OWL18" s="38"/>
      <c r="OWM18" s="38"/>
      <c r="OWN18" s="38"/>
      <c r="OWO18" s="38"/>
      <c r="OWP18" s="38"/>
      <c r="OWQ18" s="38"/>
      <c r="OWR18" s="38"/>
      <c r="OWS18" s="38"/>
      <c r="OWT18" s="38"/>
      <c r="OWU18" s="38"/>
      <c r="OWV18" s="38"/>
      <c r="OWW18" s="38"/>
      <c r="OWX18" s="38"/>
      <c r="OWY18" s="38"/>
      <c r="OWZ18" s="38"/>
      <c r="OXA18" s="38"/>
      <c r="OXB18" s="38"/>
      <c r="OXC18" s="38"/>
      <c r="OXD18" s="38"/>
      <c r="OXE18" s="38"/>
      <c r="OXF18" s="38"/>
      <c r="OXG18" s="38"/>
      <c r="OXH18" s="38"/>
      <c r="OXI18" s="38"/>
      <c r="OXJ18" s="38"/>
      <c r="OXK18" s="38"/>
      <c r="OXL18" s="38"/>
      <c r="OXM18" s="38"/>
      <c r="OXN18" s="38"/>
      <c r="OXO18" s="38"/>
      <c r="OXP18" s="38"/>
      <c r="OXQ18" s="38"/>
      <c r="OXR18" s="38"/>
      <c r="OXS18" s="38"/>
      <c r="OXT18" s="38"/>
      <c r="OXU18" s="38"/>
      <c r="OXV18" s="38"/>
      <c r="OXW18" s="38"/>
      <c r="OXX18" s="38"/>
      <c r="OXY18" s="38"/>
      <c r="OXZ18" s="38"/>
      <c r="OYA18" s="38"/>
      <c r="OYB18" s="38"/>
      <c r="OYC18" s="38"/>
      <c r="OYD18" s="38"/>
      <c r="OYE18" s="38"/>
      <c r="OYF18" s="38"/>
      <c r="OYG18" s="38"/>
      <c r="OYH18" s="38"/>
      <c r="OYI18" s="38"/>
      <c r="OYJ18" s="38"/>
      <c r="OYK18" s="38"/>
      <c r="OYL18" s="38"/>
      <c r="OYM18" s="38"/>
      <c r="OYN18" s="38"/>
      <c r="OYO18" s="38"/>
      <c r="OYP18" s="38"/>
      <c r="OYQ18" s="38"/>
      <c r="OYR18" s="38"/>
      <c r="OYS18" s="38"/>
      <c r="OYT18" s="38"/>
      <c r="OYU18" s="38"/>
      <c r="OYV18" s="38"/>
      <c r="OYW18" s="38"/>
      <c r="OYX18" s="38"/>
      <c r="OYY18" s="38"/>
      <c r="OYZ18" s="38"/>
      <c r="OZA18" s="38"/>
      <c r="OZB18" s="38"/>
      <c r="OZC18" s="38"/>
      <c r="OZD18" s="38"/>
      <c r="OZE18" s="38"/>
      <c r="OZF18" s="38"/>
      <c r="OZG18" s="38"/>
      <c r="OZH18" s="38"/>
      <c r="OZI18" s="38"/>
      <c r="OZJ18" s="38"/>
      <c r="OZK18" s="38"/>
      <c r="OZL18" s="38"/>
      <c r="OZM18" s="38"/>
      <c r="OZN18" s="38"/>
      <c r="OZO18" s="38"/>
      <c r="OZP18" s="38"/>
      <c r="OZQ18" s="38"/>
      <c r="OZR18" s="38"/>
      <c r="OZS18" s="38"/>
      <c r="OZT18" s="38"/>
      <c r="OZU18" s="38"/>
      <c r="OZV18" s="38"/>
      <c r="OZW18" s="38"/>
      <c r="OZX18" s="38"/>
      <c r="OZY18" s="38"/>
      <c r="OZZ18" s="38"/>
      <c r="PAA18" s="38"/>
      <c r="PAB18" s="38"/>
      <c r="PAC18" s="38"/>
      <c r="PAD18" s="38"/>
      <c r="PAE18" s="38"/>
      <c r="PAF18" s="38"/>
      <c r="PAG18" s="38"/>
      <c r="PAH18" s="38"/>
      <c r="PAI18" s="38"/>
      <c r="PAJ18" s="38"/>
      <c r="PAK18" s="38"/>
      <c r="PAL18" s="38"/>
      <c r="PAM18" s="38"/>
      <c r="PAN18" s="38"/>
      <c r="PAO18" s="38"/>
      <c r="PAP18" s="38"/>
      <c r="PAQ18" s="38"/>
      <c r="PAR18" s="38"/>
      <c r="PAS18" s="38"/>
      <c r="PAT18" s="38"/>
      <c r="PAU18" s="38"/>
      <c r="PAV18" s="38"/>
      <c r="PAW18" s="38"/>
      <c r="PAX18" s="38"/>
      <c r="PAY18" s="38"/>
      <c r="PAZ18" s="38"/>
      <c r="PBA18" s="38"/>
      <c r="PBB18" s="38"/>
      <c r="PBC18" s="38"/>
      <c r="PBD18" s="38"/>
      <c r="PBE18" s="38"/>
      <c r="PBF18" s="38"/>
      <c r="PBG18" s="38"/>
      <c r="PBH18" s="38"/>
      <c r="PBI18" s="38"/>
      <c r="PBJ18" s="38"/>
      <c r="PBK18" s="38"/>
      <c r="PBL18" s="38"/>
      <c r="PBM18" s="38"/>
      <c r="PBN18" s="38"/>
      <c r="PBO18" s="38"/>
      <c r="PBP18" s="38"/>
      <c r="PBQ18" s="38"/>
      <c r="PBR18" s="38"/>
      <c r="PBS18" s="38"/>
      <c r="PBT18" s="38"/>
      <c r="PBU18" s="38"/>
      <c r="PBV18" s="38"/>
      <c r="PBW18" s="38"/>
      <c r="PBX18" s="38"/>
      <c r="PBY18" s="38"/>
      <c r="PBZ18" s="38"/>
      <c r="PCA18" s="38"/>
      <c r="PCB18" s="38"/>
      <c r="PCC18" s="38"/>
      <c r="PCD18" s="38"/>
      <c r="PCE18" s="38"/>
      <c r="PCF18" s="38"/>
      <c r="PCG18" s="38"/>
      <c r="PCH18" s="38"/>
      <c r="PCI18" s="38"/>
      <c r="PCJ18" s="38"/>
      <c r="PCK18" s="38"/>
      <c r="PCL18" s="38"/>
      <c r="PCM18" s="38"/>
      <c r="PCN18" s="38"/>
      <c r="PCO18" s="38"/>
      <c r="PCP18" s="38"/>
      <c r="PCQ18" s="38"/>
      <c r="PCR18" s="38"/>
      <c r="PCS18" s="38"/>
      <c r="PCT18" s="38"/>
      <c r="PCU18" s="38"/>
      <c r="PCV18" s="38"/>
      <c r="PCW18" s="38"/>
      <c r="PCX18" s="38"/>
      <c r="PCY18" s="38"/>
      <c r="PCZ18" s="38"/>
      <c r="PDA18" s="38"/>
      <c r="PDB18" s="38"/>
      <c r="PDC18" s="38"/>
      <c r="PDD18" s="38"/>
      <c r="PDE18" s="38"/>
      <c r="PDF18" s="38"/>
      <c r="PDG18" s="38"/>
      <c r="PDH18" s="38"/>
      <c r="PDI18" s="38"/>
      <c r="PDJ18" s="38"/>
      <c r="PDK18" s="38"/>
      <c r="PDL18" s="38"/>
      <c r="PDM18" s="38"/>
      <c r="PDN18" s="38"/>
      <c r="PDO18" s="38"/>
      <c r="PDP18" s="38"/>
      <c r="PDQ18" s="38"/>
      <c r="PDR18" s="38"/>
      <c r="PDS18" s="38"/>
      <c r="PDT18" s="38"/>
      <c r="PDU18" s="38"/>
      <c r="PDV18" s="38"/>
      <c r="PDW18" s="38"/>
      <c r="PDX18" s="38"/>
      <c r="PDY18" s="38"/>
      <c r="PDZ18" s="38"/>
      <c r="PEA18" s="38"/>
      <c r="PEB18" s="38"/>
      <c r="PEC18" s="38"/>
      <c r="PED18" s="38"/>
      <c r="PEE18" s="38"/>
      <c r="PEF18" s="38"/>
      <c r="PEG18" s="38"/>
      <c r="PEH18" s="38"/>
      <c r="PEI18" s="38"/>
      <c r="PEJ18" s="38"/>
      <c r="PEK18" s="38"/>
      <c r="PEL18" s="38"/>
      <c r="PEM18" s="38"/>
      <c r="PEN18" s="38"/>
      <c r="PEO18" s="38"/>
      <c r="PEP18" s="38"/>
      <c r="PEQ18" s="38"/>
      <c r="PER18" s="38"/>
      <c r="PES18" s="38"/>
      <c r="PET18" s="38"/>
      <c r="PEU18" s="38"/>
      <c r="PEV18" s="38"/>
      <c r="PEW18" s="38"/>
      <c r="PEX18" s="38"/>
      <c r="PEY18" s="38"/>
      <c r="PEZ18" s="38"/>
      <c r="PFA18" s="38"/>
      <c r="PFB18" s="38"/>
      <c r="PFC18" s="38"/>
      <c r="PFD18" s="38"/>
      <c r="PFE18" s="38"/>
      <c r="PFF18" s="38"/>
      <c r="PFG18" s="38"/>
      <c r="PFH18" s="38"/>
      <c r="PFI18" s="38"/>
      <c r="PFJ18" s="38"/>
      <c r="PFK18" s="38"/>
      <c r="PFL18" s="38"/>
      <c r="PFM18" s="38"/>
      <c r="PFN18" s="38"/>
      <c r="PFO18" s="38"/>
      <c r="PFP18" s="38"/>
      <c r="PFQ18" s="38"/>
      <c r="PFR18" s="38"/>
      <c r="PFS18" s="38"/>
      <c r="PFT18" s="38"/>
      <c r="PFU18" s="38"/>
      <c r="PFV18" s="38"/>
      <c r="PFW18" s="38"/>
      <c r="PFX18" s="38"/>
      <c r="PFY18" s="38"/>
      <c r="PFZ18" s="38"/>
      <c r="PGA18" s="38"/>
      <c r="PGB18" s="38"/>
      <c r="PGC18" s="38"/>
      <c r="PGD18" s="38"/>
      <c r="PGE18" s="38"/>
      <c r="PGF18" s="38"/>
      <c r="PGG18" s="38"/>
      <c r="PGH18" s="38"/>
      <c r="PGI18" s="38"/>
      <c r="PGJ18" s="38"/>
      <c r="PGK18" s="38"/>
      <c r="PGL18" s="38"/>
      <c r="PGM18" s="38"/>
      <c r="PGN18" s="38"/>
      <c r="PGO18" s="38"/>
      <c r="PGP18" s="38"/>
      <c r="PGQ18" s="38"/>
      <c r="PGR18" s="38"/>
      <c r="PGS18" s="38"/>
      <c r="PGT18" s="38"/>
      <c r="PGU18" s="38"/>
      <c r="PGV18" s="38"/>
      <c r="PGW18" s="38"/>
      <c r="PGX18" s="38"/>
      <c r="PGY18" s="38"/>
      <c r="PGZ18" s="38"/>
      <c r="PHA18" s="38"/>
      <c r="PHB18" s="38"/>
      <c r="PHC18" s="38"/>
      <c r="PHD18" s="38"/>
      <c r="PHE18" s="38"/>
      <c r="PHF18" s="38"/>
      <c r="PHG18" s="38"/>
      <c r="PHH18" s="38"/>
      <c r="PHI18" s="38"/>
      <c r="PHJ18" s="38"/>
      <c r="PHK18" s="38"/>
      <c r="PHL18" s="38"/>
      <c r="PHM18" s="38"/>
      <c r="PHN18" s="38"/>
      <c r="PHO18" s="38"/>
      <c r="PHP18" s="38"/>
      <c r="PHQ18" s="38"/>
      <c r="PHR18" s="38"/>
      <c r="PHS18" s="38"/>
      <c r="PHT18" s="38"/>
      <c r="PHU18" s="38"/>
      <c r="PHV18" s="38"/>
      <c r="PHW18" s="38"/>
      <c r="PHX18" s="38"/>
      <c r="PHY18" s="38"/>
      <c r="PHZ18" s="38"/>
      <c r="PIA18" s="38"/>
      <c r="PIB18" s="38"/>
      <c r="PIC18" s="38"/>
      <c r="PID18" s="38"/>
      <c r="PIE18" s="38"/>
      <c r="PIF18" s="38"/>
      <c r="PIG18" s="38"/>
      <c r="PIH18" s="38"/>
      <c r="PII18" s="38"/>
      <c r="PIJ18" s="38"/>
      <c r="PIK18" s="38"/>
      <c r="PIL18" s="38"/>
      <c r="PIM18" s="38"/>
      <c r="PIN18" s="38"/>
      <c r="PIO18" s="38"/>
      <c r="PIP18" s="38"/>
      <c r="PIQ18" s="38"/>
      <c r="PIR18" s="38"/>
      <c r="PIS18" s="38"/>
      <c r="PIT18" s="38"/>
      <c r="PIU18" s="38"/>
      <c r="PIV18" s="38"/>
      <c r="PIW18" s="38"/>
      <c r="PIX18" s="38"/>
      <c r="PIY18" s="38"/>
      <c r="PIZ18" s="38"/>
      <c r="PJA18" s="38"/>
      <c r="PJB18" s="38"/>
      <c r="PJC18" s="38"/>
      <c r="PJD18" s="38"/>
      <c r="PJE18" s="38"/>
      <c r="PJF18" s="38"/>
      <c r="PJG18" s="38"/>
      <c r="PJH18" s="38"/>
      <c r="PJI18" s="38"/>
      <c r="PJJ18" s="38"/>
      <c r="PJK18" s="38"/>
      <c r="PJL18" s="38"/>
      <c r="PJM18" s="38"/>
      <c r="PJN18" s="38"/>
      <c r="PJO18" s="38"/>
      <c r="PJP18" s="38"/>
      <c r="PJQ18" s="38"/>
      <c r="PJR18" s="38"/>
      <c r="PJS18" s="38"/>
      <c r="PJT18" s="38"/>
      <c r="PJU18" s="38"/>
      <c r="PJV18" s="38"/>
      <c r="PJW18" s="38"/>
      <c r="PJX18" s="38"/>
      <c r="PJY18" s="38"/>
      <c r="PJZ18" s="38"/>
      <c r="PKA18" s="38"/>
      <c r="PKB18" s="38"/>
      <c r="PKC18" s="38"/>
      <c r="PKD18" s="38"/>
      <c r="PKE18" s="38"/>
      <c r="PKF18" s="38"/>
      <c r="PKG18" s="38"/>
      <c r="PKH18" s="38"/>
      <c r="PKI18" s="38"/>
      <c r="PKJ18" s="38"/>
      <c r="PKK18" s="38"/>
      <c r="PKL18" s="38"/>
      <c r="PKM18" s="38"/>
      <c r="PKN18" s="38"/>
      <c r="PKO18" s="38"/>
      <c r="PKP18" s="38"/>
      <c r="PKQ18" s="38"/>
      <c r="PKR18" s="38"/>
      <c r="PKS18" s="38"/>
      <c r="PKT18" s="38"/>
      <c r="PKU18" s="38"/>
      <c r="PKV18" s="38"/>
      <c r="PKW18" s="38"/>
      <c r="PKX18" s="38"/>
      <c r="PKY18" s="38"/>
      <c r="PKZ18" s="38"/>
      <c r="PLA18" s="38"/>
      <c r="PLB18" s="38"/>
      <c r="PLC18" s="38"/>
      <c r="PLD18" s="38"/>
      <c r="PLE18" s="38"/>
      <c r="PLF18" s="38"/>
      <c r="PLG18" s="38"/>
      <c r="PLH18" s="38"/>
      <c r="PLI18" s="38"/>
      <c r="PLJ18" s="38"/>
      <c r="PLK18" s="38"/>
      <c r="PLL18" s="38"/>
      <c r="PLM18" s="38"/>
      <c r="PLN18" s="38"/>
      <c r="PLO18" s="38"/>
      <c r="PLP18" s="38"/>
      <c r="PLQ18" s="38"/>
      <c r="PLR18" s="38"/>
      <c r="PLS18" s="38"/>
      <c r="PLT18" s="38"/>
      <c r="PLU18" s="38"/>
      <c r="PLV18" s="38"/>
      <c r="PLW18" s="38"/>
      <c r="PLX18" s="38"/>
      <c r="PLY18" s="38"/>
      <c r="PLZ18" s="38"/>
      <c r="PMA18" s="38"/>
      <c r="PMB18" s="38"/>
      <c r="PMC18" s="38"/>
      <c r="PMD18" s="38"/>
      <c r="PME18" s="38"/>
      <c r="PMF18" s="38"/>
      <c r="PMG18" s="38"/>
      <c r="PMH18" s="38"/>
      <c r="PMI18" s="38"/>
      <c r="PMJ18" s="38"/>
      <c r="PMK18" s="38"/>
      <c r="PML18" s="38"/>
      <c r="PMM18" s="38"/>
      <c r="PMN18" s="38"/>
      <c r="PMO18" s="38"/>
      <c r="PMP18" s="38"/>
      <c r="PMQ18" s="38"/>
      <c r="PMR18" s="38"/>
      <c r="PMS18" s="38"/>
      <c r="PMT18" s="38"/>
      <c r="PMU18" s="38"/>
      <c r="PMV18" s="38"/>
      <c r="PMW18" s="38"/>
      <c r="PMX18" s="38"/>
      <c r="PMY18" s="38"/>
      <c r="PMZ18" s="38"/>
      <c r="PNA18" s="38"/>
      <c r="PNB18" s="38"/>
      <c r="PNC18" s="38"/>
      <c r="PND18" s="38"/>
      <c r="PNE18" s="38"/>
      <c r="PNF18" s="38"/>
      <c r="PNG18" s="38"/>
      <c r="PNH18" s="38"/>
      <c r="PNI18" s="38"/>
      <c r="PNJ18" s="38"/>
      <c r="PNK18" s="38"/>
      <c r="PNL18" s="38"/>
      <c r="PNM18" s="38"/>
      <c r="PNN18" s="38"/>
      <c r="PNO18" s="38"/>
      <c r="PNP18" s="38"/>
      <c r="PNQ18" s="38"/>
      <c r="PNR18" s="38"/>
      <c r="PNS18" s="38"/>
      <c r="PNT18" s="38"/>
      <c r="PNU18" s="38"/>
      <c r="PNV18" s="38"/>
      <c r="PNW18" s="38"/>
      <c r="PNX18" s="38"/>
      <c r="PNY18" s="38"/>
      <c r="PNZ18" s="38"/>
      <c r="POA18" s="38"/>
      <c r="POB18" s="38"/>
      <c r="POC18" s="38"/>
      <c r="POD18" s="38"/>
      <c r="POE18" s="38"/>
      <c r="POF18" s="38"/>
      <c r="POG18" s="38"/>
      <c r="POH18" s="38"/>
      <c r="POI18" s="38"/>
      <c r="POJ18" s="38"/>
      <c r="POK18" s="38"/>
      <c r="POL18" s="38"/>
      <c r="POM18" s="38"/>
      <c r="PON18" s="38"/>
      <c r="POO18" s="38"/>
      <c r="POP18" s="38"/>
      <c r="POQ18" s="38"/>
      <c r="POR18" s="38"/>
      <c r="POS18" s="38"/>
      <c r="POT18" s="38"/>
      <c r="POU18" s="38"/>
      <c r="POV18" s="38"/>
      <c r="POW18" s="38"/>
      <c r="POX18" s="38"/>
      <c r="POY18" s="38"/>
      <c r="POZ18" s="38"/>
      <c r="PPA18" s="38"/>
      <c r="PPB18" s="38"/>
      <c r="PPC18" s="38"/>
      <c r="PPD18" s="38"/>
      <c r="PPE18" s="38"/>
      <c r="PPF18" s="38"/>
      <c r="PPG18" s="38"/>
      <c r="PPH18" s="38"/>
      <c r="PPI18" s="38"/>
      <c r="PPJ18" s="38"/>
      <c r="PPK18" s="38"/>
      <c r="PPL18" s="38"/>
      <c r="PPM18" s="38"/>
      <c r="PPN18" s="38"/>
      <c r="PPO18" s="38"/>
      <c r="PPP18" s="38"/>
      <c r="PPQ18" s="38"/>
      <c r="PPR18" s="38"/>
      <c r="PPS18" s="38"/>
      <c r="PPT18" s="38"/>
      <c r="PPU18" s="38"/>
      <c r="PPV18" s="38"/>
      <c r="PPW18" s="38"/>
      <c r="PPX18" s="38"/>
      <c r="PPY18" s="38"/>
      <c r="PPZ18" s="38"/>
      <c r="PQA18" s="38"/>
      <c r="PQB18" s="38"/>
      <c r="PQC18" s="38"/>
      <c r="PQD18" s="38"/>
      <c r="PQE18" s="38"/>
      <c r="PQF18" s="38"/>
      <c r="PQG18" s="38"/>
      <c r="PQH18" s="38"/>
      <c r="PQI18" s="38"/>
      <c r="PQJ18" s="38"/>
      <c r="PQK18" s="38"/>
      <c r="PQL18" s="38"/>
      <c r="PQM18" s="38"/>
      <c r="PQN18" s="38"/>
      <c r="PQO18" s="38"/>
      <c r="PQP18" s="38"/>
      <c r="PQQ18" s="38"/>
      <c r="PQR18" s="38"/>
      <c r="PQS18" s="38"/>
      <c r="PQT18" s="38"/>
      <c r="PQU18" s="38"/>
      <c r="PQV18" s="38"/>
      <c r="PQW18" s="38"/>
      <c r="PQX18" s="38"/>
      <c r="PQY18" s="38"/>
      <c r="PQZ18" s="38"/>
      <c r="PRA18" s="38"/>
      <c r="PRB18" s="38"/>
      <c r="PRC18" s="38"/>
      <c r="PRD18" s="38"/>
      <c r="PRE18" s="38"/>
      <c r="PRF18" s="38"/>
      <c r="PRG18" s="38"/>
      <c r="PRH18" s="38"/>
      <c r="PRI18" s="38"/>
      <c r="PRJ18" s="38"/>
      <c r="PRK18" s="38"/>
      <c r="PRL18" s="38"/>
      <c r="PRM18" s="38"/>
      <c r="PRN18" s="38"/>
      <c r="PRO18" s="38"/>
      <c r="PRP18" s="38"/>
      <c r="PRQ18" s="38"/>
      <c r="PRR18" s="38"/>
      <c r="PRS18" s="38"/>
      <c r="PRT18" s="38"/>
      <c r="PRU18" s="38"/>
      <c r="PRV18" s="38"/>
      <c r="PRW18" s="38"/>
      <c r="PRX18" s="38"/>
      <c r="PRY18" s="38"/>
      <c r="PRZ18" s="38"/>
      <c r="PSA18" s="38"/>
      <c r="PSB18" s="38"/>
      <c r="PSC18" s="38"/>
      <c r="PSD18" s="38"/>
      <c r="PSE18" s="38"/>
      <c r="PSF18" s="38"/>
      <c r="PSG18" s="38"/>
      <c r="PSH18" s="38"/>
      <c r="PSI18" s="38"/>
      <c r="PSJ18" s="38"/>
      <c r="PSK18" s="38"/>
      <c r="PSL18" s="38"/>
      <c r="PSM18" s="38"/>
      <c r="PSN18" s="38"/>
      <c r="PSO18" s="38"/>
      <c r="PSP18" s="38"/>
      <c r="PSQ18" s="38"/>
      <c r="PSR18" s="38"/>
      <c r="PSS18" s="38"/>
      <c r="PST18" s="38"/>
      <c r="PSU18" s="38"/>
      <c r="PSV18" s="38"/>
      <c r="PSW18" s="38"/>
      <c r="PSX18" s="38"/>
      <c r="PSY18" s="38"/>
      <c r="PSZ18" s="38"/>
      <c r="PTA18" s="38"/>
      <c r="PTB18" s="38"/>
      <c r="PTC18" s="38"/>
      <c r="PTD18" s="38"/>
      <c r="PTE18" s="38"/>
      <c r="PTF18" s="38"/>
      <c r="PTG18" s="38"/>
      <c r="PTH18" s="38"/>
      <c r="PTI18" s="38"/>
      <c r="PTJ18" s="38"/>
      <c r="PTK18" s="38"/>
      <c r="PTL18" s="38"/>
      <c r="PTM18" s="38"/>
      <c r="PTN18" s="38"/>
      <c r="PTO18" s="38"/>
      <c r="PTP18" s="38"/>
      <c r="PTQ18" s="38"/>
      <c r="PTR18" s="38"/>
      <c r="PTS18" s="38"/>
      <c r="PTT18" s="38"/>
      <c r="PTU18" s="38"/>
      <c r="PTV18" s="38"/>
      <c r="PTW18" s="38"/>
      <c r="PTX18" s="38"/>
      <c r="PTY18" s="38"/>
      <c r="PTZ18" s="38"/>
      <c r="PUA18" s="38"/>
      <c r="PUB18" s="38"/>
      <c r="PUC18" s="38"/>
      <c r="PUD18" s="38"/>
      <c r="PUE18" s="38"/>
      <c r="PUF18" s="38"/>
      <c r="PUG18" s="38"/>
      <c r="PUH18" s="38"/>
      <c r="PUI18" s="38"/>
      <c r="PUJ18" s="38"/>
      <c r="PUK18" s="38"/>
      <c r="PUL18" s="38"/>
      <c r="PUM18" s="38"/>
      <c r="PUN18" s="38"/>
      <c r="PUO18" s="38"/>
      <c r="PUP18" s="38"/>
      <c r="PUQ18" s="38"/>
      <c r="PUR18" s="38"/>
      <c r="PUS18" s="38"/>
      <c r="PUT18" s="38"/>
      <c r="PUU18" s="38"/>
      <c r="PUV18" s="38"/>
      <c r="PUW18" s="38"/>
      <c r="PUX18" s="38"/>
      <c r="PUY18" s="38"/>
      <c r="PUZ18" s="38"/>
      <c r="PVA18" s="38"/>
      <c r="PVB18" s="38"/>
      <c r="PVC18" s="38"/>
      <c r="PVD18" s="38"/>
      <c r="PVE18" s="38"/>
      <c r="PVF18" s="38"/>
      <c r="PVG18" s="38"/>
      <c r="PVH18" s="38"/>
      <c r="PVI18" s="38"/>
      <c r="PVJ18" s="38"/>
      <c r="PVK18" s="38"/>
      <c r="PVL18" s="38"/>
      <c r="PVM18" s="38"/>
      <c r="PVN18" s="38"/>
      <c r="PVO18" s="38"/>
      <c r="PVP18" s="38"/>
      <c r="PVQ18" s="38"/>
      <c r="PVR18" s="38"/>
      <c r="PVS18" s="38"/>
      <c r="PVT18" s="38"/>
      <c r="PVU18" s="38"/>
      <c r="PVV18" s="38"/>
      <c r="PVW18" s="38"/>
      <c r="PVX18" s="38"/>
      <c r="PVY18" s="38"/>
      <c r="PVZ18" s="38"/>
      <c r="PWA18" s="38"/>
      <c r="PWB18" s="38"/>
      <c r="PWC18" s="38"/>
      <c r="PWD18" s="38"/>
      <c r="PWE18" s="38"/>
      <c r="PWF18" s="38"/>
      <c r="PWG18" s="38"/>
      <c r="PWH18" s="38"/>
      <c r="PWI18" s="38"/>
      <c r="PWJ18" s="38"/>
      <c r="PWK18" s="38"/>
      <c r="PWL18" s="38"/>
      <c r="PWM18" s="38"/>
      <c r="PWN18" s="38"/>
      <c r="PWO18" s="38"/>
      <c r="PWP18" s="38"/>
      <c r="PWQ18" s="38"/>
      <c r="PWR18" s="38"/>
      <c r="PWS18" s="38"/>
      <c r="PWT18" s="38"/>
      <c r="PWU18" s="38"/>
      <c r="PWV18" s="38"/>
      <c r="PWW18" s="38"/>
      <c r="PWX18" s="38"/>
      <c r="PWY18" s="38"/>
      <c r="PWZ18" s="38"/>
      <c r="PXA18" s="38"/>
      <c r="PXB18" s="38"/>
      <c r="PXC18" s="38"/>
      <c r="PXD18" s="38"/>
      <c r="PXE18" s="38"/>
      <c r="PXF18" s="38"/>
      <c r="PXG18" s="38"/>
      <c r="PXH18" s="38"/>
      <c r="PXI18" s="38"/>
      <c r="PXJ18" s="38"/>
      <c r="PXK18" s="38"/>
      <c r="PXL18" s="38"/>
      <c r="PXM18" s="38"/>
      <c r="PXN18" s="38"/>
      <c r="PXO18" s="38"/>
      <c r="PXP18" s="38"/>
      <c r="PXQ18" s="38"/>
      <c r="PXR18" s="38"/>
      <c r="PXS18" s="38"/>
      <c r="PXT18" s="38"/>
      <c r="PXU18" s="38"/>
      <c r="PXV18" s="38"/>
      <c r="PXW18" s="38"/>
      <c r="PXX18" s="38"/>
      <c r="PXY18" s="38"/>
      <c r="PXZ18" s="38"/>
      <c r="PYA18" s="38"/>
      <c r="PYB18" s="38"/>
      <c r="PYC18" s="38"/>
      <c r="PYD18" s="38"/>
      <c r="PYE18" s="38"/>
      <c r="PYF18" s="38"/>
      <c r="PYG18" s="38"/>
      <c r="PYH18" s="38"/>
      <c r="PYI18" s="38"/>
      <c r="PYJ18" s="38"/>
      <c r="PYK18" s="38"/>
      <c r="PYL18" s="38"/>
      <c r="PYM18" s="38"/>
      <c r="PYN18" s="38"/>
      <c r="PYO18" s="38"/>
      <c r="PYP18" s="38"/>
      <c r="PYQ18" s="38"/>
      <c r="PYR18" s="38"/>
      <c r="PYS18" s="38"/>
      <c r="PYT18" s="38"/>
      <c r="PYU18" s="38"/>
      <c r="PYV18" s="38"/>
      <c r="PYW18" s="38"/>
      <c r="PYX18" s="38"/>
      <c r="PYY18" s="38"/>
      <c r="PYZ18" s="38"/>
      <c r="PZA18" s="38"/>
      <c r="PZB18" s="38"/>
      <c r="PZC18" s="38"/>
      <c r="PZD18" s="38"/>
      <c r="PZE18" s="38"/>
      <c r="PZF18" s="38"/>
      <c r="PZG18" s="38"/>
      <c r="PZH18" s="38"/>
      <c r="PZI18" s="38"/>
      <c r="PZJ18" s="38"/>
      <c r="PZK18" s="38"/>
      <c r="PZL18" s="38"/>
      <c r="PZM18" s="38"/>
      <c r="PZN18" s="38"/>
      <c r="PZO18" s="38"/>
      <c r="PZP18" s="38"/>
      <c r="PZQ18" s="38"/>
      <c r="PZR18" s="38"/>
      <c r="PZS18" s="38"/>
      <c r="PZT18" s="38"/>
      <c r="PZU18" s="38"/>
      <c r="PZV18" s="38"/>
      <c r="PZW18" s="38"/>
      <c r="PZX18" s="38"/>
      <c r="PZY18" s="38"/>
      <c r="PZZ18" s="38"/>
      <c r="QAA18" s="38"/>
      <c r="QAB18" s="38"/>
      <c r="QAC18" s="38"/>
      <c r="QAD18" s="38"/>
      <c r="QAE18" s="38"/>
      <c r="QAF18" s="38"/>
      <c r="QAG18" s="38"/>
      <c r="QAH18" s="38"/>
      <c r="QAI18" s="38"/>
      <c r="QAJ18" s="38"/>
      <c r="QAK18" s="38"/>
      <c r="QAL18" s="38"/>
      <c r="QAM18" s="38"/>
      <c r="QAN18" s="38"/>
      <c r="QAO18" s="38"/>
      <c r="QAP18" s="38"/>
      <c r="QAQ18" s="38"/>
      <c r="QAR18" s="38"/>
      <c r="QAS18" s="38"/>
      <c r="QAT18" s="38"/>
      <c r="QAU18" s="38"/>
      <c r="QAV18" s="38"/>
      <c r="QAW18" s="38"/>
      <c r="QAX18" s="38"/>
      <c r="QAY18" s="38"/>
      <c r="QAZ18" s="38"/>
      <c r="QBA18" s="38"/>
      <c r="QBB18" s="38"/>
      <c r="QBC18" s="38"/>
      <c r="QBD18" s="38"/>
      <c r="QBE18" s="38"/>
      <c r="QBF18" s="38"/>
      <c r="QBG18" s="38"/>
      <c r="QBH18" s="38"/>
      <c r="QBI18" s="38"/>
      <c r="QBJ18" s="38"/>
      <c r="QBK18" s="38"/>
      <c r="QBL18" s="38"/>
      <c r="QBM18" s="38"/>
      <c r="QBN18" s="38"/>
      <c r="QBO18" s="38"/>
      <c r="QBP18" s="38"/>
      <c r="QBQ18" s="38"/>
      <c r="QBR18" s="38"/>
      <c r="QBS18" s="38"/>
      <c r="QBT18" s="38"/>
      <c r="QBU18" s="38"/>
      <c r="QBV18" s="38"/>
      <c r="QBW18" s="38"/>
      <c r="QBX18" s="38"/>
      <c r="QBY18" s="38"/>
      <c r="QBZ18" s="38"/>
      <c r="QCA18" s="38"/>
      <c r="QCB18" s="38"/>
      <c r="QCC18" s="38"/>
      <c r="QCD18" s="38"/>
      <c r="QCE18" s="38"/>
      <c r="QCF18" s="38"/>
      <c r="QCG18" s="38"/>
      <c r="QCH18" s="38"/>
      <c r="QCI18" s="38"/>
      <c r="QCJ18" s="38"/>
      <c r="QCK18" s="38"/>
      <c r="QCL18" s="38"/>
      <c r="QCM18" s="38"/>
      <c r="QCN18" s="38"/>
      <c r="QCO18" s="38"/>
      <c r="QCP18" s="38"/>
      <c r="QCQ18" s="38"/>
      <c r="QCR18" s="38"/>
      <c r="QCS18" s="38"/>
      <c r="QCT18" s="38"/>
      <c r="QCU18" s="38"/>
      <c r="QCV18" s="38"/>
      <c r="QCW18" s="38"/>
      <c r="QCX18" s="38"/>
      <c r="QCY18" s="38"/>
      <c r="QCZ18" s="38"/>
      <c r="QDA18" s="38"/>
      <c r="QDB18" s="38"/>
      <c r="QDC18" s="38"/>
      <c r="QDD18" s="38"/>
      <c r="QDE18" s="38"/>
      <c r="QDF18" s="38"/>
      <c r="QDG18" s="38"/>
      <c r="QDH18" s="38"/>
      <c r="QDI18" s="38"/>
      <c r="QDJ18" s="38"/>
      <c r="QDK18" s="38"/>
      <c r="QDL18" s="38"/>
      <c r="QDM18" s="38"/>
      <c r="QDN18" s="38"/>
      <c r="QDO18" s="38"/>
      <c r="QDP18" s="38"/>
      <c r="QDQ18" s="38"/>
      <c r="QDR18" s="38"/>
      <c r="QDS18" s="38"/>
      <c r="QDT18" s="38"/>
      <c r="QDU18" s="38"/>
      <c r="QDV18" s="38"/>
      <c r="QDW18" s="38"/>
      <c r="QDX18" s="38"/>
      <c r="QDY18" s="38"/>
      <c r="QDZ18" s="38"/>
      <c r="QEA18" s="38"/>
      <c r="QEB18" s="38"/>
      <c r="QEC18" s="38"/>
      <c r="QED18" s="38"/>
      <c r="QEE18" s="38"/>
      <c r="QEF18" s="38"/>
      <c r="QEG18" s="38"/>
      <c r="QEH18" s="38"/>
      <c r="QEI18" s="38"/>
      <c r="QEJ18" s="38"/>
      <c r="QEK18" s="38"/>
      <c r="QEL18" s="38"/>
      <c r="QEM18" s="38"/>
      <c r="QEN18" s="38"/>
      <c r="QEO18" s="38"/>
      <c r="QEP18" s="38"/>
      <c r="QEQ18" s="38"/>
      <c r="QER18" s="38"/>
      <c r="QES18" s="38"/>
      <c r="QET18" s="38"/>
      <c r="QEU18" s="38"/>
      <c r="QEV18" s="38"/>
      <c r="QEW18" s="38"/>
      <c r="QEX18" s="38"/>
      <c r="QEY18" s="38"/>
      <c r="QEZ18" s="38"/>
      <c r="QFA18" s="38"/>
      <c r="QFB18" s="38"/>
      <c r="QFC18" s="38"/>
      <c r="QFD18" s="38"/>
      <c r="QFE18" s="38"/>
      <c r="QFF18" s="38"/>
      <c r="QFG18" s="38"/>
      <c r="QFH18" s="38"/>
      <c r="QFI18" s="38"/>
      <c r="QFJ18" s="38"/>
      <c r="QFK18" s="38"/>
      <c r="QFL18" s="38"/>
      <c r="QFM18" s="38"/>
      <c r="QFN18" s="38"/>
      <c r="QFO18" s="38"/>
      <c r="QFP18" s="38"/>
      <c r="QFQ18" s="38"/>
      <c r="QFR18" s="38"/>
      <c r="QFS18" s="38"/>
      <c r="QFT18" s="38"/>
      <c r="QFU18" s="38"/>
      <c r="QFV18" s="38"/>
      <c r="QFW18" s="38"/>
      <c r="QFX18" s="38"/>
      <c r="QFY18" s="38"/>
      <c r="QFZ18" s="38"/>
      <c r="QGA18" s="38"/>
      <c r="QGB18" s="38"/>
      <c r="QGC18" s="38"/>
      <c r="QGD18" s="38"/>
      <c r="QGE18" s="38"/>
      <c r="QGF18" s="38"/>
      <c r="QGG18" s="38"/>
      <c r="QGH18" s="38"/>
      <c r="QGI18" s="38"/>
      <c r="QGJ18" s="38"/>
      <c r="QGK18" s="38"/>
      <c r="QGL18" s="38"/>
      <c r="QGM18" s="38"/>
      <c r="QGN18" s="38"/>
      <c r="QGO18" s="38"/>
      <c r="QGP18" s="38"/>
      <c r="QGQ18" s="38"/>
      <c r="QGR18" s="38"/>
      <c r="QGS18" s="38"/>
      <c r="QGT18" s="38"/>
      <c r="QGU18" s="38"/>
      <c r="QGV18" s="38"/>
      <c r="QGW18" s="38"/>
      <c r="QGX18" s="38"/>
      <c r="QGY18" s="38"/>
      <c r="QGZ18" s="38"/>
      <c r="QHA18" s="38"/>
      <c r="QHB18" s="38"/>
      <c r="QHC18" s="38"/>
      <c r="QHD18" s="38"/>
      <c r="QHE18" s="38"/>
      <c r="QHF18" s="38"/>
      <c r="QHG18" s="38"/>
      <c r="QHH18" s="38"/>
      <c r="QHI18" s="38"/>
      <c r="QHJ18" s="38"/>
      <c r="QHK18" s="38"/>
      <c r="QHL18" s="38"/>
      <c r="QHM18" s="38"/>
      <c r="QHN18" s="38"/>
      <c r="QHO18" s="38"/>
      <c r="QHP18" s="38"/>
      <c r="QHQ18" s="38"/>
      <c r="QHR18" s="38"/>
      <c r="QHS18" s="38"/>
      <c r="QHT18" s="38"/>
      <c r="QHU18" s="38"/>
      <c r="QHV18" s="38"/>
      <c r="QHW18" s="38"/>
      <c r="QHX18" s="38"/>
      <c r="QHY18" s="38"/>
      <c r="QHZ18" s="38"/>
      <c r="QIA18" s="38"/>
      <c r="QIB18" s="38"/>
      <c r="QIC18" s="38"/>
      <c r="QID18" s="38"/>
      <c r="QIE18" s="38"/>
      <c r="QIF18" s="38"/>
      <c r="QIG18" s="38"/>
      <c r="QIH18" s="38"/>
      <c r="QII18" s="38"/>
      <c r="QIJ18" s="38"/>
      <c r="QIK18" s="38"/>
      <c r="QIL18" s="38"/>
      <c r="QIM18" s="38"/>
      <c r="QIN18" s="38"/>
      <c r="QIO18" s="38"/>
      <c r="QIP18" s="38"/>
      <c r="QIQ18" s="38"/>
      <c r="QIR18" s="38"/>
      <c r="QIS18" s="38"/>
      <c r="QIT18" s="38"/>
      <c r="QIU18" s="38"/>
      <c r="QIV18" s="38"/>
      <c r="QIW18" s="38"/>
      <c r="QIX18" s="38"/>
      <c r="QIY18" s="38"/>
      <c r="QIZ18" s="38"/>
      <c r="QJA18" s="38"/>
      <c r="QJB18" s="38"/>
      <c r="QJC18" s="38"/>
      <c r="QJD18" s="38"/>
      <c r="QJE18" s="38"/>
      <c r="QJF18" s="38"/>
      <c r="QJG18" s="38"/>
      <c r="QJH18" s="38"/>
      <c r="QJI18" s="38"/>
      <c r="QJJ18" s="38"/>
      <c r="QJK18" s="38"/>
      <c r="QJL18" s="38"/>
      <c r="QJM18" s="38"/>
      <c r="QJN18" s="38"/>
      <c r="QJO18" s="38"/>
      <c r="QJP18" s="38"/>
      <c r="QJQ18" s="38"/>
      <c r="QJR18" s="38"/>
      <c r="QJS18" s="38"/>
      <c r="QJT18" s="38"/>
      <c r="QJU18" s="38"/>
      <c r="QJV18" s="38"/>
      <c r="QJW18" s="38"/>
      <c r="QJX18" s="38"/>
      <c r="QJY18" s="38"/>
      <c r="QJZ18" s="38"/>
      <c r="QKA18" s="38"/>
      <c r="QKB18" s="38"/>
      <c r="QKC18" s="38"/>
      <c r="QKD18" s="38"/>
      <c r="QKE18" s="38"/>
      <c r="QKF18" s="38"/>
      <c r="QKG18" s="38"/>
      <c r="QKH18" s="38"/>
      <c r="QKI18" s="38"/>
      <c r="QKJ18" s="38"/>
      <c r="QKK18" s="38"/>
      <c r="QKL18" s="38"/>
      <c r="QKM18" s="38"/>
      <c r="QKN18" s="38"/>
      <c r="QKO18" s="38"/>
      <c r="QKP18" s="38"/>
      <c r="QKQ18" s="38"/>
      <c r="QKR18" s="38"/>
      <c r="QKS18" s="38"/>
      <c r="QKT18" s="38"/>
      <c r="QKU18" s="38"/>
      <c r="QKV18" s="38"/>
      <c r="QKW18" s="38"/>
      <c r="QKX18" s="38"/>
      <c r="QKY18" s="38"/>
      <c r="QKZ18" s="38"/>
      <c r="QLA18" s="38"/>
      <c r="QLB18" s="38"/>
      <c r="QLC18" s="38"/>
      <c r="QLD18" s="38"/>
      <c r="QLE18" s="38"/>
      <c r="QLF18" s="38"/>
      <c r="QLG18" s="38"/>
      <c r="QLH18" s="38"/>
      <c r="QLI18" s="38"/>
      <c r="QLJ18" s="38"/>
      <c r="QLK18" s="38"/>
      <c r="QLL18" s="38"/>
      <c r="QLM18" s="38"/>
      <c r="QLN18" s="38"/>
      <c r="QLO18" s="38"/>
      <c r="QLP18" s="38"/>
      <c r="QLQ18" s="38"/>
      <c r="QLR18" s="38"/>
      <c r="QLS18" s="38"/>
      <c r="QLT18" s="38"/>
      <c r="QLU18" s="38"/>
      <c r="QLV18" s="38"/>
      <c r="QLW18" s="38"/>
      <c r="QLX18" s="38"/>
      <c r="QLY18" s="38"/>
      <c r="QLZ18" s="38"/>
      <c r="QMA18" s="38"/>
      <c r="QMB18" s="38"/>
      <c r="QMC18" s="38"/>
      <c r="QMD18" s="38"/>
      <c r="QME18" s="38"/>
      <c r="QMF18" s="38"/>
      <c r="QMG18" s="38"/>
      <c r="QMH18" s="38"/>
      <c r="QMI18" s="38"/>
      <c r="QMJ18" s="38"/>
      <c r="QMK18" s="38"/>
      <c r="QML18" s="38"/>
      <c r="QMM18" s="38"/>
      <c r="QMN18" s="38"/>
      <c r="QMO18" s="38"/>
      <c r="QMP18" s="38"/>
      <c r="QMQ18" s="38"/>
      <c r="QMR18" s="38"/>
      <c r="QMS18" s="38"/>
      <c r="QMT18" s="38"/>
      <c r="QMU18" s="38"/>
      <c r="QMV18" s="38"/>
      <c r="QMW18" s="38"/>
      <c r="QMX18" s="38"/>
      <c r="QMY18" s="38"/>
      <c r="QMZ18" s="38"/>
      <c r="QNA18" s="38"/>
      <c r="QNB18" s="38"/>
      <c r="QNC18" s="38"/>
      <c r="QND18" s="38"/>
      <c r="QNE18" s="38"/>
      <c r="QNF18" s="38"/>
      <c r="QNG18" s="38"/>
      <c r="QNH18" s="38"/>
      <c r="QNI18" s="38"/>
      <c r="QNJ18" s="38"/>
      <c r="QNK18" s="38"/>
      <c r="QNL18" s="38"/>
      <c r="QNM18" s="38"/>
      <c r="QNN18" s="38"/>
      <c r="QNO18" s="38"/>
      <c r="QNP18" s="38"/>
      <c r="QNQ18" s="38"/>
      <c r="QNR18" s="38"/>
      <c r="QNS18" s="38"/>
      <c r="QNT18" s="38"/>
      <c r="QNU18" s="38"/>
      <c r="QNV18" s="38"/>
      <c r="QNW18" s="38"/>
      <c r="QNX18" s="38"/>
      <c r="QNY18" s="38"/>
      <c r="QNZ18" s="38"/>
      <c r="QOA18" s="38"/>
      <c r="QOB18" s="38"/>
      <c r="QOC18" s="38"/>
      <c r="QOD18" s="38"/>
      <c r="QOE18" s="38"/>
      <c r="QOF18" s="38"/>
      <c r="QOG18" s="38"/>
      <c r="QOH18" s="38"/>
      <c r="QOI18" s="38"/>
      <c r="QOJ18" s="38"/>
      <c r="QOK18" s="38"/>
      <c r="QOL18" s="38"/>
      <c r="QOM18" s="38"/>
      <c r="QON18" s="38"/>
      <c r="QOO18" s="38"/>
      <c r="QOP18" s="38"/>
      <c r="QOQ18" s="38"/>
      <c r="QOR18" s="38"/>
      <c r="QOS18" s="38"/>
      <c r="QOT18" s="38"/>
      <c r="QOU18" s="38"/>
      <c r="QOV18" s="38"/>
      <c r="QOW18" s="38"/>
      <c r="QOX18" s="38"/>
      <c r="QOY18" s="38"/>
      <c r="QOZ18" s="38"/>
      <c r="QPA18" s="38"/>
      <c r="QPB18" s="38"/>
      <c r="QPC18" s="38"/>
      <c r="QPD18" s="38"/>
      <c r="QPE18" s="38"/>
      <c r="QPF18" s="38"/>
      <c r="QPG18" s="38"/>
      <c r="QPH18" s="38"/>
      <c r="QPI18" s="38"/>
      <c r="QPJ18" s="38"/>
      <c r="QPK18" s="38"/>
      <c r="QPL18" s="38"/>
      <c r="QPM18" s="38"/>
      <c r="QPN18" s="38"/>
      <c r="QPO18" s="38"/>
      <c r="QPP18" s="38"/>
      <c r="QPQ18" s="38"/>
      <c r="QPR18" s="38"/>
      <c r="QPS18" s="38"/>
      <c r="QPT18" s="38"/>
      <c r="QPU18" s="38"/>
      <c r="QPV18" s="38"/>
      <c r="QPW18" s="38"/>
      <c r="QPX18" s="38"/>
      <c r="QPY18" s="38"/>
      <c r="QPZ18" s="38"/>
      <c r="QQA18" s="38"/>
      <c r="QQB18" s="38"/>
      <c r="QQC18" s="38"/>
      <c r="QQD18" s="38"/>
      <c r="QQE18" s="38"/>
      <c r="QQF18" s="38"/>
      <c r="QQG18" s="38"/>
      <c r="QQH18" s="38"/>
      <c r="QQI18" s="38"/>
      <c r="QQJ18" s="38"/>
      <c r="QQK18" s="38"/>
      <c r="QQL18" s="38"/>
      <c r="QQM18" s="38"/>
      <c r="QQN18" s="38"/>
      <c r="QQO18" s="38"/>
      <c r="QQP18" s="38"/>
      <c r="QQQ18" s="38"/>
      <c r="QQR18" s="38"/>
      <c r="QQS18" s="38"/>
      <c r="QQT18" s="38"/>
      <c r="QQU18" s="38"/>
      <c r="QQV18" s="38"/>
      <c r="QQW18" s="38"/>
      <c r="QQX18" s="38"/>
      <c r="QQY18" s="38"/>
      <c r="QQZ18" s="38"/>
      <c r="QRA18" s="38"/>
      <c r="QRB18" s="38"/>
      <c r="QRC18" s="38"/>
      <c r="QRD18" s="38"/>
      <c r="QRE18" s="38"/>
      <c r="QRF18" s="38"/>
      <c r="QRG18" s="38"/>
      <c r="QRH18" s="38"/>
      <c r="QRI18" s="38"/>
      <c r="QRJ18" s="38"/>
      <c r="QRK18" s="38"/>
      <c r="QRL18" s="38"/>
      <c r="QRM18" s="38"/>
      <c r="QRN18" s="38"/>
      <c r="QRO18" s="38"/>
      <c r="QRP18" s="38"/>
      <c r="QRQ18" s="38"/>
      <c r="QRR18" s="38"/>
      <c r="QRS18" s="38"/>
      <c r="QRT18" s="38"/>
      <c r="QRU18" s="38"/>
      <c r="QRV18" s="38"/>
      <c r="QRW18" s="38"/>
      <c r="QRX18" s="38"/>
      <c r="QRY18" s="38"/>
      <c r="QRZ18" s="38"/>
      <c r="QSA18" s="38"/>
      <c r="QSB18" s="38"/>
      <c r="QSC18" s="38"/>
      <c r="QSD18" s="38"/>
      <c r="QSE18" s="38"/>
      <c r="QSF18" s="38"/>
      <c r="QSG18" s="38"/>
      <c r="QSH18" s="38"/>
      <c r="QSI18" s="38"/>
      <c r="QSJ18" s="38"/>
      <c r="QSK18" s="38"/>
      <c r="QSL18" s="38"/>
      <c r="QSM18" s="38"/>
      <c r="QSN18" s="38"/>
      <c r="QSO18" s="38"/>
      <c r="QSP18" s="38"/>
      <c r="QSQ18" s="38"/>
      <c r="QSR18" s="38"/>
      <c r="QSS18" s="38"/>
      <c r="QST18" s="38"/>
      <c r="QSU18" s="38"/>
      <c r="QSV18" s="38"/>
      <c r="QSW18" s="38"/>
      <c r="QSX18" s="38"/>
      <c r="QSY18" s="38"/>
      <c r="QSZ18" s="38"/>
      <c r="QTA18" s="38"/>
      <c r="QTB18" s="38"/>
      <c r="QTC18" s="38"/>
      <c r="QTD18" s="38"/>
      <c r="QTE18" s="38"/>
      <c r="QTF18" s="38"/>
      <c r="QTG18" s="38"/>
      <c r="QTH18" s="38"/>
      <c r="QTI18" s="38"/>
      <c r="QTJ18" s="38"/>
      <c r="QTK18" s="38"/>
      <c r="QTL18" s="38"/>
      <c r="QTM18" s="38"/>
      <c r="QTN18" s="38"/>
      <c r="QTO18" s="38"/>
      <c r="QTP18" s="38"/>
      <c r="QTQ18" s="38"/>
      <c r="QTR18" s="38"/>
      <c r="QTS18" s="38"/>
      <c r="QTT18" s="38"/>
      <c r="QTU18" s="38"/>
      <c r="QTV18" s="38"/>
      <c r="QTW18" s="38"/>
      <c r="QTX18" s="38"/>
      <c r="QTY18" s="38"/>
      <c r="QTZ18" s="38"/>
      <c r="QUA18" s="38"/>
      <c r="QUB18" s="38"/>
      <c r="QUC18" s="38"/>
      <c r="QUD18" s="38"/>
      <c r="QUE18" s="38"/>
      <c r="QUF18" s="38"/>
      <c r="QUG18" s="38"/>
      <c r="QUH18" s="38"/>
      <c r="QUI18" s="38"/>
      <c r="QUJ18" s="38"/>
      <c r="QUK18" s="38"/>
      <c r="QUL18" s="38"/>
      <c r="QUM18" s="38"/>
      <c r="QUN18" s="38"/>
      <c r="QUO18" s="38"/>
      <c r="QUP18" s="38"/>
      <c r="QUQ18" s="38"/>
      <c r="QUR18" s="38"/>
      <c r="QUS18" s="38"/>
      <c r="QUT18" s="38"/>
      <c r="QUU18" s="38"/>
      <c r="QUV18" s="38"/>
      <c r="QUW18" s="38"/>
      <c r="QUX18" s="38"/>
      <c r="QUY18" s="38"/>
      <c r="QUZ18" s="38"/>
      <c r="QVA18" s="38"/>
      <c r="QVB18" s="38"/>
      <c r="QVC18" s="38"/>
      <c r="QVD18" s="38"/>
      <c r="QVE18" s="38"/>
      <c r="QVF18" s="38"/>
      <c r="QVG18" s="38"/>
      <c r="QVH18" s="38"/>
      <c r="QVI18" s="38"/>
      <c r="QVJ18" s="38"/>
      <c r="QVK18" s="38"/>
      <c r="QVL18" s="38"/>
      <c r="QVM18" s="38"/>
      <c r="QVN18" s="38"/>
      <c r="QVO18" s="38"/>
      <c r="QVP18" s="38"/>
      <c r="QVQ18" s="38"/>
      <c r="QVR18" s="38"/>
      <c r="QVS18" s="38"/>
      <c r="QVT18" s="38"/>
      <c r="QVU18" s="38"/>
      <c r="QVV18" s="38"/>
      <c r="QVW18" s="38"/>
      <c r="QVX18" s="38"/>
      <c r="QVY18" s="38"/>
      <c r="QVZ18" s="38"/>
      <c r="QWA18" s="38"/>
      <c r="QWB18" s="38"/>
      <c r="QWC18" s="38"/>
      <c r="QWD18" s="38"/>
      <c r="QWE18" s="38"/>
      <c r="QWF18" s="38"/>
      <c r="QWG18" s="38"/>
      <c r="QWH18" s="38"/>
      <c r="QWI18" s="38"/>
      <c r="QWJ18" s="38"/>
      <c r="QWK18" s="38"/>
      <c r="QWL18" s="38"/>
      <c r="QWM18" s="38"/>
      <c r="QWN18" s="38"/>
      <c r="QWO18" s="38"/>
      <c r="QWP18" s="38"/>
      <c r="QWQ18" s="38"/>
      <c r="QWR18" s="38"/>
      <c r="QWS18" s="38"/>
      <c r="QWT18" s="38"/>
      <c r="QWU18" s="38"/>
      <c r="QWV18" s="38"/>
      <c r="QWW18" s="38"/>
      <c r="QWX18" s="38"/>
      <c r="QWY18" s="38"/>
      <c r="QWZ18" s="38"/>
      <c r="QXA18" s="38"/>
      <c r="QXB18" s="38"/>
      <c r="QXC18" s="38"/>
      <c r="QXD18" s="38"/>
      <c r="QXE18" s="38"/>
      <c r="QXF18" s="38"/>
      <c r="QXG18" s="38"/>
      <c r="QXH18" s="38"/>
      <c r="QXI18" s="38"/>
      <c r="QXJ18" s="38"/>
      <c r="QXK18" s="38"/>
      <c r="QXL18" s="38"/>
      <c r="QXM18" s="38"/>
      <c r="QXN18" s="38"/>
      <c r="QXO18" s="38"/>
      <c r="QXP18" s="38"/>
      <c r="QXQ18" s="38"/>
      <c r="QXR18" s="38"/>
      <c r="QXS18" s="38"/>
      <c r="QXT18" s="38"/>
      <c r="QXU18" s="38"/>
      <c r="QXV18" s="38"/>
      <c r="QXW18" s="38"/>
      <c r="QXX18" s="38"/>
      <c r="QXY18" s="38"/>
      <c r="QXZ18" s="38"/>
      <c r="QYA18" s="38"/>
      <c r="QYB18" s="38"/>
      <c r="QYC18" s="38"/>
      <c r="QYD18" s="38"/>
      <c r="QYE18" s="38"/>
      <c r="QYF18" s="38"/>
      <c r="QYG18" s="38"/>
      <c r="QYH18" s="38"/>
      <c r="QYI18" s="38"/>
      <c r="QYJ18" s="38"/>
      <c r="QYK18" s="38"/>
      <c r="QYL18" s="38"/>
      <c r="QYM18" s="38"/>
      <c r="QYN18" s="38"/>
      <c r="QYO18" s="38"/>
      <c r="QYP18" s="38"/>
      <c r="QYQ18" s="38"/>
      <c r="QYR18" s="38"/>
      <c r="QYS18" s="38"/>
      <c r="QYT18" s="38"/>
      <c r="QYU18" s="38"/>
      <c r="QYV18" s="38"/>
      <c r="QYW18" s="38"/>
      <c r="QYX18" s="38"/>
      <c r="QYY18" s="38"/>
      <c r="QYZ18" s="38"/>
      <c r="QZA18" s="38"/>
      <c r="QZB18" s="38"/>
      <c r="QZC18" s="38"/>
      <c r="QZD18" s="38"/>
      <c r="QZE18" s="38"/>
      <c r="QZF18" s="38"/>
      <c r="QZG18" s="38"/>
      <c r="QZH18" s="38"/>
      <c r="QZI18" s="38"/>
      <c r="QZJ18" s="38"/>
      <c r="QZK18" s="38"/>
      <c r="QZL18" s="38"/>
      <c r="QZM18" s="38"/>
      <c r="QZN18" s="38"/>
      <c r="QZO18" s="38"/>
      <c r="QZP18" s="38"/>
      <c r="QZQ18" s="38"/>
      <c r="QZR18" s="38"/>
      <c r="QZS18" s="38"/>
      <c r="QZT18" s="38"/>
      <c r="QZU18" s="38"/>
      <c r="QZV18" s="38"/>
      <c r="QZW18" s="38"/>
      <c r="QZX18" s="38"/>
      <c r="QZY18" s="38"/>
      <c r="QZZ18" s="38"/>
      <c r="RAA18" s="38"/>
      <c r="RAB18" s="38"/>
      <c r="RAC18" s="38"/>
      <c r="RAD18" s="38"/>
      <c r="RAE18" s="38"/>
      <c r="RAF18" s="38"/>
      <c r="RAG18" s="38"/>
      <c r="RAH18" s="38"/>
      <c r="RAI18" s="38"/>
      <c r="RAJ18" s="38"/>
      <c r="RAK18" s="38"/>
      <c r="RAL18" s="38"/>
      <c r="RAM18" s="38"/>
      <c r="RAN18" s="38"/>
      <c r="RAO18" s="38"/>
      <c r="RAP18" s="38"/>
      <c r="RAQ18" s="38"/>
      <c r="RAR18" s="38"/>
      <c r="RAS18" s="38"/>
      <c r="RAT18" s="38"/>
      <c r="RAU18" s="38"/>
      <c r="RAV18" s="38"/>
      <c r="RAW18" s="38"/>
      <c r="RAX18" s="38"/>
      <c r="RAY18" s="38"/>
      <c r="RAZ18" s="38"/>
      <c r="RBA18" s="38"/>
      <c r="RBB18" s="38"/>
      <c r="RBC18" s="38"/>
      <c r="RBD18" s="38"/>
      <c r="RBE18" s="38"/>
      <c r="RBF18" s="38"/>
      <c r="RBG18" s="38"/>
      <c r="RBH18" s="38"/>
      <c r="RBI18" s="38"/>
      <c r="RBJ18" s="38"/>
      <c r="RBK18" s="38"/>
      <c r="RBL18" s="38"/>
      <c r="RBM18" s="38"/>
      <c r="RBN18" s="38"/>
      <c r="RBO18" s="38"/>
      <c r="RBP18" s="38"/>
      <c r="RBQ18" s="38"/>
      <c r="RBR18" s="38"/>
      <c r="RBS18" s="38"/>
      <c r="RBT18" s="38"/>
      <c r="RBU18" s="38"/>
      <c r="RBV18" s="38"/>
      <c r="RBW18" s="38"/>
      <c r="RBX18" s="38"/>
      <c r="RBY18" s="38"/>
      <c r="RBZ18" s="38"/>
      <c r="RCA18" s="38"/>
      <c r="RCB18" s="38"/>
      <c r="RCC18" s="38"/>
      <c r="RCD18" s="38"/>
      <c r="RCE18" s="38"/>
      <c r="RCF18" s="38"/>
      <c r="RCG18" s="38"/>
      <c r="RCH18" s="38"/>
      <c r="RCI18" s="38"/>
      <c r="RCJ18" s="38"/>
      <c r="RCK18" s="38"/>
      <c r="RCL18" s="38"/>
      <c r="RCM18" s="38"/>
      <c r="RCN18" s="38"/>
      <c r="RCO18" s="38"/>
      <c r="RCP18" s="38"/>
      <c r="RCQ18" s="38"/>
      <c r="RCR18" s="38"/>
      <c r="RCS18" s="38"/>
      <c r="RCT18" s="38"/>
      <c r="RCU18" s="38"/>
      <c r="RCV18" s="38"/>
      <c r="RCW18" s="38"/>
      <c r="RCX18" s="38"/>
      <c r="RCY18" s="38"/>
      <c r="RCZ18" s="38"/>
      <c r="RDA18" s="38"/>
      <c r="RDB18" s="38"/>
      <c r="RDC18" s="38"/>
      <c r="RDD18" s="38"/>
      <c r="RDE18" s="38"/>
      <c r="RDF18" s="38"/>
      <c r="RDG18" s="38"/>
      <c r="RDH18" s="38"/>
      <c r="RDI18" s="38"/>
      <c r="RDJ18" s="38"/>
      <c r="RDK18" s="38"/>
      <c r="RDL18" s="38"/>
      <c r="RDM18" s="38"/>
      <c r="RDN18" s="38"/>
      <c r="RDO18" s="38"/>
      <c r="RDP18" s="38"/>
      <c r="RDQ18" s="38"/>
      <c r="RDR18" s="38"/>
      <c r="RDS18" s="38"/>
      <c r="RDT18" s="38"/>
      <c r="RDU18" s="38"/>
      <c r="RDV18" s="38"/>
      <c r="RDW18" s="38"/>
      <c r="RDX18" s="38"/>
      <c r="RDY18" s="38"/>
      <c r="RDZ18" s="38"/>
      <c r="REA18" s="38"/>
      <c r="REB18" s="38"/>
      <c r="REC18" s="38"/>
      <c r="RED18" s="38"/>
      <c r="REE18" s="38"/>
      <c r="REF18" s="38"/>
      <c r="REG18" s="38"/>
      <c r="REH18" s="38"/>
      <c r="REI18" s="38"/>
      <c r="REJ18" s="38"/>
      <c r="REK18" s="38"/>
      <c r="REL18" s="38"/>
      <c r="REM18" s="38"/>
      <c r="REN18" s="38"/>
      <c r="REO18" s="38"/>
      <c r="REP18" s="38"/>
      <c r="REQ18" s="38"/>
      <c r="RER18" s="38"/>
      <c r="RES18" s="38"/>
      <c r="RET18" s="38"/>
      <c r="REU18" s="38"/>
      <c r="REV18" s="38"/>
      <c r="REW18" s="38"/>
      <c r="REX18" s="38"/>
      <c r="REY18" s="38"/>
      <c r="REZ18" s="38"/>
      <c r="RFA18" s="38"/>
      <c r="RFB18" s="38"/>
      <c r="RFC18" s="38"/>
      <c r="RFD18" s="38"/>
      <c r="RFE18" s="38"/>
      <c r="RFF18" s="38"/>
      <c r="RFG18" s="38"/>
      <c r="RFH18" s="38"/>
      <c r="RFI18" s="38"/>
      <c r="RFJ18" s="38"/>
      <c r="RFK18" s="38"/>
      <c r="RFL18" s="38"/>
      <c r="RFM18" s="38"/>
      <c r="RFN18" s="38"/>
      <c r="RFO18" s="38"/>
      <c r="RFP18" s="38"/>
      <c r="RFQ18" s="38"/>
      <c r="RFR18" s="38"/>
      <c r="RFS18" s="38"/>
      <c r="RFT18" s="38"/>
      <c r="RFU18" s="38"/>
      <c r="RFV18" s="38"/>
      <c r="RFW18" s="38"/>
      <c r="RFX18" s="38"/>
      <c r="RFY18" s="38"/>
      <c r="RFZ18" s="38"/>
      <c r="RGA18" s="38"/>
      <c r="RGB18" s="38"/>
      <c r="RGC18" s="38"/>
      <c r="RGD18" s="38"/>
      <c r="RGE18" s="38"/>
      <c r="RGF18" s="38"/>
      <c r="RGG18" s="38"/>
      <c r="RGH18" s="38"/>
      <c r="RGI18" s="38"/>
      <c r="RGJ18" s="38"/>
      <c r="RGK18" s="38"/>
      <c r="RGL18" s="38"/>
      <c r="RGM18" s="38"/>
      <c r="RGN18" s="38"/>
      <c r="RGO18" s="38"/>
      <c r="RGP18" s="38"/>
      <c r="RGQ18" s="38"/>
      <c r="RGR18" s="38"/>
      <c r="RGS18" s="38"/>
      <c r="RGT18" s="38"/>
      <c r="RGU18" s="38"/>
      <c r="RGV18" s="38"/>
      <c r="RGW18" s="38"/>
      <c r="RGX18" s="38"/>
      <c r="RGY18" s="38"/>
      <c r="RGZ18" s="38"/>
      <c r="RHA18" s="38"/>
      <c r="RHB18" s="38"/>
      <c r="RHC18" s="38"/>
      <c r="RHD18" s="38"/>
      <c r="RHE18" s="38"/>
      <c r="RHF18" s="38"/>
      <c r="RHG18" s="38"/>
      <c r="RHH18" s="38"/>
      <c r="RHI18" s="38"/>
      <c r="RHJ18" s="38"/>
      <c r="RHK18" s="38"/>
      <c r="RHL18" s="38"/>
      <c r="RHM18" s="38"/>
      <c r="RHN18" s="38"/>
      <c r="RHO18" s="38"/>
      <c r="RHP18" s="38"/>
      <c r="RHQ18" s="38"/>
      <c r="RHR18" s="38"/>
      <c r="RHS18" s="38"/>
      <c r="RHT18" s="38"/>
      <c r="RHU18" s="38"/>
      <c r="RHV18" s="38"/>
      <c r="RHW18" s="38"/>
      <c r="RHX18" s="38"/>
      <c r="RHY18" s="38"/>
      <c r="RHZ18" s="38"/>
      <c r="RIA18" s="38"/>
      <c r="RIB18" s="38"/>
      <c r="RIC18" s="38"/>
      <c r="RID18" s="38"/>
      <c r="RIE18" s="38"/>
      <c r="RIF18" s="38"/>
      <c r="RIG18" s="38"/>
      <c r="RIH18" s="38"/>
      <c r="RII18" s="38"/>
      <c r="RIJ18" s="38"/>
      <c r="RIK18" s="38"/>
      <c r="RIL18" s="38"/>
      <c r="RIM18" s="38"/>
      <c r="RIN18" s="38"/>
      <c r="RIO18" s="38"/>
      <c r="RIP18" s="38"/>
      <c r="RIQ18" s="38"/>
      <c r="RIR18" s="38"/>
      <c r="RIS18" s="38"/>
      <c r="RIT18" s="38"/>
      <c r="RIU18" s="38"/>
      <c r="RIV18" s="38"/>
      <c r="RIW18" s="38"/>
      <c r="RIX18" s="38"/>
      <c r="RIY18" s="38"/>
      <c r="RIZ18" s="38"/>
      <c r="RJA18" s="38"/>
      <c r="RJB18" s="38"/>
      <c r="RJC18" s="38"/>
      <c r="RJD18" s="38"/>
      <c r="RJE18" s="38"/>
      <c r="RJF18" s="38"/>
      <c r="RJG18" s="38"/>
      <c r="RJH18" s="38"/>
      <c r="RJI18" s="38"/>
      <c r="RJJ18" s="38"/>
      <c r="RJK18" s="38"/>
      <c r="RJL18" s="38"/>
      <c r="RJM18" s="38"/>
      <c r="RJN18" s="38"/>
      <c r="RJO18" s="38"/>
      <c r="RJP18" s="38"/>
      <c r="RJQ18" s="38"/>
      <c r="RJR18" s="38"/>
      <c r="RJS18" s="38"/>
      <c r="RJT18" s="38"/>
      <c r="RJU18" s="38"/>
      <c r="RJV18" s="38"/>
      <c r="RJW18" s="38"/>
      <c r="RJX18" s="38"/>
      <c r="RJY18" s="38"/>
      <c r="RJZ18" s="38"/>
      <c r="RKA18" s="38"/>
      <c r="RKB18" s="38"/>
      <c r="RKC18" s="38"/>
      <c r="RKD18" s="38"/>
      <c r="RKE18" s="38"/>
      <c r="RKF18" s="38"/>
      <c r="RKG18" s="38"/>
      <c r="RKH18" s="38"/>
      <c r="RKI18" s="38"/>
      <c r="RKJ18" s="38"/>
      <c r="RKK18" s="38"/>
      <c r="RKL18" s="38"/>
      <c r="RKM18" s="38"/>
      <c r="RKN18" s="38"/>
      <c r="RKO18" s="38"/>
      <c r="RKP18" s="38"/>
      <c r="RKQ18" s="38"/>
      <c r="RKR18" s="38"/>
      <c r="RKS18" s="38"/>
      <c r="RKT18" s="38"/>
      <c r="RKU18" s="38"/>
      <c r="RKV18" s="38"/>
      <c r="RKW18" s="38"/>
      <c r="RKX18" s="38"/>
      <c r="RKY18" s="38"/>
      <c r="RKZ18" s="38"/>
      <c r="RLA18" s="38"/>
      <c r="RLB18" s="38"/>
      <c r="RLC18" s="38"/>
      <c r="RLD18" s="38"/>
      <c r="RLE18" s="38"/>
      <c r="RLF18" s="38"/>
      <c r="RLG18" s="38"/>
      <c r="RLH18" s="38"/>
      <c r="RLI18" s="38"/>
      <c r="RLJ18" s="38"/>
      <c r="RLK18" s="38"/>
      <c r="RLL18" s="38"/>
      <c r="RLM18" s="38"/>
      <c r="RLN18" s="38"/>
      <c r="RLO18" s="38"/>
      <c r="RLP18" s="38"/>
      <c r="RLQ18" s="38"/>
      <c r="RLR18" s="38"/>
      <c r="RLS18" s="38"/>
      <c r="RLT18" s="38"/>
      <c r="RLU18" s="38"/>
      <c r="RLV18" s="38"/>
      <c r="RLW18" s="38"/>
      <c r="RLX18" s="38"/>
      <c r="RLY18" s="38"/>
      <c r="RLZ18" s="38"/>
      <c r="RMA18" s="38"/>
      <c r="RMB18" s="38"/>
      <c r="RMC18" s="38"/>
      <c r="RMD18" s="38"/>
      <c r="RME18" s="38"/>
      <c r="RMF18" s="38"/>
      <c r="RMG18" s="38"/>
      <c r="RMH18" s="38"/>
      <c r="RMI18" s="38"/>
      <c r="RMJ18" s="38"/>
      <c r="RMK18" s="38"/>
      <c r="RML18" s="38"/>
      <c r="RMM18" s="38"/>
      <c r="RMN18" s="38"/>
      <c r="RMO18" s="38"/>
      <c r="RMP18" s="38"/>
      <c r="RMQ18" s="38"/>
      <c r="RMR18" s="38"/>
      <c r="RMS18" s="38"/>
      <c r="RMT18" s="38"/>
      <c r="RMU18" s="38"/>
      <c r="RMV18" s="38"/>
      <c r="RMW18" s="38"/>
      <c r="RMX18" s="38"/>
      <c r="RMY18" s="38"/>
      <c r="RMZ18" s="38"/>
      <c r="RNA18" s="38"/>
      <c r="RNB18" s="38"/>
      <c r="RNC18" s="38"/>
      <c r="RND18" s="38"/>
      <c r="RNE18" s="38"/>
      <c r="RNF18" s="38"/>
      <c r="RNG18" s="38"/>
      <c r="RNH18" s="38"/>
      <c r="RNI18" s="38"/>
      <c r="RNJ18" s="38"/>
      <c r="RNK18" s="38"/>
      <c r="RNL18" s="38"/>
      <c r="RNM18" s="38"/>
      <c r="RNN18" s="38"/>
      <c r="RNO18" s="38"/>
      <c r="RNP18" s="38"/>
      <c r="RNQ18" s="38"/>
      <c r="RNR18" s="38"/>
      <c r="RNS18" s="38"/>
      <c r="RNT18" s="38"/>
      <c r="RNU18" s="38"/>
      <c r="RNV18" s="38"/>
      <c r="RNW18" s="38"/>
      <c r="RNX18" s="38"/>
      <c r="RNY18" s="38"/>
      <c r="RNZ18" s="38"/>
      <c r="ROA18" s="38"/>
      <c r="ROB18" s="38"/>
      <c r="ROC18" s="38"/>
      <c r="ROD18" s="38"/>
      <c r="ROE18" s="38"/>
      <c r="ROF18" s="38"/>
      <c r="ROG18" s="38"/>
      <c r="ROH18" s="38"/>
      <c r="ROI18" s="38"/>
      <c r="ROJ18" s="38"/>
      <c r="ROK18" s="38"/>
      <c r="ROL18" s="38"/>
      <c r="ROM18" s="38"/>
      <c r="RON18" s="38"/>
      <c r="ROO18" s="38"/>
      <c r="ROP18" s="38"/>
      <c r="ROQ18" s="38"/>
      <c r="ROR18" s="38"/>
      <c r="ROS18" s="38"/>
      <c r="ROT18" s="38"/>
      <c r="ROU18" s="38"/>
      <c r="ROV18" s="38"/>
      <c r="ROW18" s="38"/>
      <c r="ROX18" s="38"/>
      <c r="ROY18" s="38"/>
      <c r="ROZ18" s="38"/>
      <c r="RPA18" s="38"/>
      <c r="RPB18" s="38"/>
      <c r="RPC18" s="38"/>
      <c r="RPD18" s="38"/>
      <c r="RPE18" s="38"/>
      <c r="RPF18" s="38"/>
      <c r="RPG18" s="38"/>
      <c r="RPH18" s="38"/>
      <c r="RPI18" s="38"/>
      <c r="RPJ18" s="38"/>
      <c r="RPK18" s="38"/>
      <c r="RPL18" s="38"/>
      <c r="RPM18" s="38"/>
      <c r="RPN18" s="38"/>
      <c r="RPO18" s="38"/>
      <c r="RPP18" s="38"/>
      <c r="RPQ18" s="38"/>
      <c r="RPR18" s="38"/>
      <c r="RPS18" s="38"/>
      <c r="RPT18" s="38"/>
      <c r="RPU18" s="38"/>
      <c r="RPV18" s="38"/>
      <c r="RPW18" s="38"/>
      <c r="RPX18" s="38"/>
      <c r="RPY18" s="38"/>
      <c r="RPZ18" s="38"/>
      <c r="RQA18" s="38"/>
      <c r="RQB18" s="38"/>
      <c r="RQC18" s="38"/>
      <c r="RQD18" s="38"/>
      <c r="RQE18" s="38"/>
      <c r="RQF18" s="38"/>
      <c r="RQG18" s="38"/>
      <c r="RQH18" s="38"/>
      <c r="RQI18" s="38"/>
      <c r="RQJ18" s="38"/>
      <c r="RQK18" s="38"/>
      <c r="RQL18" s="38"/>
      <c r="RQM18" s="38"/>
      <c r="RQN18" s="38"/>
      <c r="RQO18" s="38"/>
      <c r="RQP18" s="38"/>
      <c r="RQQ18" s="38"/>
      <c r="RQR18" s="38"/>
      <c r="RQS18" s="38"/>
      <c r="RQT18" s="38"/>
      <c r="RQU18" s="38"/>
      <c r="RQV18" s="38"/>
      <c r="RQW18" s="38"/>
      <c r="RQX18" s="38"/>
      <c r="RQY18" s="38"/>
      <c r="RQZ18" s="38"/>
      <c r="RRA18" s="38"/>
      <c r="RRB18" s="38"/>
      <c r="RRC18" s="38"/>
      <c r="RRD18" s="38"/>
      <c r="RRE18" s="38"/>
      <c r="RRF18" s="38"/>
      <c r="RRG18" s="38"/>
      <c r="RRH18" s="38"/>
      <c r="RRI18" s="38"/>
      <c r="RRJ18" s="38"/>
      <c r="RRK18" s="38"/>
      <c r="RRL18" s="38"/>
      <c r="RRM18" s="38"/>
      <c r="RRN18" s="38"/>
      <c r="RRO18" s="38"/>
      <c r="RRP18" s="38"/>
      <c r="RRQ18" s="38"/>
      <c r="RRR18" s="38"/>
      <c r="RRS18" s="38"/>
      <c r="RRT18" s="38"/>
      <c r="RRU18" s="38"/>
      <c r="RRV18" s="38"/>
      <c r="RRW18" s="38"/>
      <c r="RRX18" s="38"/>
      <c r="RRY18" s="38"/>
      <c r="RRZ18" s="38"/>
      <c r="RSA18" s="38"/>
      <c r="RSB18" s="38"/>
      <c r="RSC18" s="38"/>
      <c r="RSD18" s="38"/>
      <c r="RSE18" s="38"/>
      <c r="RSF18" s="38"/>
      <c r="RSG18" s="38"/>
      <c r="RSH18" s="38"/>
      <c r="RSI18" s="38"/>
      <c r="RSJ18" s="38"/>
      <c r="RSK18" s="38"/>
      <c r="RSL18" s="38"/>
      <c r="RSM18" s="38"/>
      <c r="RSN18" s="38"/>
      <c r="RSO18" s="38"/>
      <c r="RSP18" s="38"/>
      <c r="RSQ18" s="38"/>
      <c r="RSR18" s="38"/>
      <c r="RSS18" s="38"/>
      <c r="RST18" s="38"/>
      <c r="RSU18" s="38"/>
      <c r="RSV18" s="38"/>
      <c r="RSW18" s="38"/>
      <c r="RSX18" s="38"/>
      <c r="RSY18" s="38"/>
      <c r="RSZ18" s="38"/>
      <c r="RTA18" s="38"/>
      <c r="RTB18" s="38"/>
      <c r="RTC18" s="38"/>
      <c r="RTD18" s="38"/>
      <c r="RTE18" s="38"/>
      <c r="RTF18" s="38"/>
      <c r="RTG18" s="38"/>
      <c r="RTH18" s="38"/>
      <c r="RTI18" s="38"/>
      <c r="RTJ18" s="38"/>
      <c r="RTK18" s="38"/>
      <c r="RTL18" s="38"/>
      <c r="RTM18" s="38"/>
      <c r="RTN18" s="38"/>
      <c r="RTO18" s="38"/>
      <c r="RTP18" s="38"/>
      <c r="RTQ18" s="38"/>
      <c r="RTR18" s="38"/>
      <c r="RTS18" s="38"/>
      <c r="RTT18" s="38"/>
      <c r="RTU18" s="38"/>
      <c r="RTV18" s="38"/>
      <c r="RTW18" s="38"/>
      <c r="RTX18" s="38"/>
      <c r="RTY18" s="38"/>
      <c r="RTZ18" s="38"/>
      <c r="RUA18" s="38"/>
      <c r="RUB18" s="38"/>
      <c r="RUC18" s="38"/>
      <c r="RUD18" s="38"/>
      <c r="RUE18" s="38"/>
      <c r="RUF18" s="38"/>
      <c r="RUG18" s="38"/>
      <c r="RUH18" s="38"/>
      <c r="RUI18" s="38"/>
      <c r="RUJ18" s="38"/>
      <c r="RUK18" s="38"/>
      <c r="RUL18" s="38"/>
      <c r="RUM18" s="38"/>
      <c r="RUN18" s="38"/>
      <c r="RUO18" s="38"/>
      <c r="RUP18" s="38"/>
      <c r="RUQ18" s="38"/>
      <c r="RUR18" s="38"/>
      <c r="RUS18" s="38"/>
      <c r="RUT18" s="38"/>
      <c r="RUU18" s="38"/>
      <c r="RUV18" s="38"/>
      <c r="RUW18" s="38"/>
      <c r="RUX18" s="38"/>
      <c r="RUY18" s="38"/>
      <c r="RUZ18" s="38"/>
      <c r="RVA18" s="38"/>
      <c r="RVB18" s="38"/>
      <c r="RVC18" s="38"/>
      <c r="RVD18" s="38"/>
      <c r="RVE18" s="38"/>
      <c r="RVF18" s="38"/>
      <c r="RVG18" s="38"/>
      <c r="RVH18" s="38"/>
      <c r="RVI18" s="38"/>
      <c r="RVJ18" s="38"/>
      <c r="RVK18" s="38"/>
      <c r="RVL18" s="38"/>
      <c r="RVM18" s="38"/>
      <c r="RVN18" s="38"/>
      <c r="RVO18" s="38"/>
      <c r="RVP18" s="38"/>
      <c r="RVQ18" s="38"/>
      <c r="RVR18" s="38"/>
      <c r="RVS18" s="38"/>
      <c r="RVT18" s="38"/>
      <c r="RVU18" s="38"/>
      <c r="RVV18" s="38"/>
      <c r="RVW18" s="38"/>
      <c r="RVX18" s="38"/>
      <c r="RVY18" s="38"/>
      <c r="RVZ18" s="38"/>
      <c r="RWA18" s="38"/>
      <c r="RWB18" s="38"/>
      <c r="RWC18" s="38"/>
      <c r="RWD18" s="38"/>
      <c r="RWE18" s="38"/>
      <c r="RWF18" s="38"/>
      <c r="RWG18" s="38"/>
      <c r="RWH18" s="38"/>
      <c r="RWI18" s="38"/>
      <c r="RWJ18" s="38"/>
      <c r="RWK18" s="38"/>
      <c r="RWL18" s="38"/>
      <c r="RWM18" s="38"/>
      <c r="RWN18" s="38"/>
      <c r="RWO18" s="38"/>
      <c r="RWP18" s="38"/>
      <c r="RWQ18" s="38"/>
      <c r="RWR18" s="38"/>
      <c r="RWS18" s="38"/>
      <c r="RWT18" s="38"/>
      <c r="RWU18" s="38"/>
      <c r="RWV18" s="38"/>
      <c r="RWW18" s="38"/>
      <c r="RWX18" s="38"/>
      <c r="RWY18" s="38"/>
      <c r="RWZ18" s="38"/>
      <c r="RXA18" s="38"/>
      <c r="RXB18" s="38"/>
      <c r="RXC18" s="38"/>
      <c r="RXD18" s="38"/>
      <c r="RXE18" s="38"/>
      <c r="RXF18" s="38"/>
      <c r="RXG18" s="38"/>
      <c r="RXH18" s="38"/>
      <c r="RXI18" s="38"/>
      <c r="RXJ18" s="38"/>
      <c r="RXK18" s="38"/>
      <c r="RXL18" s="38"/>
      <c r="RXM18" s="38"/>
      <c r="RXN18" s="38"/>
      <c r="RXO18" s="38"/>
      <c r="RXP18" s="38"/>
      <c r="RXQ18" s="38"/>
      <c r="RXR18" s="38"/>
      <c r="RXS18" s="38"/>
      <c r="RXT18" s="38"/>
      <c r="RXU18" s="38"/>
      <c r="RXV18" s="38"/>
      <c r="RXW18" s="38"/>
      <c r="RXX18" s="38"/>
      <c r="RXY18" s="38"/>
      <c r="RXZ18" s="38"/>
      <c r="RYA18" s="38"/>
      <c r="RYB18" s="38"/>
      <c r="RYC18" s="38"/>
      <c r="RYD18" s="38"/>
      <c r="RYE18" s="38"/>
      <c r="RYF18" s="38"/>
      <c r="RYG18" s="38"/>
      <c r="RYH18" s="38"/>
      <c r="RYI18" s="38"/>
      <c r="RYJ18" s="38"/>
      <c r="RYK18" s="38"/>
      <c r="RYL18" s="38"/>
      <c r="RYM18" s="38"/>
      <c r="RYN18" s="38"/>
      <c r="RYO18" s="38"/>
      <c r="RYP18" s="38"/>
      <c r="RYQ18" s="38"/>
      <c r="RYR18" s="38"/>
      <c r="RYS18" s="38"/>
      <c r="RYT18" s="38"/>
      <c r="RYU18" s="38"/>
      <c r="RYV18" s="38"/>
      <c r="RYW18" s="38"/>
      <c r="RYX18" s="38"/>
      <c r="RYY18" s="38"/>
      <c r="RYZ18" s="38"/>
      <c r="RZA18" s="38"/>
      <c r="RZB18" s="38"/>
      <c r="RZC18" s="38"/>
      <c r="RZD18" s="38"/>
      <c r="RZE18" s="38"/>
      <c r="RZF18" s="38"/>
      <c r="RZG18" s="38"/>
      <c r="RZH18" s="38"/>
      <c r="RZI18" s="38"/>
      <c r="RZJ18" s="38"/>
      <c r="RZK18" s="38"/>
      <c r="RZL18" s="38"/>
      <c r="RZM18" s="38"/>
      <c r="RZN18" s="38"/>
      <c r="RZO18" s="38"/>
      <c r="RZP18" s="38"/>
      <c r="RZQ18" s="38"/>
      <c r="RZR18" s="38"/>
      <c r="RZS18" s="38"/>
      <c r="RZT18" s="38"/>
      <c r="RZU18" s="38"/>
      <c r="RZV18" s="38"/>
      <c r="RZW18" s="38"/>
      <c r="RZX18" s="38"/>
      <c r="RZY18" s="38"/>
      <c r="RZZ18" s="38"/>
      <c r="SAA18" s="38"/>
      <c r="SAB18" s="38"/>
      <c r="SAC18" s="38"/>
      <c r="SAD18" s="38"/>
      <c r="SAE18" s="38"/>
      <c r="SAF18" s="38"/>
      <c r="SAG18" s="38"/>
      <c r="SAH18" s="38"/>
      <c r="SAI18" s="38"/>
      <c r="SAJ18" s="38"/>
      <c r="SAK18" s="38"/>
      <c r="SAL18" s="38"/>
      <c r="SAM18" s="38"/>
      <c r="SAN18" s="38"/>
      <c r="SAO18" s="38"/>
      <c r="SAP18" s="38"/>
      <c r="SAQ18" s="38"/>
      <c r="SAR18" s="38"/>
      <c r="SAS18" s="38"/>
      <c r="SAT18" s="38"/>
      <c r="SAU18" s="38"/>
      <c r="SAV18" s="38"/>
      <c r="SAW18" s="38"/>
      <c r="SAX18" s="38"/>
      <c r="SAY18" s="38"/>
      <c r="SAZ18" s="38"/>
      <c r="SBA18" s="38"/>
      <c r="SBB18" s="38"/>
      <c r="SBC18" s="38"/>
      <c r="SBD18" s="38"/>
      <c r="SBE18" s="38"/>
      <c r="SBF18" s="38"/>
      <c r="SBG18" s="38"/>
      <c r="SBH18" s="38"/>
      <c r="SBI18" s="38"/>
      <c r="SBJ18" s="38"/>
      <c r="SBK18" s="38"/>
      <c r="SBL18" s="38"/>
      <c r="SBM18" s="38"/>
      <c r="SBN18" s="38"/>
      <c r="SBO18" s="38"/>
      <c r="SBP18" s="38"/>
      <c r="SBQ18" s="38"/>
      <c r="SBR18" s="38"/>
      <c r="SBS18" s="38"/>
      <c r="SBT18" s="38"/>
      <c r="SBU18" s="38"/>
      <c r="SBV18" s="38"/>
      <c r="SBW18" s="38"/>
      <c r="SBX18" s="38"/>
      <c r="SBY18" s="38"/>
      <c r="SBZ18" s="38"/>
      <c r="SCA18" s="38"/>
      <c r="SCB18" s="38"/>
      <c r="SCC18" s="38"/>
      <c r="SCD18" s="38"/>
      <c r="SCE18" s="38"/>
      <c r="SCF18" s="38"/>
      <c r="SCG18" s="38"/>
      <c r="SCH18" s="38"/>
      <c r="SCI18" s="38"/>
      <c r="SCJ18" s="38"/>
      <c r="SCK18" s="38"/>
      <c r="SCL18" s="38"/>
      <c r="SCM18" s="38"/>
      <c r="SCN18" s="38"/>
      <c r="SCO18" s="38"/>
      <c r="SCP18" s="38"/>
      <c r="SCQ18" s="38"/>
      <c r="SCR18" s="38"/>
      <c r="SCS18" s="38"/>
      <c r="SCT18" s="38"/>
      <c r="SCU18" s="38"/>
      <c r="SCV18" s="38"/>
      <c r="SCW18" s="38"/>
      <c r="SCX18" s="38"/>
      <c r="SCY18" s="38"/>
      <c r="SCZ18" s="38"/>
      <c r="SDA18" s="38"/>
      <c r="SDB18" s="38"/>
      <c r="SDC18" s="38"/>
      <c r="SDD18" s="38"/>
      <c r="SDE18" s="38"/>
      <c r="SDF18" s="38"/>
      <c r="SDG18" s="38"/>
      <c r="SDH18" s="38"/>
      <c r="SDI18" s="38"/>
      <c r="SDJ18" s="38"/>
      <c r="SDK18" s="38"/>
      <c r="SDL18" s="38"/>
      <c r="SDM18" s="38"/>
      <c r="SDN18" s="38"/>
      <c r="SDO18" s="38"/>
      <c r="SDP18" s="38"/>
      <c r="SDQ18" s="38"/>
      <c r="SDR18" s="38"/>
      <c r="SDS18" s="38"/>
      <c r="SDT18" s="38"/>
      <c r="SDU18" s="38"/>
      <c r="SDV18" s="38"/>
      <c r="SDW18" s="38"/>
      <c r="SDX18" s="38"/>
      <c r="SDY18" s="38"/>
      <c r="SDZ18" s="38"/>
      <c r="SEA18" s="38"/>
      <c r="SEB18" s="38"/>
      <c r="SEC18" s="38"/>
      <c r="SED18" s="38"/>
      <c r="SEE18" s="38"/>
      <c r="SEF18" s="38"/>
      <c r="SEG18" s="38"/>
      <c r="SEH18" s="38"/>
      <c r="SEI18" s="38"/>
      <c r="SEJ18" s="38"/>
      <c r="SEK18" s="38"/>
      <c r="SEL18" s="38"/>
      <c r="SEM18" s="38"/>
      <c r="SEN18" s="38"/>
      <c r="SEO18" s="38"/>
      <c r="SEP18" s="38"/>
      <c r="SEQ18" s="38"/>
      <c r="SER18" s="38"/>
      <c r="SES18" s="38"/>
      <c r="SET18" s="38"/>
      <c r="SEU18" s="38"/>
      <c r="SEV18" s="38"/>
      <c r="SEW18" s="38"/>
      <c r="SEX18" s="38"/>
      <c r="SEY18" s="38"/>
      <c r="SEZ18" s="38"/>
      <c r="SFA18" s="38"/>
      <c r="SFB18" s="38"/>
      <c r="SFC18" s="38"/>
      <c r="SFD18" s="38"/>
      <c r="SFE18" s="38"/>
      <c r="SFF18" s="38"/>
      <c r="SFG18" s="38"/>
      <c r="SFH18" s="38"/>
      <c r="SFI18" s="38"/>
      <c r="SFJ18" s="38"/>
      <c r="SFK18" s="38"/>
      <c r="SFL18" s="38"/>
      <c r="SFM18" s="38"/>
      <c r="SFN18" s="38"/>
      <c r="SFO18" s="38"/>
      <c r="SFP18" s="38"/>
      <c r="SFQ18" s="38"/>
      <c r="SFR18" s="38"/>
      <c r="SFS18" s="38"/>
      <c r="SFT18" s="38"/>
      <c r="SFU18" s="38"/>
      <c r="SFV18" s="38"/>
      <c r="SFW18" s="38"/>
      <c r="SFX18" s="38"/>
      <c r="SFY18" s="38"/>
      <c r="SFZ18" s="38"/>
      <c r="SGA18" s="38"/>
      <c r="SGB18" s="38"/>
      <c r="SGC18" s="38"/>
      <c r="SGD18" s="38"/>
      <c r="SGE18" s="38"/>
      <c r="SGF18" s="38"/>
      <c r="SGG18" s="38"/>
      <c r="SGH18" s="38"/>
      <c r="SGI18" s="38"/>
      <c r="SGJ18" s="38"/>
      <c r="SGK18" s="38"/>
      <c r="SGL18" s="38"/>
      <c r="SGM18" s="38"/>
      <c r="SGN18" s="38"/>
      <c r="SGO18" s="38"/>
      <c r="SGP18" s="38"/>
      <c r="SGQ18" s="38"/>
      <c r="SGR18" s="38"/>
      <c r="SGS18" s="38"/>
      <c r="SGT18" s="38"/>
      <c r="SGU18" s="38"/>
      <c r="SGV18" s="38"/>
      <c r="SGW18" s="38"/>
      <c r="SGX18" s="38"/>
      <c r="SGY18" s="38"/>
      <c r="SGZ18" s="38"/>
      <c r="SHA18" s="38"/>
      <c r="SHB18" s="38"/>
      <c r="SHC18" s="38"/>
      <c r="SHD18" s="38"/>
      <c r="SHE18" s="38"/>
      <c r="SHF18" s="38"/>
      <c r="SHG18" s="38"/>
      <c r="SHH18" s="38"/>
      <c r="SHI18" s="38"/>
      <c r="SHJ18" s="38"/>
      <c r="SHK18" s="38"/>
      <c r="SHL18" s="38"/>
      <c r="SHM18" s="38"/>
      <c r="SHN18" s="38"/>
      <c r="SHO18" s="38"/>
      <c r="SHP18" s="38"/>
      <c r="SHQ18" s="38"/>
      <c r="SHR18" s="38"/>
      <c r="SHS18" s="38"/>
      <c r="SHT18" s="38"/>
      <c r="SHU18" s="38"/>
      <c r="SHV18" s="38"/>
      <c r="SHW18" s="38"/>
      <c r="SHX18" s="38"/>
      <c r="SHY18" s="38"/>
      <c r="SHZ18" s="38"/>
      <c r="SIA18" s="38"/>
      <c r="SIB18" s="38"/>
      <c r="SIC18" s="38"/>
      <c r="SID18" s="38"/>
      <c r="SIE18" s="38"/>
      <c r="SIF18" s="38"/>
      <c r="SIG18" s="38"/>
      <c r="SIH18" s="38"/>
      <c r="SII18" s="38"/>
      <c r="SIJ18" s="38"/>
      <c r="SIK18" s="38"/>
      <c r="SIL18" s="38"/>
      <c r="SIM18" s="38"/>
      <c r="SIN18" s="38"/>
      <c r="SIO18" s="38"/>
      <c r="SIP18" s="38"/>
      <c r="SIQ18" s="38"/>
      <c r="SIR18" s="38"/>
      <c r="SIS18" s="38"/>
      <c r="SIT18" s="38"/>
      <c r="SIU18" s="38"/>
      <c r="SIV18" s="38"/>
      <c r="SIW18" s="38"/>
      <c r="SIX18" s="38"/>
      <c r="SIY18" s="38"/>
      <c r="SIZ18" s="38"/>
      <c r="SJA18" s="38"/>
      <c r="SJB18" s="38"/>
      <c r="SJC18" s="38"/>
      <c r="SJD18" s="38"/>
      <c r="SJE18" s="38"/>
      <c r="SJF18" s="38"/>
      <c r="SJG18" s="38"/>
      <c r="SJH18" s="38"/>
      <c r="SJI18" s="38"/>
      <c r="SJJ18" s="38"/>
      <c r="SJK18" s="38"/>
      <c r="SJL18" s="38"/>
      <c r="SJM18" s="38"/>
      <c r="SJN18" s="38"/>
      <c r="SJO18" s="38"/>
      <c r="SJP18" s="38"/>
      <c r="SJQ18" s="38"/>
      <c r="SJR18" s="38"/>
      <c r="SJS18" s="38"/>
      <c r="SJT18" s="38"/>
      <c r="SJU18" s="38"/>
      <c r="SJV18" s="38"/>
      <c r="SJW18" s="38"/>
      <c r="SJX18" s="38"/>
      <c r="SJY18" s="38"/>
      <c r="SJZ18" s="38"/>
      <c r="SKA18" s="38"/>
      <c r="SKB18" s="38"/>
      <c r="SKC18" s="38"/>
      <c r="SKD18" s="38"/>
      <c r="SKE18" s="38"/>
      <c r="SKF18" s="38"/>
      <c r="SKG18" s="38"/>
      <c r="SKH18" s="38"/>
      <c r="SKI18" s="38"/>
      <c r="SKJ18" s="38"/>
      <c r="SKK18" s="38"/>
      <c r="SKL18" s="38"/>
      <c r="SKM18" s="38"/>
      <c r="SKN18" s="38"/>
      <c r="SKO18" s="38"/>
      <c r="SKP18" s="38"/>
      <c r="SKQ18" s="38"/>
      <c r="SKR18" s="38"/>
      <c r="SKS18" s="38"/>
      <c r="SKT18" s="38"/>
      <c r="SKU18" s="38"/>
      <c r="SKV18" s="38"/>
      <c r="SKW18" s="38"/>
      <c r="SKX18" s="38"/>
      <c r="SKY18" s="38"/>
      <c r="SKZ18" s="38"/>
      <c r="SLA18" s="38"/>
      <c r="SLB18" s="38"/>
      <c r="SLC18" s="38"/>
      <c r="SLD18" s="38"/>
      <c r="SLE18" s="38"/>
      <c r="SLF18" s="38"/>
      <c r="SLG18" s="38"/>
      <c r="SLH18" s="38"/>
      <c r="SLI18" s="38"/>
      <c r="SLJ18" s="38"/>
      <c r="SLK18" s="38"/>
      <c r="SLL18" s="38"/>
      <c r="SLM18" s="38"/>
      <c r="SLN18" s="38"/>
      <c r="SLO18" s="38"/>
      <c r="SLP18" s="38"/>
      <c r="SLQ18" s="38"/>
      <c r="SLR18" s="38"/>
      <c r="SLS18" s="38"/>
      <c r="SLT18" s="38"/>
      <c r="SLU18" s="38"/>
      <c r="SLV18" s="38"/>
      <c r="SLW18" s="38"/>
      <c r="SLX18" s="38"/>
      <c r="SLY18" s="38"/>
      <c r="SLZ18" s="38"/>
      <c r="SMA18" s="38"/>
      <c r="SMB18" s="38"/>
      <c r="SMC18" s="38"/>
      <c r="SMD18" s="38"/>
      <c r="SME18" s="38"/>
      <c r="SMF18" s="38"/>
      <c r="SMG18" s="38"/>
      <c r="SMH18" s="38"/>
      <c r="SMI18" s="38"/>
      <c r="SMJ18" s="38"/>
      <c r="SMK18" s="38"/>
      <c r="SML18" s="38"/>
      <c r="SMM18" s="38"/>
      <c r="SMN18" s="38"/>
      <c r="SMO18" s="38"/>
      <c r="SMP18" s="38"/>
      <c r="SMQ18" s="38"/>
      <c r="SMR18" s="38"/>
      <c r="SMS18" s="38"/>
      <c r="SMT18" s="38"/>
      <c r="SMU18" s="38"/>
      <c r="SMV18" s="38"/>
      <c r="SMW18" s="38"/>
      <c r="SMX18" s="38"/>
      <c r="SMY18" s="38"/>
      <c r="SMZ18" s="38"/>
      <c r="SNA18" s="38"/>
      <c r="SNB18" s="38"/>
      <c r="SNC18" s="38"/>
      <c r="SND18" s="38"/>
      <c r="SNE18" s="38"/>
      <c r="SNF18" s="38"/>
      <c r="SNG18" s="38"/>
      <c r="SNH18" s="38"/>
      <c r="SNI18" s="38"/>
      <c r="SNJ18" s="38"/>
      <c r="SNK18" s="38"/>
      <c r="SNL18" s="38"/>
      <c r="SNM18" s="38"/>
      <c r="SNN18" s="38"/>
      <c r="SNO18" s="38"/>
      <c r="SNP18" s="38"/>
      <c r="SNQ18" s="38"/>
      <c r="SNR18" s="38"/>
      <c r="SNS18" s="38"/>
      <c r="SNT18" s="38"/>
      <c r="SNU18" s="38"/>
      <c r="SNV18" s="38"/>
      <c r="SNW18" s="38"/>
      <c r="SNX18" s="38"/>
      <c r="SNY18" s="38"/>
      <c r="SNZ18" s="38"/>
      <c r="SOA18" s="38"/>
      <c r="SOB18" s="38"/>
      <c r="SOC18" s="38"/>
      <c r="SOD18" s="38"/>
      <c r="SOE18" s="38"/>
      <c r="SOF18" s="38"/>
      <c r="SOG18" s="38"/>
      <c r="SOH18" s="38"/>
      <c r="SOI18" s="38"/>
      <c r="SOJ18" s="38"/>
      <c r="SOK18" s="38"/>
      <c r="SOL18" s="38"/>
      <c r="SOM18" s="38"/>
      <c r="SON18" s="38"/>
      <c r="SOO18" s="38"/>
      <c r="SOP18" s="38"/>
      <c r="SOQ18" s="38"/>
      <c r="SOR18" s="38"/>
      <c r="SOS18" s="38"/>
      <c r="SOT18" s="38"/>
      <c r="SOU18" s="38"/>
      <c r="SOV18" s="38"/>
      <c r="SOW18" s="38"/>
      <c r="SOX18" s="38"/>
      <c r="SOY18" s="38"/>
      <c r="SOZ18" s="38"/>
      <c r="SPA18" s="38"/>
      <c r="SPB18" s="38"/>
      <c r="SPC18" s="38"/>
      <c r="SPD18" s="38"/>
      <c r="SPE18" s="38"/>
      <c r="SPF18" s="38"/>
      <c r="SPG18" s="38"/>
      <c r="SPH18" s="38"/>
      <c r="SPI18" s="38"/>
      <c r="SPJ18" s="38"/>
      <c r="SPK18" s="38"/>
      <c r="SPL18" s="38"/>
      <c r="SPM18" s="38"/>
      <c r="SPN18" s="38"/>
      <c r="SPO18" s="38"/>
      <c r="SPP18" s="38"/>
      <c r="SPQ18" s="38"/>
      <c r="SPR18" s="38"/>
      <c r="SPS18" s="38"/>
      <c r="SPT18" s="38"/>
      <c r="SPU18" s="38"/>
      <c r="SPV18" s="38"/>
      <c r="SPW18" s="38"/>
      <c r="SPX18" s="38"/>
      <c r="SPY18" s="38"/>
      <c r="SPZ18" s="38"/>
      <c r="SQA18" s="38"/>
      <c r="SQB18" s="38"/>
      <c r="SQC18" s="38"/>
      <c r="SQD18" s="38"/>
      <c r="SQE18" s="38"/>
      <c r="SQF18" s="38"/>
      <c r="SQG18" s="38"/>
      <c r="SQH18" s="38"/>
      <c r="SQI18" s="38"/>
      <c r="SQJ18" s="38"/>
      <c r="SQK18" s="38"/>
      <c r="SQL18" s="38"/>
      <c r="SQM18" s="38"/>
      <c r="SQN18" s="38"/>
      <c r="SQO18" s="38"/>
      <c r="SQP18" s="38"/>
      <c r="SQQ18" s="38"/>
      <c r="SQR18" s="38"/>
      <c r="SQS18" s="38"/>
      <c r="SQT18" s="38"/>
      <c r="SQU18" s="38"/>
      <c r="SQV18" s="38"/>
      <c r="SQW18" s="38"/>
      <c r="SQX18" s="38"/>
      <c r="SQY18" s="38"/>
      <c r="SQZ18" s="38"/>
      <c r="SRA18" s="38"/>
      <c r="SRB18" s="38"/>
      <c r="SRC18" s="38"/>
      <c r="SRD18" s="38"/>
      <c r="SRE18" s="38"/>
      <c r="SRF18" s="38"/>
      <c r="SRG18" s="38"/>
      <c r="SRH18" s="38"/>
      <c r="SRI18" s="38"/>
      <c r="SRJ18" s="38"/>
      <c r="SRK18" s="38"/>
      <c r="SRL18" s="38"/>
      <c r="SRM18" s="38"/>
      <c r="SRN18" s="38"/>
      <c r="SRO18" s="38"/>
      <c r="SRP18" s="38"/>
      <c r="SRQ18" s="38"/>
      <c r="SRR18" s="38"/>
      <c r="SRS18" s="38"/>
      <c r="SRT18" s="38"/>
      <c r="SRU18" s="38"/>
      <c r="SRV18" s="38"/>
      <c r="SRW18" s="38"/>
      <c r="SRX18" s="38"/>
      <c r="SRY18" s="38"/>
      <c r="SRZ18" s="38"/>
      <c r="SSA18" s="38"/>
      <c r="SSB18" s="38"/>
      <c r="SSC18" s="38"/>
      <c r="SSD18" s="38"/>
      <c r="SSE18" s="38"/>
      <c r="SSF18" s="38"/>
      <c r="SSG18" s="38"/>
      <c r="SSH18" s="38"/>
      <c r="SSI18" s="38"/>
      <c r="SSJ18" s="38"/>
      <c r="SSK18" s="38"/>
      <c r="SSL18" s="38"/>
      <c r="SSM18" s="38"/>
      <c r="SSN18" s="38"/>
      <c r="SSO18" s="38"/>
      <c r="SSP18" s="38"/>
      <c r="SSQ18" s="38"/>
      <c r="SSR18" s="38"/>
      <c r="SSS18" s="38"/>
      <c r="SST18" s="38"/>
      <c r="SSU18" s="38"/>
      <c r="SSV18" s="38"/>
      <c r="SSW18" s="38"/>
      <c r="SSX18" s="38"/>
      <c r="SSY18" s="38"/>
      <c r="SSZ18" s="38"/>
      <c r="STA18" s="38"/>
      <c r="STB18" s="38"/>
      <c r="STC18" s="38"/>
      <c r="STD18" s="38"/>
      <c r="STE18" s="38"/>
      <c r="STF18" s="38"/>
      <c r="STG18" s="38"/>
      <c r="STH18" s="38"/>
      <c r="STI18" s="38"/>
      <c r="STJ18" s="38"/>
      <c r="STK18" s="38"/>
      <c r="STL18" s="38"/>
      <c r="STM18" s="38"/>
      <c r="STN18" s="38"/>
      <c r="STO18" s="38"/>
      <c r="STP18" s="38"/>
      <c r="STQ18" s="38"/>
      <c r="STR18" s="38"/>
      <c r="STS18" s="38"/>
      <c r="STT18" s="38"/>
      <c r="STU18" s="38"/>
      <c r="STV18" s="38"/>
      <c r="STW18" s="38"/>
      <c r="STX18" s="38"/>
      <c r="STY18" s="38"/>
      <c r="STZ18" s="38"/>
      <c r="SUA18" s="38"/>
      <c r="SUB18" s="38"/>
      <c r="SUC18" s="38"/>
      <c r="SUD18" s="38"/>
      <c r="SUE18" s="38"/>
      <c r="SUF18" s="38"/>
      <c r="SUG18" s="38"/>
      <c r="SUH18" s="38"/>
      <c r="SUI18" s="38"/>
      <c r="SUJ18" s="38"/>
      <c r="SUK18" s="38"/>
      <c r="SUL18" s="38"/>
      <c r="SUM18" s="38"/>
      <c r="SUN18" s="38"/>
      <c r="SUO18" s="38"/>
      <c r="SUP18" s="38"/>
      <c r="SUQ18" s="38"/>
      <c r="SUR18" s="38"/>
      <c r="SUS18" s="38"/>
      <c r="SUT18" s="38"/>
      <c r="SUU18" s="38"/>
      <c r="SUV18" s="38"/>
      <c r="SUW18" s="38"/>
      <c r="SUX18" s="38"/>
      <c r="SUY18" s="38"/>
      <c r="SUZ18" s="38"/>
      <c r="SVA18" s="38"/>
      <c r="SVB18" s="38"/>
      <c r="SVC18" s="38"/>
      <c r="SVD18" s="38"/>
      <c r="SVE18" s="38"/>
      <c r="SVF18" s="38"/>
      <c r="SVG18" s="38"/>
      <c r="SVH18" s="38"/>
      <c r="SVI18" s="38"/>
      <c r="SVJ18" s="38"/>
      <c r="SVK18" s="38"/>
      <c r="SVL18" s="38"/>
      <c r="SVM18" s="38"/>
      <c r="SVN18" s="38"/>
      <c r="SVO18" s="38"/>
      <c r="SVP18" s="38"/>
      <c r="SVQ18" s="38"/>
      <c r="SVR18" s="38"/>
      <c r="SVS18" s="38"/>
      <c r="SVT18" s="38"/>
      <c r="SVU18" s="38"/>
      <c r="SVV18" s="38"/>
      <c r="SVW18" s="38"/>
      <c r="SVX18" s="38"/>
      <c r="SVY18" s="38"/>
      <c r="SVZ18" s="38"/>
      <c r="SWA18" s="38"/>
      <c r="SWB18" s="38"/>
      <c r="SWC18" s="38"/>
      <c r="SWD18" s="38"/>
      <c r="SWE18" s="38"/>
      <c r="SWF18" s="38"/>
      <c r="SWG18" s="38"/>
      <c r="SWH18" s="38"/>
      <c r="SWI18" s="38"/>
      <c r="SWJ18" s="38"/>
      <c r="SWK18" s="38"/>
      <c r="SWL18" s="38"/>
      <c r="SWM18" s="38"/>
      <c r="SWN18" s="38"/>
      <c r="SWO18" s="38"/>
      <c r="SWP18" s="38"/>
      <c r="SWQ18" s="38"/>
      <c r="SWR18" s="38"/>
      <c r="SWS18" s="38"/>
      <c r="SWT18" s="38"/>
      <c r="SWU18" s="38"/>
      <c r="SWV18" s="38"/>
      <c r="SWW18" s="38"/>
      <c r="SWX18" s="38"/>
      <c r="SWY18" s="38"/>
      <c r="SWZ18" s="38"/>
      <c r="SXA18" s="38"/>
      <c r="SXB18" s="38"/>
      <c r="SXC18" s="38"/>
      <c r="SXD18" s="38"/>
      <c r="SXE18" s="38"/>
      <c r="SXF18" s="38"/>
      <c r="SXG18" s="38"/>
      <c r="SXH18" s="38"/>
      <c r="SXI18" s="38"/>
      <c r="SXJ18" s="38"/>
      <c r="SXK18" s="38"/>
      <c r="SXL18" s="38"/>
      <c r="SXM18" s="38"/>
      <c r="SXN18" s="38"/>
      <c r="SXO18" s="38"/>
      <c r="SXP18" s="38"/>
      <c r="SXQ18" s="38"/>
      <c r="SXR18" s="38"/>
      <c r="SXS18" s="38"/>
      <c r="SXT18" s="38"/>
      <c r="SXU18" s="38"/>
      <c r="SXV18" s="38"/>
      <c r="SXW18" s="38"/>
      <c r="SXX18" s="38"/>
      <c r="SXY18" s="38"/>
      <c r="SXZ18" s="38"/>
      <c r="SYA18" s="38"/>
      <c r="SYB18" s="38"/>
      <c r="SYC18" s="38"/>
      <c r="SYD18" s="38"/>
      <c r="SYE18" s="38"/>
      <c r="SYF18" s="38"/>
      <c r="SYG18" s="38"/>
      <c r="SYH18" s="38"/>
      <c r="SYI18" s="38"/>
      <c r="SYJ18" s="38"/>
      <c r="SYK18" s="38"/>
      <c r="SYL18" s="38"/>
      <c r="SYM18" s="38"/>
      <c r="SYN18" s="38"/>
      <c r="SYO18" s="38"/>
      <c r="SYP18" s="38"/>
      <c r="SYQ18" s="38"/>
      <c r="SYR18" s="38"/>
      <c r="SYS18" s="38"/>
      <c r="SYT18" s="38"/>
      <c r="SYU18" s="38"/>
      <c r="SYV18" s="38"/>
      <c r="SYW18" s="38"/>
      <c r="SYX18" s="38"/>
      <c r="SYY18" s="38"/>
      <c r="SYZ18" s="38"/>
      <c r="SZA18" s="38"/>
      <c r="SZB18" s="38"/>
      <c r="SZC18" s="38"/>
      <c r="SZD18" s="38"/>
      <c r="SZE18" s="38"/>
      <c r="SZF18" s="38"/>
      <c r="SZG18" s="38"/>
      <c r="SZH18" s="38"/>
      <c r="SZI18" s="38"/>
      <c r="SZJ18" s="38"/>
      <c r="SZK18" s="38"/>
      <c r="SZL18" s="38"/>
      <c r="SZM18" s="38"/>
      <c r="SZN18" s="38"/>
      <c r="SZO18" s="38"/>
      <c r="SZP18" s="38"/>
      <c r="SZQ18" s="38"/>
      <c r="SZR18" s="38"/>
      <c r="SZS18" s="38"/>
      <c r="SZT18" s="38"/>
      <c r="SZU18" s="38"/>
      <c r="SZV18" s="38"/>
      <c r="SZW18" s="38"/>
      <c r="SZX18" s="38"/>
      <c r="SZY18" s="38"/>
      <c r="SZZ18" s="38"/>
      <c r="TAA18" s="38"/>
      <c r="TAB18" s="38"/>
      <c r="TAC18" s="38"/>
      <c r="TAD18" s="38"/>
      <c r="TAE18" s="38"/>
      <c r="TAF18" s="38"/>
      <c r="TAG18" s="38"/>
      <c r="TAH18" s="38"/>
      <c r="TAI18" s="38"/>
      <c r="TAJ18" s="38"/>
      <c r="TAK18" s="38"/>
      <c r="TAL18" s="38"/>
      <c r="TAM18" s="38"/>
      <c r="TAN18" s="38"/>
      <c r="TAO18" s="38"/>
      <c r="TAP18" s="38"/>
      <c r="TAQ18" s="38"/>
      <c r="TAR18" s="38"/>
      <c r="TAS18" s="38"/>
      <c r="TAT18" s="38"/>
      <c r="TAU18" s="38"/>
      <c r="TAV18" s="38"/>
      <c r="TAW18" s="38"/>
      <c r="TAX18" s="38"/>
      <c r="TAY18" s="38"/>
      <c r="TAZ18" s="38"/>
      <c r="TBA18" s="38"/>
      <c r="TBB18" s="38"/>
      <c r="TBC18" s="38"/>
      <c r="TBD18" s="38"/>
      <c r="TBE18" s="38"/>
      <c r="TBF18" s="38"/>
      <c r="TBG18" s="38"/>
      <c r="TBH18" s="38"/>
      <c r="TBI18" s="38"/>
      <c r="TBJ18" s="38"/>
      <c r="TBK18" s="38"/>
      <c r="TBL18" s="38"/>
      <c r="TBM18" s="38"/>
      <c r="TBN18" s="38"/>
      <c r="TBO18" s="38"/>
      <c r="TBP18" s="38"/>
      <c r="TBQ18" s="38"/>
      <c r="TBR18" s="38"/>
      <c r="TBS18" s="38"/>
      <c r="TBT18" s="38"/>
      <c r="TBU18" s="38"/>
      <c r="TBV18" s="38"/>
      <c r="TBW18" s="38"/>
      <c r="TBX18" s="38"/>
      <c r="TBY18" s="38"/>
      <c r="TBZ18" s="38"/>
      <c r="TCA18" s="38"/>
      <c r="TCB18" s="38"/>
      <c r="TCC18" s="38"/>
      <c r="TCD18" s="38"/>
      <c r="TCE18" s="38"/>
      <c r="TCF18" s="38"/>
      <c r="TCG18" s="38"/>
      <c r="TCH18" s="38"/>
      <c r="TCI18" s="38"/>
      <c r="TCJ18" s="38"/>
      <c r="TCK18" s="38"/>
      <c r="TCL18" s="38"/>
      <c r="TCM18" s="38"/>
      <c r="TCN18" s="38"/>
      <c r="TCO18" s="38"/>
      <c r="TCP18" s="38"/>
      <c r="TCQ18" s="38"/>
      <c r="TCR18" s="38"/>
      <c r="TCS18" s="38"/>
      <c r="TCT18" s="38"/>
      <c r="TCU18" s="38"/>
      <c r="TCV18" s="38"/>
      <c r="TCW18" s="38"/>
      <c r="TCX18" s="38"/>
      <c r="TCY18" s="38"/>
      <c r="TCZ18" s="38"/>
      <c r="TDA18" s="38"/>
      <c r="TDB18" s="38"/>
      <c r="TDC18" s="38"/>
      <c r="TDD18" s="38"/>
      <c r="TDE18" s="38"/>
      <c r="TDF18" s="38"/>
      <c r="TDG18" s="38"/>
      <c r="TDH18" s="38"/>
      <c r="TDI18" s="38"/>
      <c r="TDJ18" s="38"/>
      <c r="TDK18" s="38"/>
      <c r="TDL18" s="38"/>
      <c r="TDM18" s="38"/>
      <c r="TDN18" s="38"/>
      <c r="TDO18" s="38"/>
      <c r="TDP18" s="38"/>
      <c r="TDQ18" s="38"/>
      <c r="TDR18" s="38"/>
      <c r="TDS18" s="38"/>
      <c r="TDT18" s="38"/>
      <c r="TDU18" s="38"/>
      <c r="TDV18" s="38"/>
      <c r="TDW18" s="38"/>
      <c r="TDX18" s="38"/>
      <c r="TDY18" s="38"/>
      <c r="TDZ18" s="38"/>
      <c r="TEA18" s="38"/>
      <c r="TEB18" s="38"/>
      <c r="TEC18" s="38"/>
      <c r="TED18" s="38"/>
      <c r="TEE18" s="38"/>
      <c r="TEF18" s="38"/>
      <c r="TEG18" s="38"/>
      <c r="TEH18" s="38"/>
      <c r="TEI18" s="38"/>
      <c r="TEJ18" s="38"/>
      <c r="TEK18" s="38"/>
      <c r="TEL18" s="38"/>
      <c r="TEM18" s="38"/>
      <c r="TEN18" s="38"/>
      <c r="TEO18" s="38"/>
      <c r="TEP18" s="38"/>
      <c r="TEQ18" s="38"/>
      <c r="TER18" s="38"/>
      <c r="TES18" s="38"/>
      <c r="TET18" s="38"/>
      <c r="TEU18" s="38"/>
      <c r="TEV18" s="38"/>
      <c r="TEW18" s="38"/>
      <c r="TEX18" s="38"/>
      <c r="TEY18" s="38"/>
      <c r="TEZ18" s="38"/>
      <c r="TFA18" s="38"/>
      <c r="TFB18" s="38"/>
      <c r="TFC18" s="38"/>
      <c r="TFD18" s="38"/>
      <c r="TFE18" s="38"/>
      <c r="TFF18" s="38"/>
      <c r="TFG18" s="38"/>
      <c r="TFH18" s="38"/>
      <c r="TFI18" s="38"/>
      <c r="TFJ18" s="38"/>
      <c r="TFK18" s="38"/>
      <c r="TFL18" s="38"/>
      <c r="TFM18" s="38"/>
      <c r="TFN18" s="38"/>
      <c r="TFO18" s="38"/>
      <c r="TFP18" s="38"/>
      <c r="TFQ18" s="38"/>
      <c r="TFR18" s="38"/>
      <c r="TFS18" s="38"/>
      <c r="TFT18" s="38"/>
      <c r="TFU18" s="38"/>
      <c r="TFV18" s="38"/>
      <c r="TFW18" s="38"/>
      <c r="TFX18" s="38"/>
      <c r="TFY18" s="38"/>
      <c r="TFZ18" s="38"/>
      <c r="TGA18" s="38"/>
      <c r="TGB18" s="38"/>
      <c r="TGC18" s="38"/>
      <c r="TGD18" s="38"/>
      <c r="TGE18" s="38"/>
      <c r="TGF18" s="38"/>
      <c r="TGG18" s="38"/>
      <c r="TGH18" s="38"/>
      <c r="TGI18" s="38"/>
      <c r="TGJ18" s="38"/>
      <c r="TGK18" s="38"/>
      <c r="TGL18" s="38"/>
      <c r="TGM18" s="38"/>
      <c r="TGN18" s="38"/>
      <c r="TGO18" s="38"/>
      <c r="TGP18" s="38"/>
      <c r="TGQ18" s="38"/>
      <c r="TGR18" s="38"/>
      <c r="TGS18" s="38"/>
      <c r="TGT18" s="38"/>
      <c r="TGU18" s="38"/>
      <c r="TGV18" s="38"/>
      <c r="TGW18" s="38"/>
      <c r="TGX18" s="38"/>
      <c r="TGY18" s="38"/>
      <c r="TGZ18" s="38"/>
      <c r="THA18" s="38"/>
      <c r="THB18" s="38"/>
      <c r="THC18" s="38"/>
      <c r="THD18" s="38"/>
      <c r="THE18" s="38"/>
      <c r="THF18" s="38"/>
      <c r="THG18" s="38"/>
      <c r="THH18" s="38"/>
      <c r="THI18" s="38"/>
      <c r="THJ18" s="38"/>
      <c r="THK18" s="38"/>
      <c r="THL18" s="38"/>
      <c r="THM18" s="38"/>
      <c r="THN18" s="38"/>
      <c r="THO18" s="38"/>
      <c r="THP18" s="38"/>
      <c r="THQ18" s="38"/>
      <c r="THR18" s="38"/>
      <c r="THS18" s="38"/>
      <c r="THT18" s="38"/>
      <c r="THU18" s="38"/>
      <c r="THV18" s="38"/>
      <c r="THW18" s="38"/>
      <c r="THX18" s="38"/>
      <c r="THY18" s="38"/>
      <c r="THZ18" s="38"/>
      <c r="TIA18" s="38"/>
      <c r="TIB18" s="38"/>
      <c r="TIC18" s="38"/>
      <c r="TID18" s="38"/>
      <c r="TIE18" s="38"/>
      <c r="TIF18" s="38"/>
      <c r="TIG18" s="38"/>
      <c r="TIH18" s="38"/>
      <c r="TII18" s="38"/>
      <c r="TIJ18" s="38"/>
      <c r="TIK18" s="38"/>
      <c r="TIL18" s="38"/>
      <c r="TIM18" s="38"/>
      <c r="TIN18" s="38"/>
      <c r="TIO18" s="38"/>
      <c r="TIP18" s="38"/>
      <c r="TIQ18" s="38"/>
      <c r="TIR18" s="38"/>
      <c r="TIS18" s="38"/>
      <c r="TIT18" s="38"/>
      <c r="TIU18" s="38"/>
      <c r="TIV18" s="38"/>
      <c r="TIW18" s="38"/>
      <c r="TIX18" s="38"/>
      <c r="TIY18" s="38"/>
      <c r="TIZ18" s="38"/>
      <c r="TJA18" s="38"/>
      <c r="TJB18" s="38"/>
      <c r="TJC18" s="38"/>
      <c r="TJD18" s="38"/>
      <c r="TJE18" s="38"/>
      <c r="TJF18" s="38"/>
      <c r="TJG18" s="38"/>
      <c r="TJH18" s="38"/>
      <c r="TJI18" s="38"/>
      <c r="TJJ18" s="38"/>
      <c r="TJK18" s="38"/>
      <c r="TJL18" s="38"/>
      <c r="TJM18" s="38"/>
      <c r="TJN18" s="38"/>
      <c r="TJO18" s="38"/>
      <c r="TJP18" s="38"/>
      <c r="TJQ18" s="38"/>
      <c r="TJR18" s="38"/>
      <c r="TJS18" s="38"/>
      <c r="TJT18" s="38"/>
      <c r="TJU18" s="38"/>
      <c r="TJV18" s="38"/>
      <c r="TJW18" s="38"/>
      <c r="TJX18" s="38"/>
      <c r="TJY18" s="38"/>
      <c r="TJZ18" s="38"/>
      <c r="TKA18" s="38"/>
      <c r="TKB18" s="38"/>
      <c r="TKC18" s="38"/>
      <c r="TKD18" s="38"/>
      <c r="TKE18" s="38"/>
      <c r="TKF18" s="38"/>
      <c r="TKG18" s="38"/>
      <c r="TKH18" s="38"/>
      <c r="TKI18" s="38"/>
      <c r="TKJ18" s="38"/>
      <c r="TKK18" s="38"/>
      <c r="TKL18" s="38"/>
      <c r="TKM18" s="38"/>
      <c r="TKN18" s="38"/>
      <c r="TKO18" s="38"/>
      <c r="TKP18" s="38"/>
      <c r="TKQ18" s="38"/>
      <c r="TKR18" s="38"/>
      <c r="TKS18" s="38"/>
      <c r="TKT18" s="38"/>
      <c r="TKU18" s="38"/>
      <c r="TKV18" s="38"/>
      <c r="TKW18" s="38"/>
      <c r="TKX18" s="38"/>
      <c r="TKY18" s="38"/>
      <c r="TKZ18" s="38"/>
      <c r="TLA18" s="38"/>
      <c r="TLB18" s="38"/>
      <c r="TLC18" s="38"/>
      <c r="TLD18" s="38"/>
      <c r="TLE18" s="38"/>
      <c r="TLF18" s="38"/>
      <c r="TLG18" s="38"/>
      <c r="TLH18" s="38"/>
      <c r="TLI18" s="38"/>
      <c r="TLJ18" s="38"/>
      <c r="TLK18" s="38"/>
      <c r="TLL18" s="38"/>
      <c r="TLM18" s="38"/>
      <c r="TLN18" s="38"/>
      <c r="TLO18" s="38"/>
      <c r="TLP18" s="38"/>
      <c r="TLQ18" s="38"/>
      <c r="TLR18" s="38"/>
      <c r="TLS18" s="38"/>
      <c r="TLT18" s="38"/>
      <c r="TLU18" s="38"/>
      <c r="TLV18" s="38"/>
      <c r="TLW18" s="38"/>
      <c r="TLX18" s="38"/>
      <c r="TLY18" s="38"/>
      <c r="TLZ18" s="38"/>
      <c r="TMA18" s="38"/>
      <c r="TMB18" s="38"/>
      <c r="TMC18" s="38"/>
      <c r="TMD18" s="38"/>
      <c r="TME18" s="38"/>
      <c r="TMF18" s="38"/>
      <c r="TMG18" s="38"/>
      <c r="TMH18" s="38"/>
      <c r="TMI18" s="38"/>
      <c r="TMJ18" s="38"/>
      <c r="TMK18" s="38"/>
      <c r="TML18" s="38"/>
      <c r="TMM18" s="38"/>
      <c r="TMN18" s="38"/>
      <c r="TMO18" s="38"/>
      <c r="TMP18" s="38"/>
      <c r="TMQ18" s="38"/>
      <c r="TMR18" s="38"/>
      <c r="TMS18" s="38"/>
      <c r="TMT18" s="38"/>
      <c r="TMU18" s="38"/>
      <c r="TMV18" s="38"/>
      <c r="TMW18" s="38"/>
      <c r="TMX18" s="38"/>
      <c r="TMY18" s="38"/>
      <c r="TMZ18" s="38"/>
      <c r="TNA18" s="38"/>
      <c r="TNB18" s="38"/>
      <c r="TNC18" s="38"/>
      <c r="TND18" s="38"/>
      <c r="TNE18" s="38"/>
      <c r="TNF18" s="38"/>
      <c r="TNG18" s="38"/>
      <c r="TNH18" s="38"/>
      <c r="TNI18" s="38"/>
      <c r="TNJ18" s="38"/>
      <c r="TNK18" s="38"/>
      <c r="TNL18" s="38"/>
      <c r="TNM18" s="38"/>
      <c r="TNN18" s="38"/>
      <c r="TNO18" s="38"/>
      <c r="TNP18" s="38"/>
      <c r="TNQ18" s="38"/>
      <c r="TNR18" s="38"/>
      <c r="TNS18" s="38"/>
      <c r="TNT18" s="38"/>
      <c r="TNU18" s="38"/>
      <c r="TNV18" s="38"/>
      <c r="TNW18" s="38"/>
      <c r="TNX18" s="38"/>
      <c r="TNY18" s="38"/>
      <c r="TNZ18" s="38"/>
      <c r="TOA18" s="38"/>
      <c r="TOB18" s="38"/>
      <c r="TOC18" s="38"/>
      <c r="TOD18" s="38"/>
      <c r="TOE18" s="38"/>
      <c r="TOF18" s="38"/>
      <c r="TOG18" s="38"/>
      <c r="TOH18" s="38"/>
      <c r="TOI18" s="38"/>
      <c r="TOJ18" s="38"/>
      <c r="TOK18" s="38"/>
      <c r="TOL18" s="38"/>
      <c r="TOM18" s="38"/>
      <c r="TON18" s="38"/>
      <c r="TOO18" s="38"/>
      <c r="TOP18" s="38"/>
      <c r="TOQ18" s="38"/>
      <c r="TOR18" s="38"/>
      <c r="TOS18" s="38"/>
      <c r="TOT18" s="38"/>
      <c r="TOU18" s="38"/>
      <c r="TOV18" s="38"/>
      <c r="TOW18" s="38"/>
      <c r="TOX18" s="38"/>
      <c r="TOY18" s="38"/>
      <c r="TOZ18" s="38"/>
      <c r="TPA18" s="38"/>
      <c r="TPB18" s="38"/>
      <c r="TPC18" s="38"/>
      <c r="TPD18" s="38"/>
      <c r="TPE18" s="38"/>
      <c r="TPF18" s="38"/>
      <c r="TPG18" s="38"/>
      <c r="TPH18" s="38"/>
      <c r="TPI18" s="38"/>
      <c r="TPJ18" s="38"/>
      <c r="TPK18" s="38"/>
      <c r="TPL18" s="38"/>
      <c r="TPM18" s="38"/>
      <c r="TPN18" s="38"/>
      <c r="TPO18" s="38"/>
      <c r="TPP18" s="38"/>
      <c r="TPQ18" s="38"/>
      <c r="TPR18" s="38"/>
      <c r="TPS18" s="38"/>
      <c r="TPT18" s="38"/>
      <c r="TPU18" s="38"/>
      <c r="TPV18" s="38"/>
      <c r="TPW18" s="38"/>
      <c r="TPX18" s="38"/>
      <c r="TPY18" s="38"/>
      <c r="TPZ18" s="38"/>
      <c r="TQA18" s="38"/>
      <c r="TQB18" s="38"/>
      <c r="TQC18" s="38"/>
      <c r="TQD18" s="38"/>
      <c r="TQE18" s="38"/>
      <c r="TQF18" s="38"/>
      <c r="TQG18" s="38"/>
      <c r="TQH18" s="38"/>
      <c r="TQI18" s="38"/>
      <c r="TQJ18" s="38"/>
      <c r="TQK18" s="38"/>
      <c r="TQL18" s="38"/>
      <c r="TQM18" s="38"/>
      <c r="TQN18" s="38"/>
      <c r="TQO18" s="38"/>
      <c r="TQP18" s="38"/>
      <c r="TQQ18" s="38"/>
      <c r="TQR18" s="38"/>
      <c r="TQS18" s="38"/>
      <c r="TQT18" s="38"/>
      <c r="TQU18" s="38"/>
      <c r="TQV18" s="38"/>
      <c r="TQW18" s="38"/>
      <c r="TQX18" s="38"/>
      <c r="TQY18" s="38"/>
      <c r="TQZ18" s="38"/>
      <c r="TRA18" s="38"/>
      <c r="TRB18" s="38"/>
      <c r="TRC18" s="38"/>
      <c r="TRD18" s="38"/>
      <c r="TRE18" s="38"/>
      <c r="TRF18" s="38"/>
      <c r="TRG18" s="38"/>
      <c r="TRH18" s="38"/>
      <c r="TRI18" s="38"/>
      <c r="TRJ18" s="38"/>
      <c r="TRK18" s="38"/>
      <c r="TRL18" s="38"/>
      <c r="TRM18" s="38"/>
      <c r="TRN18" s="38"/>
      <c r="TRO18" s="38"/>
      <c r="TRP18" s="38"/>
      <c r="TRQ18" s="38"/>
      <c r="TRR18" s="38"/>
      <c r="TRS18" s="38"/>
      <c r="TRT18" s="38"/>
      <c r="TRU18" s="38"/>
      <c r="TRV18" s="38"/>
      <c r="TRW18" s="38"/>
      <c r="TRX18" s="38"/>
      <c r="TRY18" s="38"/>
      <c r="TRZ18" s="38"/>
      <c r="TSA18" s="38"/>
      <c r="TSB18" s="38"/>
      <c r="TSC18" s="38"/>
      <c r="TSD18" s="38"/>
      <c r="TSE18" s="38"/>
      <c r="TSF18" s="38"/>
      <c r="TSG18" s="38"/>
      <c r="TSH18" s="38"/>
      <c r="TSI18" s="38"/>
      <c r="TSJ18" s="38"/>
      <c r="TSK18" s="38"/>
      <c r="TSL18" s="38"/>
      <c r="TSM18" s="38"/>
      <c r="TSN18" s="38"/>
      <c r="TSO18" s="38"/>
      <c r="TSP18" s="38"/>
      <c r="TSQ18" s="38"/>
      <c r="TSR18" s="38"/>
      <c r="TSS18" s="38"/>
      <c r="TST18" s="38"/>
      <c r="TSU18" s="38"/>
      <c r="TSV18" s="38"/>
      <c r="TSW18" s="38"/>
      <c r="TSX18" s="38"/>
      <c r="TSY18" s="38"/>
      <c r="TSZ18" s="38"/>
      <c r="TTA18" s="38"/>
      <c r="TTB18" s="38"/>
      <c r="TTC18" s="38"/>
      <c r="TTD18" s="38"/>
      <c r="TTE18" s="38"/>
      <c r="TTF18" s="38"/>
      <c r="TTG18" s="38"/>
      <c r="TTH18" s="38"/>
      <c r="TTI18" s="38"/>
      <c r="TTJ18" s="38"/>
      <c r="TTK18" s="38"/>
      <c r="TTL18" s="38"/>
      <c r="TTM18" s="38"/>
      <c r="TTN18" s="38"/>
      <c r="TTO18" s="38"/>
      <c r="TTP18" s="38"/>
      <c r="TTQ18" s="38"/>
      <c r="TTR18" s="38"/>
      <c r="TTS18" s="38"/>
      <c r="TTT18" s="38"/>
      <c r="TTU18" s="38"/>
      <c r="TTV18" s="38"/>
      <c r="TTW18" s="38"/>
      <c r="TTX18" s="38"/>
      <c r="TTY18" s="38"/>
      <c r="TTZ18" s="38"/>
      <c r="TUA18" s="38"/>
      <c r="TUB18" s="38"/>
      <c r="TUC18" s="38"/>
      <c r="TUD18" s="38"/>
      <c r="TUE18" s="38"/>
      <c r="TUF18" s="38"/>
      <c r="TUG18" s="38"/>
      <c r="TUH18" s="38"/>
      <c r="TUI18" s="38"/>
      <c r="TUJ18" s="38"/>
      <c r="TUK18" s="38"/>
      <c r="TUL18" s="38"/>
      <c r="TUM18" s="38"/>
      <c r="TUN18" s="38"/>
      <c r="TUO18" s="38"/>
      <c r="TUP18" s="38"/>
      <c r="TUQ18" s="38"/>
      <c r="TUR18" s="38"/>
      <c r="TUS18" s="38"/>
      <c r="TUT18" s="38"/>
      <c r="TUU18" s="38"/>
      <c r="TUV18" s="38"/>
      <c r="TUW18" s="38"/>
      <c r="TUX18" s="38"/>
      <c r="TUY18" s="38"/>
      <c r="TUZ18" s="38"/>
      <c r="TVA18" s="38"/>
      <c r="TVB18" s="38"/>
      <c r="TVC18" s="38"/>
      <c r="TVD18" s="38"/>
      <c r="TVE18" s="38"/>
      <c r="TVF18" s="38"/>
      <c r="TVG18" s="38"/>
      <c r="TVH18" s="38"/>
      <c r="TVI18" s="38"/>
      <c r="TVJ18" s="38"/>
      <c r="TVK18" s="38"/>
      <c r="TVL18" s="38"/>
      <c r="TVM18" s="38"/>
      <c r="TVN18" s="38"/>
      <c r="TVO18" s="38"/>
      <c r="TVP18" s="38"/>
      <c r="TVQ18" s="38"/>
      <c r="TVR18" s="38"/>
      <c r="TVS18" s="38"/>
      <c r="TVT18" s="38"/>
      <c r="TVU18" s="38"/>
      <c r="TVV18" s="38"/>
      <c r="TVW18" s="38"/>
      <c r="TVX18" s="38"/>
      <c r="TVY18" s="38"/>
      <c r="TVZ18" s="38"/>
      <c r="TWA18" s="38"/>
      <c r="TWB18" s="38"/>
      <c r="TWC18" s="38"/>
      <c r="TWD18" s="38"/>
      <c r="TWE18" s="38"/>
      <c r="TWF18" s="38"/>
      <c r="TWG18" s="38"/>
      <c r="TWH18" s="38"/>
      <c r="TWI18" s="38"/>
      <c r="TWJ18" s="38"/>
      <c r="TWK18" s="38"/>
      <c r="TWL18" s="38"/>
      <c r="TWM18" s="38"/>
      <c r="TWN18" s="38"/>
      <c r="TWO18" s="38"/>
      <c r="TWP18" s="38"/>
      <c r="TWQ18" s="38"/>
      <c r="TWR18" s="38"/>
      <c r="TWS18" s="38"/>
      <c r="TWT18" s="38"/>
      <c r="TWU18" s="38"/>
      <c r="TWV18" s="38"/>
      <c r="TWW18" s="38"/>
      <c r="TWX18" s="38"/>
      <c r="TWY18" s="38"/>
      <c r="TWZ18" s="38"/>
      <c r="TXA18" s="38"/>
      <c r="TXB18" s="38"/>
      <c r="TXC18" s="38"/>
      <c r="TXD18" s="38"/>
      <c r="TXE18" s="38"/>
      <c r="TXF18" s="38"/>
      <c r="TXG18" s="38"/>
      <c r="TXH18" s="38"/>
      <c r="TXI18" s="38"/>
      <c r="TXJ18" s="38"/>
      <c r="TXK18" s="38"/>
      <c r="TXL18" s="38"/>
      <c r="TXM18" s="38"/>
      <c r="TXN18" s="38"/>
      <c r="TXO18" s="38"/>
      <c r="TXP18" s="38"/>
      <c r="TXQ18" s="38"/>
      <c r="TXR18" s="38"/>
      <c r="TXS18" s="38"/>
      <c r="TXT18" s="38"/>
      <c r="TXU18" s="38"/>
      <c r="TXV18" s="38"/>
      <c r="TXW18" s="38"/>
      <c r="TXX18" s="38"/>
      <c r="TXY18" s="38"/>
      <c r="TXZ18" s="38"/>
      <c r="TYA18" s="38"/>
      <c r="TYB18" s="38"/>
      <c r="TYC18" s="38"/>
      <c r="TYD18" s="38"/>
      <c r="TYE18" s="38"/>
      <c r="TYF18" s="38"/>
      <c r="TYG18" s="38"/>
      <c r="TYH18" s="38"/>
      <c r="TYI18" s="38"/>
      <c r="TYJ18" s="38"/>
      <c r="TYK18" s="38"/>
      <c r="TYL18" s="38"/>
      <c r="TYM18" s="38"/>
      <c r="TYN18" s="38"/>
      <c r="TYO18" s="38"/>
      <c r="TYP18" s="38"/>
      <c r="TYQ18" s="38"/>
      <c r="TYR18" s="38"/>
      <c r="TYS18" s="38"/>
      <c r="TYT18" s="38"/>
      <c r="TYU18" s="38"/>
      <c r="TYV18" s="38"/>
      <c r="TYW18" s="38"/>
      <c r="TYX18" s="38"/>
      <c r="TYY18" s="38"/>
      <c r="TYZ18" s="38"/>
      <c r="TZA18" s="38"/>
      <c r="TZB18" s="38"/>
      <c r="TZC18" s="38"/>
      <c r="TZD18" s="38"/>
      <c r="TZE18" s="38"/>
      <c r="TZF18" s="38"/>
      <c r="TZG18" s="38"/>
      <c r="TZH18" s="38"/>
      <c r="TZI18" s="38"/>
      <c r="TZJ18" s="38"/>
      <c r="TZK18" s="38"/>
      <c r="TZL18" s="38"/>
      <c r="TZM18" s="38"/>
      <c r="TZN18" s="38"/>
      <c r="TZO18" s="38"/>
      <c r="TZP18" s="38"/>
      <c r="TZQ18" s="38"/>
      <c r="TZR18" s="38"/>
      <c r="TZS18" s="38"/>
      <c r="TZT18" s="38"/>
      <c r="TZU18" s="38"/>
      <c r="TZV18" s="38"/>
      <c r="TZW18" s="38"/>
      <c r="TZX18" s="38"/>
      <c r="TZY18" s="38"/>
      <c r="TZZ18" s="38"/>
      <c r="UAA18" s="38"/>
      <c r="UAB18" s="38"/>
      <c r="UAC18" s="38"/>
      <c r="UAD18" s="38"/>
      <c r="UAE18" s="38"/>
      <c r="UAF18" s="38"/>
      <c r="UAG18" s="38"/>
      <c r="UAH18" s="38"/>
      <c r="UAI18" s="38"/>
      <c r="UAJ18" s="38"/>
      <c r="UAK18" s="38"/>
      <c r="UAL18" s="38"/>
      <c r="UAM18" s="38"/>
      <c r="UAN18" s="38"/>
      <c r="UAO18" s="38"/>
      <c r="UAP18" s="38"/>
      <c r="UAQ18" s="38"/>
      <c r="UAR18" s="38"/>
      <c r="UAS18" s="38"/>
      <c r="UAT18" s="38"/>
      <c r="UAU18" s="38"/>
      <c r="UAV18" s="38"/>
      <c r="UAW18" s="38"/>
      <c r="UAX18" s="38"/>
      <c r="UAY18" s="38"/>
      <c r="UAZ18" s="38"/>
      <c r="UBA18" s="38"/>
      <c r="UBB18" s="38"/>
      <c r="UBC18" s="38"/>
      <c r="UBD18" s="38"/>
      <c r="UBE18" s="38"/>
      <c r="UBF18" s="38"/>
      <c r="UBG18" s="38"/>
      <c r="UBH18" s="38"/>
      <c r="UBI18" s="38"/>
      <c r="UBJ18" s="38"/>
      <c r="UBK18" s="38"/>
      <c r="UBL18" s="38"/>
      <c r="UBM18" s="38"/>
      <c r="UBN18" s="38"/>
      <c r="UBO18" s="38"/>
      <c r="UBP18" s="38"/>
      <c r="UBQ18" s="38"/>
      <c r="UBR18" s="38"/>
      <c r="UBS18" s="38"/>
      <c r="UBT18" s="38"/>
      <c r="UBU18" s="38"/>
      <c r="UBV18" s="38"/>
      <c r="UBW18" s="38"/>
      <c r="UBX18" s="38"/>
      <c r="UBY18" s="38"/>
      <c r="UBZ18" s="38"/>
      <c r="UCA18" s="38"/>
      <c r="UCB18" s="38"/>
      <c r="UCC18" s="38"/>
      <c r="UCD18" s="38"/>
      <c r="UCE18" s="38"/>
      <c r="UCF18" s="38"/>
      <c r="UCG18" s="38"/>
      <c r="UCH18" s="38"/>
      <c r="UCI18" s="38"/>
      <c r="UCJ18" s="38"/>
      <c r="UCK18" s="38"/>
      <c r="UCL18" s="38"/>
      <c r="UCM18" s="38"/>
      <c r="UCN18" s="38"/>
      <c r="UCO18" s="38"/>
      <c r="UCP18" s="38"/>
      <c r="UCQ18" s="38"/>
      <c r="UCR18" s="38"/>
      <c r="UCS18" s="38"/>
      <c r="UCT18" s="38"/>
      <c r="UCU18" s="38"/>
      <c r="UCV18" s="38"/>
      <c r="UCW18" s="38"/>
      <c r="UCX18" s="38"/>
      <c r="UCY18" s="38"/>
      <c r="UCZ18" s="38"/>
      <c r="UDA18" s="38"/>
      <c r="UDB18" s="38"/>
      <c r="UDC18" s="38"/>
      <c r="UDD18" s="38"/>
      <c r="UDE18" s="38"/>
      <c r="UDF18" s="38"/>
      <c r="UDG18" s="38"/>
      <c r="UDH18" s="38"/>
      <c r="UDI18" s="38"/>
      <c r="UDJ18" s="38"/>
      <c r="UDK18" s="38"/>
      <c r="UDL18" s="38"/>
      <c r="UDM18" s="38"/>
      <c r="UDN18" s="38"/>
      <c r="UDO18" s="38"/>
      <c r="UDP18" s="38"/>
      <c r="UDQ18" s="38"/>
      <c r="UDR18" s="38"/>
      <c r="UDS18" s="38"/>
      <c r="UDT18" s="38"/>
      <c r="UDU18" s="38"/>
      <c r="UDV18" s="38"/>
      <c r="UDW18" s="38"/>
      <c r="UDX18" s="38"/>
      <c r="UDY18" s="38"/>
      <c r="UDZ18" s="38"/>
      <c r="UEA18" s="38"/>
      <c r="UEB18" s="38"/>
      <c r="UEC18" s="38"/>
      <c r="UED18" s="38"/>
      <c r="UEE18" s="38"/>
      <c r="UEF18" s="38"/>
      <c r="UEG18" s="38"/>
      <c r="UEH18" s="38"/>
      <c r="UEI18" s="38"/>
      <c r="UEJ18" s="38"/>
      <c r="UEK18" s="38"/>
      <c r="UEL18" s="38"/>
      <c r="UEM18" s="38"/>
      <c r="UEN18" s="38"/>
      <c r="UEO18" s="38"/>
      <c r="UEP18" s="38"/>
      <c r="UEQ18" s="38"/>
      <c r="UER18" s="38"/>
      <c r="UES18" s="38"/>
      <c r="UET18" s="38"/>
      <c r="UEU18" s="38"/>
      <c r="UEV18" s="38"/>
      <c r="UEW18" s="38"/>
      <c r="UEX18" s="38"/>
      <c r="UEY18" s="38"/>
      <c r="UEZ18" s="38"/>
      <c r="UFA18" s="38"/>
      <c r="UFB18" s="38"/>
      <c r="UFC18" s="38"/>
      <c r="UFD18" s="38"/>
      <c r="UFE18" s="38"/>
      <c r="UFF18" s="38"/>
      <c r="UFG18" s="38"/>
      <c r="UFH18" s="38"/>
      <c r="UFI18" s="38"/>
      <c r="UFJ18" s="38"/>
      <c r="UFK18" s="38"/>
      <c r="UFL18" s="38"/>
      <c r="UFM18" s="38"/>
      <c r="UFN18" s="38"/>
      <c r="UFO18" s="38"/>
      <c r="UFP18" s="38"/>
      <c r="UFQ18" s="38"/>
      <c r="UFR18" s="38"/>
      <c r="UFS18" s="38"/>
      <c r="UFT18" s="38"/>
      <c r="UFU18" s="38"/>
      <c r="UFV18" s="38"/>
      <c r="UFW18" s="38"/>
      <c r="UFX18" s="38"/>
      <c r="UFY18" s="38"/>
      <c r="UFZ18" s="38"/>
      <c r="UGA18" s="38"/>
      <c r="UGB18" s="38"/>
      <c r="UGC18" s="38"/>
      <c r="UGD18" s="38"/>
      <c r="UGE18" s="38"/>
      <c r="UGF18" s="38"/>
      <c r="UGG18" s="38"/>
      <c r="UGH18" s="38"/>
      <c r="UGI18" s="38"/>
      <c r="UGJ18" s="38"/>
      <c r="UGK18" s="38"/>
      <c r="UGL18" s="38"/>
      <c r="UGM18" s="38"/>
      <c r="UGN18" s="38"/>
      <c r="UGO18" s="38"/>
      <c r="UGP18" s="38"/>
      <c r="UGQ18" s="38"/>
      <c r="UGR18" s="38"/>
      <c r="UGS18" s="38"/>
      <c r="UGT18" s="38"/>
      <c r="UGU18" s="38"/>
      <c r="UGV18" s="38"/>
      <c r="UGW18" s="38"/>
      <c r="UGX18" s="38"/>
      <c r="UGY18" s="38"/>
      <c r="UGZ18" s="38"/>
      <c r="UHA18" s="38"/>
      <c r="UHB18" s="38"/>
      <c r="UHC18" s="38"/>
      <c r="UHD18" s="38"/>
      <c r="UHE18" s="38"/>
      <c r="UHF18" s="38"/>
      <c r="UHG18" s="38"/>
      <c r="UHH18" s="38"/>
      <c r="UHI18" s="38"/>
      <c r="UHJ18" s="38"/>
      <c r="UHK18" s="38"/>
      <c r="UHL18" s="38"/>
      <c r="UHM18" s="38"/>
      <c r="UHN18" s="38"/>
      <c r="UHO18" s="38"/>
      <c r="UHP18" s="38"/>
      <c r="UHQ18" s="38"/>
      <c r="UHR18" s="38"/>
      <c r="UHS18" s="38"/>
      <c r="UHT18" s="38"/>
      <c r="UHU18" s="38"/>
      <c r="UHV18" s="38"/>
      <c r="UHW18" s="38"/>
      <c r="UHX18" s="38"/>
      <c r="UHY18" s="38"/>
      <c r="UHZ18" s="38"/>
      <c r="UIA18" s="38"/>
      <c r="UIB18" s="38"/>
      <c r="UIC18" s="38"/>
      <c r="UID18" s="38"/>
      <c r="UIE18" s="38"/>
      <c r="UIF18" s="38"/>
      <c r="UIG18" s="38"/>
      <c r="UIH18" s="38"/>
      <c r="UII18" s="38"/>
      <c r="UIJ18" s="38"/>
      <c r="UIK18" s="38"/>
      <c r="UIL18" s="38"/>
      <c r="UIM18" s="38"/>
      <c r="UIN18" s="38"/>
      <c r="UIO18" s="38"/>
      <c r="UIP18" s="38"/>
      <c r="UIQ18" s="38"/>
      <c r="UIR18" s="38"/>
      <c r="UIS18" s="38"/>
      <c r="UIT18" s="38"/>
      <c r="UIU18" s="38"/>
      <c r="UIV18" s="38"/>
      <c r="UIW18" s="38"/>
      <c r="UIX18" s="38"/>
      <c r="UIY18" s="38"/>
      <c r="UIZ18" s="38"/>
      <c r="UJA18" s="38"/>
      <c r="UJB18" s="38"/>
      <c r="UJC18" s="38"/>
      <c r="UJD18" s="38"/>
      <c r="UJE18" s="38"/>
      <c r="UJF18" s="38"/>
      <c r="UJG18" s="38"/>
      <c r="UJH18" s="38"/>
      <c r="UJI18" s="38"/>
      <c r="UJJ18" s="38"/>
      <c r="UJK18" s="38"/>
      <c r="UJL18" s="38"/>
      <c r="UJM18" s="38"/>
      <c r="UJN18" s="38"/>
      <c r="UJO18" s="38"/>
      <c r="UJP18" s="38"/>
      <c r="UJQ18" s="38"/>
      <c r="UJR18" s="38"/>
      <c r="UJS18" s="38"/>
      <c r="UJT18" s="38"/>
      <c r="UJU18" s="38"/>
      <c r="UJV18" s="38"/>
      <c r="UJW18" s="38"/>
      <c r="UJX18" s="38"/>
      <c r="UJY18" s="38"/>
      <c r="UJZ18" s="38"/>
      <c r="UKA18" s="38"/>
      <c r="UKB18" s="38"/>
      <c r="UKC18" s="38"/>
      <c r="UKD18" s="38"/>
      <c r="UKE18" s="38"/>
      <c r="UKF18" s="38"/>
      <c r="UKG18" s="38"/>
      <c r="UKH18" s="38"/>
      <c r="UKI18" s="38"/>
      <c r="UKJ18" s="38"/>
      <c r="UKK18" s="38"/>
      <c r="UKL18" s="38"/>
      <c r="UKM18" s="38"/>
      <c r="UKN18" s="38"/>
      <c r="UKO18" s="38"/>
      <c r="UKP18" s="38"/>
      <c r="UKQ18" s="38"/>
      <c r="UKR18" s="38"/>
      <c r="UKS18" s="38"/>
      <c r="UKT18" s="38"/>
      <c r="UKU18" s="38"/>
      <c r="UKV18" s="38"/>
      <c r="UKW18" s="38"/>
      <c r="UKX18" s="38"/>
      <c r="UKY18" s="38"/>
      <c r="UKZ18" s="38"/>
      <c r="ULA18" s="38"/>
      <c r="ULB18" s="38"/>
      <c r="ULC18" s="38"/>
      <c r="ULD18" s="38"/>
      <c r="ULE18" s="38"/>
      <c r="ULF18" s="38"/>
      <c r="ULG18" s="38"/>
      <c r="ULH18" s="38"/>
      <c r="ULI18" s="38"/>
      <c r="ULJ18" s="38"/>
      <c r="ULK18" s="38"/>
      <c r="ULL18" s="38"/>
      <c r="ULM18" s="38"/>
      <c r="ULN18" s="38"/>
      <c r="ULO18" s="38"/>
      <c r="ULP18" s="38"/>
      <c r="ULQ18" s="38"/>
      <c r="ULR18" s="38"/>
      <c r="ULS18" s="38"/>
      <c r="ULT18" s="38"/>
      <c r="ULU18" s="38"/>
      <c r="ULV18" s="38"/>
      <c r="ULW18" s="38"/>
      <c r="ULX18" s="38"/>
      <c r="ULY18" s="38"/>
      <c r="ULZ18" s="38"/>
      <c r="UMA18" s="38"/>
      <c r="UMB18" s="38"/>
      <c r="UMC18" s="38"/>
      <c r="UMD18" s="38"/>
      <c r="UME18" s="38"/>
      <c r="UMF18" s="38"/>
      <c r="UMG18" s="38"/>
      <c r="UMH18" s="38"/>
      <c r="UMI18" s="38"/>
      <c r="UMJ18" s="38"/>
      <c r="UMK18" s="38"/>
      <c r="UML18" s="38"/>
      <c r="UMM18" s="38"/>
      <c r="UMN18" s="38"/>
      <c r="UMO18" s="38"/>
      <c r="UMP18" s="38"/>
      <c r="UMQ18" s="38"/>
      <c r="UMR18" s="38"/>
      <c r="UMS18" s="38"/>
      <c r="UMT18" s="38"/>
      <c r="UMU18" s="38"/>
      <c r="UMV18" s="38"/>
      <c r="UMW18" s="38"/>
      <c r="UMX18" s="38"/>
      <c r="UMY18" s="38"/>
      <c r="UMZ18" s="38"/>
      <c r="UNA18" s="38"/>
      <c r="UNB18" s="38"/>
      <c r="UNC18" s="38"/>
      <c r="UND18" s="38"/>
      <c r="UNE18" s="38"/>
      <c r="UNF18" s="38"/>
      <c r="UNG18" s="38"/>
      <c r="UNH18" s="38"/>
      <c r="UNI18" s="38"/>
      <c r="UNJ18" s="38"/>
      <c r="UNK18" s="38"/>
      <c r="UNL18" s="38"/>
      <c r="UNM18" s="38"/>
      <c r="UNN18" s="38"/>
      <c r="UNO18" s="38"/>
      <c r="UNP18" s="38"/>
      <c r="UNQ18" s="38"/>
      <c r="UNR18" s="38"/>
      <c r="UNS18" s="38"/>
      <c r="UNT18" s="38"/>
      <c r="UNU18" s="38"/>
      <c r="UNV18" s="38"/>
      <c r="UNW18" s="38"/>
      <c r="UNX18" s="38"/>
      <c r="UNY18" s="38"/>
      <c r="UNZ18" s="38"/>
      <c r="UOA18" s="38"/>
      <c r="UOB18" s="38"/>
      <c r="UOC18" s="38"/>
      <c r="UOD18" s="38"/>
      <c r="UOE18" s="38"/>
      <c r="UOF18" s="38"/>
      <c r="UOG18" s="38"/>
      <c r="UOH18" s="38"/>
      <c r="UOI18" s="38"/>
      <c r="UOJ18" s="38"/>
      <c r="UOK18" s="38"/>
      <c r="UOL18" s="38"/>
      <c r="UOM18" s="38"/>
      <c r="UON18" s="38"/>
      <c r="UOO18" s="38"/>
      <c r="UOP18" s="38"/>
      <c r="UOQ18" s="38"/>
      <c r="UOR18" s="38"/>
      <c r="UOS18" s="38"/>
      <c r="UOT18" s="38"/>
      <c r="UOU18" s="38"/>
      <c r="UOV18" s="38"/>
      <c r="UOW18" s="38"/>
      <c r="UOX18" s="38"/>
      <c r="UOY18" s="38"/>
      <c r="UOZ18" s="38"/>
      <c r="UPA18" s="38"/>
      <c r="UPB18" s="38"/>
      <c r="UPC18" s="38"/>
      <c r="UPD18" s="38"/>
      <c r="UPE18" s="38"/>
      <c r="UPF18" s="38"/>
      <c r="UPG18" s="38"/>
      <c r="UPH18" s="38"/>
      <c r="UPI18" s="38"/>
      <c r="UPJ18" s="38"/>
      <c r="UPK18" s="38"/>
      <c r="UPL18" s="38"/>
      <c r="UPM18" s="38"/>
      <c r="UPN18" s="38"/>
      <c r="UPO18" s="38"/>
      <c r="UPP18" s="38"/>
      <c r="UPQ18" s="38"/>
      <c r="UPR18" s="38"/>
      <c r="UPS18" s="38"/>
      <c r="UPT18" s="38"/>
      <c r="UPU18" s="38"/>
      <c r="UPV18" s="38"/>
      <c r="UPW18" s="38"/>
      <c r="UPX18" s="38"/>
      <c r="UPY18" s="38"/>
      <c r="UPZ18" s="38"/>
      <c r="UQA18" s="38"/>
      <c r="UQB18" s="38"/>
      <c r="UQC18" s="38"/>
      <c r="UQD18" s="38"/>
      <c r="UQE18" s="38"/>
      <c r="UQF18" s="38"/>
      <c r="UQG18" s="38"/>
      <c r="UQH18" s="38"/>
      <c r="UQI18" s="38"/>
      <c r="UQJ18" s="38"/>
      <c r="UQK18" s="38"/>
      <c r="UQL18" s="38"/>
      <c r="UQM18" s="38"/>
      <c r="UQN18" s="38"/>
      <c r="UQO18" s="38"/>
      <c r="UQP18" s="38"/>
      <c r="UQQ18" s="38"/>
      <c r="UQR18" s="38"/>
      <c r="UQS18" s="38"/>
      <c r="UQT18" s="38"/>
      <c r="UQU18" s="38"/>
      <c r="UQV18" s="38"/>
      <c r="UQW18" s="38"/>
      <c r="UQX18" s="38"/>
      <c r="UQY18" s="38"/>
      <c r="UQZ18" s="38"/>
      <c r="URA18" s="38"/>
      <c r="URB18" s="38"/>
      <c r="URC18" s="38"/>
      <c r="URD18" s="38"/>
      <c r="URE18" s="38"/>
      <c r="URF18" s="38"/>
      <c r="URG18" s="38"/>
      <c r="URH18" s="38"/>
      <c r="URI18" s="38"/>
      <c r="URJ18" s="38"/>
      <c r="URK18" s="38"/>
      <c r="URL18" s="38"/>
      <c r="URM18" s="38"/>
      <c r="URN18" s="38"/>
      <c r="URO18" s="38"/>
      <c r="URP18" s="38"/>
      <c r="URQ18" s="38"/>
      <c r="URR18" s="38"/>
      <c r="URS18" s="38"/>
      <c r="URT18" s="38"/>
      <c r="URU18" s="38"/>
      <c r="URV18" s="38"/>
      <c r="URW18" s="38"/>
      <c r="URX18" s="38"/>
      <c r="URY18" s="38"/>
      <c r="URZ18" s="38"/>
      <c r="USA18" s="38"/>
      <c r="USB18" s="38"/>
      <c r="USC18" s="38"/>
      <c r="USD18" s="38"/>
      <c r="USE18" s="38"/>
      <c r="USF18" s="38"/>
      <c r="USG18" s="38"/>
      <c r="USH18" s="38"/>
      <c r="USI18" s="38"/>
      <c r="USJ18" s="38"/>
      <c r="USK18" s="38"/>
      <c r="USL18" s="38"/>
      <c r="USM18" s="38"/>
      <c r="USN18" s="38"/>
      <c r="USO18" s="38"/>
      <c r="USP18" s="38"/>
      <c r="USQ18" s="38"/>
      <c r="USR18" s="38"/>
      <c r="USS18" s="38"/>
      <c r="UST18" s="38"/>
      <c r="USU18" s="38"/>
      <c r="USV18" s="38"/>
      <c r="USW18" s="38"/>
      <c r="USX18" s="38"/>
      <c r="USY18" s="38"/>
      <c r="USZ18" s="38"/>
      <c r="UTA18" s="38"/>
      <c r="UTB18" s="38"/>
      <c r="UTC18" s="38"/>
      <c r="UTD18" s="38"/>
      <c r="UTE18" s="38"/>
      <c r="UTF18" s="38"/>
      <c r="UTG18" s="38"/>
      <c r="UTH18" s="38"/>
      <c r="UTI18" s="38"/>
      <c r="UTJ18" s="38"/>
      <c r="UTK18" s="38"/>
      <c r="UTL18" s="38"/>
      <c r="UTM18" s="38"/>
      <c r="UTN18" s="38"/>
      <c r="UTO18" s="38"/>
      <c r="UTP18" s="38"/>
      <c r="UTQ18" s="38"/>
      <c r="UTR18" s="38"/>
      <c r="UTS18" s="38"/>
      <c r="UTT18" s="38"/>
      <c r="UTU18" s="38"/>
      <c r="UTV18" s="38"/>
      <c r="UTW18" s="38"/>
      <c r="UTX18" s="38"/>
      <c r="UTY18" s="38"/>
      <c r="UTZ18" s="38"/>
      <c r="UUA18" s="38"/>
      <c r="UUB18" s="38"/>
      <c r="UUC18" s="38"/>
      <c r="UUD18" s="38"/>
      <c r="UUE18" s="38"/>
      <c r="UUF18" s="38"/>
      <c r="UUG18" s="38"/>
      <c r="UUH18" s="38"/>
      <c r="UUI18" s="38"/>
      <c r="UUJ18" s="38"/>
      <c r="UUK18" s="38"/>
      <c r="UUL18" s="38"/>
      <c r="UUM18" s="38"/>
      <c r="UUN18" s="38"/>
      <c r="UUO18" s="38"/>
      <c r="UUP18" s="38"/>
      <c r="UUQ18" s="38"/>
      <c r="UUR18" s="38"/>
      <c r="UUS18" s="38"/>
      <c r="UUT18" s="38"/>
      <c r="UUU18" s="38"/>
      <c r="UUV18" s="38"/>
      <c r="UUW18" s="38"/>
      <c r="UUX18" s="38"/>
      <c r="UUY18" s="38"/>
      <c r="UUZ18" s="38"/>
      <c r="UVA18" s="38"/>
      <c r="UVB18" s="38"/>
      <c r="UVC18" s="38"/>
      <c r="UVD18" s="38"/>
      <c r="UVE18" s="38"/>
      <c r="UVF18" s="38"/>
      <c r="UVG18" s="38"/>
      <c r="UVH18" s="38"/>
      <c r="UVI18" s="38"/>
      <c r="UVJ18" s="38"/>
      <c r="UVK18" s="38"/>
      <c r="UVL18" s="38"/>
      <c r="UVM18" s="38"/>
      <c r="UVN18" s="38"/>
      <c r="UVO18" s="38"/>
      <c r="UVP18" s="38"/>
      <c r="UVQ18" s="38"/>
      <c r="UVR18" s="38"/>
      <c r="UVS18" s="38"/>
      <c r="UVT18" s="38"/>
      <c r="UVU18" s="38"/>
      <c r="UVV18" s="38"/>
      <c r="UVW18" s="38"/>
      <c r="UVX18" s="38"/>
      <c r="UVY18" s="38"/>
      <c r="UVZ18" s="38"/>
      <c r="UWA18" s="38"/>
      <c r="UWB18" s="38"/>
      <c r="UWC18" s="38"/>
      <c r="UWD18" s="38"/>
      <c r="UWE18" s="38"/>
      <c r="UWF18" s="38"/>
      <c r="UWG18" s="38"/>
      <c r="UWH18" s="38"/>
      <c r="UWI18" s="38"/>
      <c r="UWJ18" s="38"/>
      <c r="UWK18" s="38"/>
      <c r="UWL18" s="38"/>
      <c r="UWM18" s="38"/>
      <c r="UWN18" s="38"/>
      <c r="UWO18" s="38"/>
      <c r="UWP18" s="38"/>
      <c r="UWQ18" s="38"/>
      <c r="UWR18" s="38"/>
      <c r="UWS18" s="38"/>
      <c r="UWT18" s="38"/>
      <c r="UWU18" s="38"/>
      <c r="UWV18" s="38"/>
      <c r="UWW18" s="38"/>
      <c r="UWX18" s="38"/>
      <c r="UWY18" s="38"/>
      <c r="UWZ18" s="38"/>
      <c r="UXA18" s="38"/>
      <c r="UXB18" s="38"/>
      <c r="UXC18" s="38"/>
      <c r="UXD18" s="38"/>
      <c r="UXE18" s="38"/>
      <c r="UXF18" s="38"/>
      <c r="UXG18" s="38"/>
      <c r="UXH18" s="38"/>
      <c r="UXI18" s="38"/>
      <c r="UXJ18" s="38"/>
      <c r="UXK18" s="38"/>
      <c r="UXL18" s="38"/>
      <c r="UXM18" s="38"/>
      <c r="UXN18" s="38"/>
      <c r="UXO18" s="38"/>
      <c r="UXP18" s="38"/>
      <c r="UXQ18" s="38"/>
      <c r="UXR18" s="38"/>
      <c r="UXS18" s="38"/>
      <c r="UXT18" s="38"/>
      <c r="UXU18" s="38"/>
      <c r="UXV18" s="38"/>
      <c r="UXW18" s="38"/>
      <c r="UXX18" s="38"/>
      <c r="UXY18" s="38"/>
      <c r="UXZ18" s="38"/>
      <c r="UYA18" s="38"/>
      <c r="UYB18" s="38"/>
      <c r="UYC18" s="38"/>
      <c r="UYD18" s="38"/>
      <c r="UYE18" s="38"/>
      <c r="UYF18" s="38"/>
      <c r="UYG18" s="38"/>
      <c r="UYH18" s="38"/>
      <c r="UYI18" s="38"/>
      <c r="UYJ18" s="38"/>
      <c r="UYK18" s="38"/>
      <c r="UYL18" s="38"/>
      <c r="UYM18" s="38"/>
      <c r="UYN18" s="38"/>
      <c r="UYO18" s="38"/>
      <c r="UYP18" s="38"/>
      <c r="UYQ18" s="38"/>
      <c r="UYR18" s="38"/>
      <c r="UYS18" s="38"/>
      <c r="UYT18" s="38"/>
      <c r="UYU18" s="38"/>
      <c r="UYV18" s="38"/>
      <c r="UYW18" s="38"/>
      <c r="UYX18" s="38"/>
      <c r="UYY18" s="38"/>
      <c r="UYZ18" s="38"/>
      <c r="UZA18" s="38"/>
      <c r="UZB18" s="38"/>
      <c r="UZC18" s="38"/>
      <c r="UZD18" s="38"/>
      <c r="UZE18" s="38"/>
      <c r="UZF18" s="38"/>
      <c r="UZG18" s="38"/>
      <c r="UZH18" s="38"/>
      <c r="UZI18" s="38"/>
      <c r="UZJ18" s="38"/>
      <c r="UZK18" s="38"/>
      <c r="UZL18" s="38"/>
      <c r="UZM18" s="38"/>
      <c r="UZN18" s="38"/>
      <c r="UZO18" s="38"/>
      <c r="UZP18" s="38"/>
      <c r="UZQ18" s="38"/>
      <c r="UZR18" s="38"/>
      <c r="UZS18" s="38"/>
      <c r="UZT18" s="38"/>
      <c r="UZU18" s="38"/>
      <c r="UZV18" s="38"/>
      <c r="UZW18" s="38"/>
      <c r="UZX18" s="38"/>
      <c r="UZY18" s="38"/>
      <c r="UZZ18" s="38"/>
      <c r="VAA18" s="38"/>
      <c r="VAB18" s="38"/>
      <c r="VAC18" s="38"/>
      <c r="VAD18" s="38"/>
      <c r="VAE18" s="38"/>
      <c r="VAF18" s="38"/>
      <c r="VAG18" s="38"/>
      <c r="VAH18" s="38"/>
      <c r="VAI18" s="38"/>
      <c r="VAJ18" s="38"/>
      <c r="VAK18" s="38"/>
      <c r="VAL18" s="38"/>
      <c r="VAM18" s="38"/>
      <c r="VAN18" s="38"/>
      <c r="VAO18" s="38"/>
      <c r="VAP18" s="38"/>
      <c r="VAQ18" s="38"/>
      <c r="VAR18" s="38"/>
      <c r="VAS18" s="38"/>
      <c r="VAT18" s="38"/>
      <c r="VAU18" s="38"/>
      <c r="VAV18" s="38"/>
      <c r="VAW18" s="38"/>
      <c r="VAX18" s="38"/>
      <c r="VAY18" s="38"/>
      <c r="VAZ18" s="38"/>
      <c r="VBA18" s="38"/>
      <c r="VBB18" s="38"/>
      <c r="VBC18" s="38"/>
      <c r="VBD18" s="38"/>
      <c r="VBE18" s="38"/>
      <c r="VBF18" s="38"/>
      <c r="VBG18" s="38"/>
      <c r="VBH18" s="38"/>
      <c r="VBI18" s="38"/>
      <c r="VBJ18" s="38"/>
      <c r="VBK18" s="38"/>
      <c r="VBL18" s="38"/>
      <c r="VBM18" s="38"/>
      <c r="VBN18" s="38"/>
      <c r="VBO18" s="38"/>
      <c r="VBP18" s="38"/>
      <c r="VBQ18" s="38"/>
      <c r="VBR18" s="38"/>
      <c r="VBS18" s="38"/>
      <c r="VBT18" s="38"/>
      <c r="VBU18" s="38"/>
      <c r="VBV18" s="38"/>
      <c r="VBW18" s="38"/>
      <c r="VBX18" s="38"/>
      <c r="VBY18" s="38"/>
      <c r="VBZ18" s="38"/>
      <c r="VCA18" s="38"/>
      <c r="VCB18" s="38"/>
      <c r="VCC18" s="38"/>
      <c r="VCD18" s="38"/>
      <c r="VCE18" s="38"/>
      <c r="VCF18" s="38"/>
      <c r="VCG18" s="38"/>
      <c r="VCH18" s="38"/>
      <c r="VCI18" s="38"/>
      <c r="VCJ18" s="38"/>
      <c r="VCK18" s="38"/>
      <c r="VCL18" s="38"/>
      <c r="VCM18" s="38"/>
      <c r="VCN18" s="38"/>
      <c r="VCO18" s="38"/>
      <c r="VCP18" s="38"/>
      <c r="VCQ18" s="38"/>
      <c r="VCR18" s="38"/>
      <c r="VCS18" s="38"/>
      <c r="VCT18" s="38"/>
      <c r="VCU18" s="38"/>
      <c r="VCV18" s="38"/>
      <c r="VCW18" s="38"/>
      <c r="VCX18" s="38"/>
      <c r="VCY18" s="38"/>
      <c r="VCZ18" s="38"/>
      <c r="VDA18" s="38"/>
      <c r="VDB18" s="38"/>
      <c r="VDC18" s="38"/>
      <c r="VDD18" s="38"/>
      <c r="VDE18" s="38"/>
      <c r="VDF18" s="38"/>
      <c r="VDG18" s="38"/>
      <c r="VDH18" s="38"/>
      <c r="VDI18" s="38"/>
      <c r="VDJ18" s="38"/>
      <c r="VDK18" s="38"/>
      <c r="VDL18" s="38"/>
      <c r="VDM18" s="38"/>
      <c r="VDN18" s="38"/>
      <c r="VDO18" s="38"/>
      <c r="VDP18" s="38"/>
      <c r="VDQ18" s="38"/>
      <c r="VDR18" s="38"/>
      <c r="VDS18" s="38"/>
      <c r="VDT18" s="38"/>
      <c r="VDU18" s="38"/>
      <c r="VDV18" s="38"/>
      <c r="VDW18" s="38"/>
      <c r="VDX18" s="38"/>
      <c r="VDY18" s="38"/>
      <c r="VDZ18" s="38"/>
      <c r="VEA18" s="38"/>
      <c r="VEB18" s="38"/>
      <c r="VEC18" s="38"/>
      <c r="VED18" s="38"/>
      <c r="VEE18" s="38"/>
      <c r="VEF18" s="38"/>
      <c r="VEG18" s="38"/>
      <c r="VEH18" s="38"/>
      <c r="VEI18" s="38"/>
      <c r="VEJ18" s="38"/>
      <c r="VEK18" s="38"/>
      <c r="VEL18" s="38"/>
      <c r="VEM18" s="38"/>
      <c r="VEN18" s="38"/>
      <c r="VEO18" s="38"/>
      <c r="VEP18" s="38"/>
      <c r="VEQ18" s="38"/>
      <c r="VER18" s="38"/>
      <c r="VES18" s="38"/>
      <c r="VET18" s="38"/>
      <c r="VEU18" s="38"/>
      <c r="VEV18" s="38"/>
      <c r="VEW18" s="38"/>
      <c r="VEX18" s="38"/>
      <c r="VEY18" s="38"/>
      <c r="VEZ18" s="38"/>
      <c r="VFA18" s="38"/>
      <c r="VFB18" s="38"/>
      <c r="VFC18" s="38"/>
      <c r="VFD18" s="38"/>
      <c r="VFE18" s="38"/>
      <c r="VFF18" s="38"/>
      <c r="VFG18" s="38"/>
      <c r="VFH18" s="38"/>
      <c r="VFI18" s="38"/>
      <c r="VFJ18" s="38"/>
      <c r="VFK18" s="38"/>
      <c r="VFL18" s="38"/>
      <c r="VFM18" s="38"/>
      <c r="VFN18" s="38"/>
      <c r="VFO18" s="38"/>
      <c r="VFP18" s="38"/>
      <c r="VFQ18" s="38"/>
      <c r="VFR18" s="38"/>
      <c r="VFS18" s="38"/>
      <c r="VFT18" s="38"/>
      <c r="VFU18" s="38"/>
      <c r="VFV18" s="38"/>
      <c r="VFW18" s="38"/>
      <c r="VFX18" s="38"/>
      <c r="VFY18" s="38"/>
      <c r="VFZ18" s="38"/>
      <c r="VGA18" s="38"/>
      <c r="VGB18" s="38"/>
      <c r="VGC18" s="38"/>
      <c r="VGD18" s="38"/>
      <c r="VGE18" s="38"/>
      <c r="VGF18" s="38"/>
      <c r="VGG18" s="38"/>
      <c r="VGH18" s="38"/>
      <c r="VGI18" s="38"/>
      <c r="VGJ18" s="38"/>
      <c r="VGK18" s="38"/>
      <c r="VGL18" s="38"/>
      <c r="VGM18" s="38"/>
      <c r="VGN18" s="38"/>
      <c r="VGO18" s="38"/>
      <c r="VGP18" s="38"/>
      <c r="VGQ18" s="38"/>
      <c r="VGR18" s="38"/>
      <c r="VGS18" s="38"/>
      <c r="VGT18" s="38"/>
      <c r="VGU18" s="38"/>
      <c r="VGV18" s="38"/>
      <c r="VGW18" s="38"/>
      <c r="VGX18" s="38"/>
      <c r="VGY18" s="38"/>
      <c r="VGZ18" s="38"/>
      <c r="VHA18" s="38"/>
      <c r="VHB18" s="38"/>
      <c r="VHC18" s="38"/>
      <c r="VHD18" s="38"/>
      <c r="VHE18" s="38"/>
      <c r="VHF18" s="38"/>
      <c r="VHG18" s="38"/>
      <c r="VHH18" s="38"/>
      <c r="VHI18" s="38"/>
      <c r="VHJ18" s="38"/>
      <c r="VHK18" s="38"/>
      <c r="VHL18" s="38"/>
      <c r="VHM18" s="38"/>
      <c r="VHN18" s="38"/>
      <c r="VHO18" s="38"/>
      <c r="VHP18" s="38"/>
      <c r="VHQ18" s="38"/>
      <c r="VHR18" s="38"/>
      <c r="VHS18" s="38"/>
      <c r="VHT18" s="38"/>
      <c r="VHU18" s="38"/>
      <c r="VHV18" s="38"/>
      <c r="VHW18" s="38"/>
      <c r="VHX18" s="38"/>
      <c r="VHY18" s="38"/>
      <c r="VHZ18" s="38"/>
      <c r="VIA18" s="38"/>
      <c r="VIB18" s="38"/>
      <c r="VIC18" s="38"/>
      <c r="VID18" s="38"/>
      <c r="VIE18" s="38"/>
      <c r="VIF18" s="38"/>
      <c r="VIG18" s="38"/>
      <c r="VIH18" s="38"/>
      <c r="VII18" s="38"/>
      <c r="VIJ18" s="38"/>
      <c r="VIK18" s="38"/>
      <c r="VIL18" s="38"/>
      <c r="VIM18" s="38"/>
      <c r="VIN18" s="38"/>
      <c r="VIO18" s="38"/>
      <c r="VIP18" s="38"/>
      <c r="VIQ18" s="38"/>
      <c r="VIR18" s="38"/>
      <c r="VIS18" s="38"/>
      <c r="VIT18" s="38"/>
      <c r="VIU18" s="38"/>
      <c r="VIV18" s="38"/>
      <c r="VIW18" s="38"/>
      <c r="VIX18" s="38"/>
      <c r="VIY18" s="38"/>
      <c r="VIZ18" s="38"/>
      <c r="VJA18" s="38"/>
      <c r="VJB18" s="38"/>
      <c r="VJC18" s="38"/>
      <c r="VJD18" s="38"/>
      <c r="VJE18" s="38"/>
      <c r="VJF18" s="38"/>
      <c r="VJG18" s="38"/>
      <c r="VJH18" s="38"/>
      <c r="VJI18" s="38"/>
      <c r="VJJ18" s="38"/>
      <c r="VJK18" s="38"/>
      <c r="VJL18" s="38"/>
      <c r="VJM18" s="38"/>
      <c r="VJN18" s="38"/>
      <c r="VJO18" s="38"/>
      <c r="VJP18" s="38"/>
      <c r="VJQ18" s="38"/>
      <c r="VJR18" s="38"/>
      <c r="VJS18" s="38"/>
      <c r="VJT18" s="38"/>
      <c r="VJU18" s="38"/>
      <c r="VJV18" s="38"/>
      <c r="VJW18" s="38"/>
      <c r="VJX18" s="38"/>
      <c r="VJY18" s="38"/>
      <c r="VJZ18" s="38"/>
      <c r="VKA18" s="38"/>
      <c r="VKB18" s="38"/>
      <c r="VKC18" s="38"/>
      <c r="VKD18" s="38"/>
      <c r="VKE18" s="38"/>
      <c r="VKF18" s="38"/>
      <c r="VKG18" s="38"/>
      <c r="VKH18" s="38"/>
      <c r="VKI18" s="38"/>
      <c r="VKJ18" s="38"/>
      <c r="VKK18" s="38"/>
      <c r="VKL18" s="38"/>
      <c r="VKM18" s="38"/>
      <c r="VKN18" s="38"/>
      <c r="VKO18" s="38"/>
      <c r="VKP18" s="38"/>
      <c r="VKQ18" s="38"/>
      <c r="VKR18" s="38"/>
      <c r="VKS18" s="38"/>
      <c r="VKT18" s="38"/>
      <c r="VKU18" s="38"/>
      <c r="VKV18" s="38"/>
      <c r="VKW18" s="38"/>
      <c r="VKX18" s="38"/>
      <c r="VKY18" s="38"/>
      <c r="VKZ18" s="38"/>
      <c r="VLA18" s="38"/>
      <c r="VLB18" s="38"/>
      <c r="VLC18" s="38"/>
      <c r="VLD18" s="38"/>
      <c r="VLE18" s="38"/>
      <c r="VLF18" s="38"/>
      <c r="VLG18" s="38"/>
      <c r="VLH18" s="38"/>
      <c r="VLI18" s="38"/>
      <c r="VLJ18" s="38"/>
      <c r="VLK18" s="38"/>
      <c r="VLL18" s="38"/>
      <c r="VLM18" s="38"/>
      <c r="VLN18" s="38"/>
      <c r="VLO18" s="38"/>
      <c r="VLP18" s="38"/>
      <c r="VLQ18" s="38"/>
      <c r="VLR18" s="38"/>
      <c r="VLS18" s="38"/>
      <c r="VLT18" s="38"/>
      <c r="VLU18" s="38"/>
      <c r="VLV18" s="38"/>
      <c r="VLW18" s="38"/>
      <c r="VLX18" s="38"/>
      <c r="VLY18" s="38"/>
      <c r="VLZ18" s="38"/>
      <c r="VMA18" s="38"/>
      <c r="VMB18" s="38"/>
      <c r="VMC18" s="38"/>
      <c r="VMD18" s="38"/>
      <c r="VME18" s="38"/>
      <c r="VMF18" s="38"/>
      <c r="VMG18" s="38"/>
      <c r="VMH18" s="38"/>
      <c r="VMI18" s="38"/>
      <c r="VMJ18" s="38"/>
      <c r="VMK18" s="38"/>
      <c r="VML18" s="38"/>
      <c r="VMM18" s="38"/>
      <c r="VMN18" s="38"/>
      <c r="VMO18" s="38"/>
      <c r="VMP18" s="38"/>
      <c r="VMQ18" s="38"/>
      <c r="VMR18" s="38"/>
      <c r="VMS18" s="38"/>
      <c r="VMT18" s="38"/>
      <c r="VMU18" s="38"/>
      <c r="VMV18" s="38"/>
      <c r="VMW18" s="38"/>
      <c r="VMX18" s="38"/>
      <c r="VMY18" s="38"/>
      <c r="VMZ18" s="38"/>
      <c r="VNA18" s="38"/>
      <c r="VNB18" s="38"/>
      <c r="VNC18" s="38"/>
      <c r="VND18" s="38"/>
      <c r="VNE18" s="38"/>
      <c r="VNF18" s="38"/>
      <c r="VNG18" s="38"/>
      <c r="VNH18" s="38"/>
      <c r="VNI18" s="38"/>
      <c r="VNJ18" s="38"/>
      <c r="VNK18" s="38"/>
      <c r="VNL18" s="38"/>
      <c r="VNM18" s="38"/>
      <c r="VNN18" s="38"/>
      <c r="VNO18" s="38"/>
      <c r="VNP18" s="38"/>
      <c r="VNQ18" s="38"/>
      <c r="VNR18" s="38"/>
      <c r="VNS18" s="38"/>
      <c r="VNT18" s="38"/>
      <c r="VNU18" s="38"/>
      <c r="VNV18" s="38"/>
      <c r="VNW18" s="38"/>
      <c r="VNX18" s="38"/>
      <c r="VNY18" s="38"/>
      <c r="VNZ18" s="38"/>
      <c r="VOA18" s="38"/>
      <c r="VOB18" s="38"/>
      <c r="VOC18" s="38"/>
      <c r="VOD18" s="38"/>
      <c r="VOE18" s="38"/>
      <c r="VOF18" s="38"/>
      <c r="VOG18" s="38"/>
      <c r="VOH18" s="38"/>
      <c r="VOI18" s="38"/>
      <c r="VOJ18" s="38"/>
      <c r="VOK18" s="38"/>
      <c r="VOL18" s="38"/>
      <c r="VOM18" s="38"/>
      <c r="VON18" s="38"/>
      <c r="VOO18" s="38"/>
      <c r="VOP18" s="38"/>
      <c r="VOQ18" s="38"/>
      <c r="VOR18" s="38"/>
      <c r="VOS18" s="38"/>
      <c r="VOT18" s="38"/>
      <c r="VOU18" s="38"/>
      <c r="VOV18" s="38"/>
      <c r="VOW18" s="38"/>
      <c r="VOX18" s="38"/>
      <c r="VOY18" s="38"/>
      <c r="VOZ18" s="38"/>
      <c r="VPA18" s="38"/>
      <c r="VPB18" s="38"/>
      <c r="VPC18" s="38"/>
      <c r="VPD18" s="38"/>
      <c r="VPE18" s="38"/>
      <c r="VPF18" s="38"/>
      <c r="VPG18" s="38"/>
      <c r="VPH18" s="38"/>
      <c r="VPI18" s="38"/>
      <c r="VPJ18" s="38"/>
      <c r="VPK18" s="38"/>
      <c r="VPL18" s="38"/>
      <c r="VPM18" s="38"/>
      <c r="VPN18" s="38"/>
      <c r="VPO18" s="38"/>
      <c r="VPP18" s="38"/>
      <c r="VPQ18" s="38"/>
      <c r="VPR18" s="38"/>
      <c r="VPS18" s="38"/>
      <c r="VPT18" s="38"/>
      <c r="VPU18" s="38"/>
      <c r="VPV18" s="38"/>
      <c r="VPW18" s="38"/>
      <c r="VPX18" s="38"/>
      <c r="VPY18" s="38"/>
      <c r="VPZ18" s="38"/>
      <c r="VQA18" s="38"/>
      <c r="VQB18" s="38"/>
      <c r="VQC18" s="38"/>
      <c r="VQD18" s="38"/>
      <c r="VQE18" s="38"/>
      <c r="VQF18" s="38"/>
      <c r="VQG18" s="38"/>
      <c r="VQH18" s="38"/>
      <c r="VQI18" s="38"/>
      <c r="VQJ18" s="38"/>
      <c r="VQK18" s="38"/>
      <c r="VQL18" s="38"/>
      <c r="VQM18" s="38"/>
      <c r="VQN18" s="38"/>
      <c r="VQO18" s="38"/>
      <c r="VQP18" s="38"/>
      <c r="VQQ18" s="38"/>
      <c r="VQR18" s="38"/>
      <c r="VQS18" s="38"/>
      <c r="VQT18" s="38"/>
      <c r="VQU18" s="38"/>
      <c r="VQV18" s="38"/>
      <c r="VQW18" s="38"/>
      <c r="VQX18" s="38"/>
      <c r="VQY18" s="38"/>
      <c r="VQZ18" s="38"/>
      <c r="VRA18" s="38"/>
      <c r="VRB18" s="38"/>
      <c r="VRC18" s="38"/>
      <c r="VRD18" s="38"/>
      <c r="VRE18" s="38"/>
      <c r="VRF18" s="38"/>
      <c r="VRG18" s="38"/>
      <c r="VRH18" s="38"/>
      <c r="VRI18" s="38"/>
      <c r="VRJ18" s="38"/>
      <c r="VRK18" s="38"/>
      <c r="VRL18" s="38"/>
      <c r="VRM18" s="38"/>
      <c r="VRN18" s="38"/>
      <c r="VRO18" s="38"/>
      <c r="VRP18" s="38"/>
      <c r="VRQ18" s="38"/>
      <c r="VRR18" s="38"/>
      <c r="VRS18" s="38"/>
      <c r="VRT18" s="38"/>
      <c r="VRU18" s="38"/>
      <c r="VRV18" s="38"/>
      <c r="VRW18" s="38"/>
      <c r="VRX18" s="38"/>
      <c r="VRY18" s="38"/>
      <c r="VRZ18" s="38"/>
      <c r="VSA18" s="38"/>
      <c r="VSB18" s="38"/>
      <c r="VSC18" s="38"/>
      <c r="VSD18" s="38"/>
      <c r="VSE18" s="38"/>
      <c r="VSF18" s="38"/>
      <c r="VSG18" s="38"/>
      <c r="VSH18" s="38"/>
      <c r="VSI18" s="38"/>
      <c r="VSJ18" s="38"/>
      <c r="VSK18" s="38"/>
      <c r="VSL18" s="38"/>
      <c r="VSM18" s="38"/>
      <c r="VSN18" s="38"/>
      <c r="VSO18" s="38"/>
      <c r="VSP18" s="38"/>
      <c r="VSQ18" s="38"/>
      <c r="VSR18" s="38"/>
      <c r="VSS18" s="38"/>
      <c r="VST18" s="38"/>
      <c r="VSU18" s="38"/>
      <c r="VSV18" s="38"/>
      <c r="VSW18" s="38"/>
      <c r="VSX18" s="38"/>
      <c r="VSY18" s="38"/>
      <c r="VSZ18" s="38"/>
      <c r="VTA18" s="38"/>
      <c r="VTB18" s="38"/>
      <c r="VTC18" s="38"/>
      <c r="VTD18" s="38"/>
      <c r="VTE18" s="38"/>
      <c r="VTF18" s="38"/>
      <c r="VTG18" s="38"/>
      <c r="VTH18" s="38"/>
      <c r="VTI18" s="38"/>
      <c r="VTJ18" s="38"/>
      <c r="VTK18" s="38"/>
      <c r="VTL18" s="38"/>
      <c r="VTM18" s="38"/>
      <c r="VTN18" s="38"/>
      <c r="VTO18" s="38"/>
      <c r="VTP18" s="38"/>
      <c r="VTQ18" s="38"/>
      <c r="VTR18" s="38"/>
      <c r="VTS18" s="38"/>
      <c r="VTT18" s="38"/>
      <c r="VTU18" s="38"/>
      <c r="VTV18" s="38"/>
      <c r="VTW18" s="38"/>
      <c r="VTX18" s="38"/>
      <c r="VTY18" s="38"/>
      <c r="VTZ18" s="38"/>
      <c r="VUA18" s="38"/>
      <c r="VUB18" s="38"/>
      <c r="VUC18" s="38"/>
      <c r="VUD18" s="38"/>
      <c r="VUE18" s="38"/>
      <c r="VUF18" s="38"/>
      <c r="VUG18" s="38"/>
      <c r="VUH18" s="38"/>
      <c r="VUI18" s="38"/>
      <c r="VUJ18" s="38"/>
      <c r="VUK18" s="38"/>
      <c r="VUL18" s="38"/>
      <c r="VUM18" s="38"/>
      <c r="VUN18" s="38"/>
      <c r="VUO18" s="38"/>
      <c r="VUP18" s="38"/>
      <c r="VUQ18" s="38"/>
      <c r="VUR18" s="38"/>
      <c r="VUS18" s="38"/>
      <c r="VUT18" s="38"/>
      <c r="VUU18" s="38"/>
      <c r="VUV18" s="38"/>
      <c r="VUW18" s="38"/>
      <c r="VUX18" s="38"/>
      <c r="VUY18" s="38"/>
      <c r="VUZ18" s="38"/>
      <c r="VVA18" s="38"/>
      <c r="VVB18" s="38"/>
      <c r="VVC18" s="38"/>
      <c r="VVD18" s="38"/>
      <c r="VVE18" s="38"/>
      <c r="VVF18" s="38"/>
      <c r="VVG18" s="38"/>
      <c r="VVH18" s="38"/>
      <c r="VVI18" s="38"/>
      <c r="VVJ18" s="38"/>
      <c r="VVK18" s="38"/>
      <c r="VVL18" s="38"/>
      <c r="VVM18" s="38"/>
      <c r="VVN18" s="38"/>
      <c r="VVO18" s="38"/>
      <c r="VVP18" s="38"/>
      <c r="VVQ18" s="38"/>
      <c r="VVR18" s="38"/>
      <c r="VVS18" s="38"/>
      <c r="VVT18" s="38"/>
      <c r="VVU18" s="38"/>
      <c r="VVV18" s="38"/>
      <c r="VVW18" s="38"/>
      <c r="VVX18" s="38"/>
      <c r="VVY18" s="38"/>
      <c r="VVZ18" s="38"/>
      <c r="VWA18" s="38"/>
      <c r="VWB18" s="38"/>
      <c r="VWC18" s="38"/>
      <c r="VWD18" s="38"/>
      <c r="VWE18" s="38"/>
      <c r="VWF18" s="38"/>
      <c r="VWG18" s="38"/>
      <c r="VWH18" s="38"/>
      <c r="VWI18" s="38"/>
      <c r="VWJ18" s="38"/>
      <c r="VWK18" s="38"/>
      <c r="VWL18" s="38"/>
      <c r="VWM18" s="38"/>
      <c r="VWN18" s="38"/>
      <c r="VWO18" s="38"/>
      <c r="VWP18" s="38"/>
      <c r="VWQ18" s="38"/>
      <c r="VWR18" s="38"/>
      <c r="VWS18" s="38"/>
      <c r="VWT18" s="38"/>
      <c r="VWU18" s="38"/>
      <c r="VWV18" s="38"/>
      <c r="VWW18" s="38"/>
      <c r="VWX18" s="38"/>
      <c r="VWY18" s="38"/>
      <c r="VWZ18" s="38"/>
      <c r="VXA18" s="38"/>
      <c r="VXB18" s="38"/>
      <c r="VXC18" s="38"/>
      <c r="VXD18" s="38"/>
      <c r="VXE18" s="38"/>
      <c r="VXF18" s="38"/>
      <c r="VXG18" s="38"/>
      <c r="VXH18" s="38"/>
      <c r="VXI18" s="38"/>
      <c r="VXJ18" s="38"/>
      <c r="VXK18" s="38"/>
      <c r="VXL18" s="38"/>
      <c r="VXM18" s="38"/>
      <c r="VXN18" s="38"/>
      <c r="VXO18" s="38"/>
      <c r="VXP18" s="38"/>
      <c r="VXQ18" s="38"/>
      <c r="VXR18" s="38"/>
      <c r="VXS18" s="38"/>
      <c r="VXT18" s="38"/>
      <c r="VXU18" s="38"/>
      <c r="VXV18" s="38"/>
      <c r="VXW18" s="38"/>
      <c r="VXX18" s="38"/>
      <c r="VXY18" s="38"/>
      <c r="VXZ18" s="38"/>
      <c r="VYA18" s="38"/>
      <c r="VYB18" s="38"/>
      <c r="VYC18" s="38"/>
      <c r="VYD18" s="38"/>
      <c r="VYE18" s="38"/>
      <c r="VYF18" s="38"/>
      <c r="VYG18" s="38"/>
      <c r="VYH18" s="38"/>
      <c r="VYI18" s="38"/>
      <c r="VYJ18" s="38"/>
      <c r="VYK18" s="38"/>
      <c r="VYL18" s="38"/>
      <c r="VYM18" s="38"/>
      <c r="VYN18" s="38"/>
      <c r="VYO18" s="38"/>
      <c r="VYP18" s="38"/>
      <c r="VYQ18" s="38"/>
      <c r="VYR18" s="38"/>
      <c r="VYS18" s="38"/>
      <c r="VYT18" s="38"/>
      <c r="VYU18" s="38"/>
      <c r="VYV18" s="38"/>
      <c r="VYW18" s="38"/>
      <c r="VYX18" s="38"/>
      <c r="VYY18" s="38"/>
      <c r="VYZ18" s="38"/>
      <c r="VZA18" s="38"/>
      <c r="VZB18" s="38"/>
      <c r="VZC18" s="38"/>
      <c r="VZD18" s="38"/>
      <c r="VZE18" s="38"/>
      <c r="VZF18" s="38"/>
      <c r="VZG18" s="38"/>
      <c r="VZH18" s="38"/>
      <c r="VZI18" s="38"/>
      <c r="VZJ18" s="38"/>
      <c r="VZK18" s="38"/>
      <c r="VZL18" s="38"/>
      <c r="VZM18" s="38"/>
      <c r="VZN18" s="38"/>
      <c r="VZO18" s="38"/>
      <c r="VZP18" s="38"/>
      <c r="VZQ18" s="38"/>
      <c r="VZR18" s="38"/>
      <c r="VZS18" s="38"/>
      <c r="VZT18" s="38"/>
      <c r="VZU18" s="38"/>
      <c r="VZV18" s="38"/>
      <c r="VZW18" s="38"/>
      <c r="VZX18" s="38"/>
      <c r="VZY18" s="38"/>
      <c r="VZZ18" s="38"/>
      <c r="WAA18" s="38"/>
      <c r="WAB18" s="38"/>
      <c r="WAC18" s="38"/>
      <c r="WAD18" s="38"/>
      <c r="WAE18" s="38"/>
      <c r="WAF18" s="38"/>
      <c r="WAG18" s="38"/>
      <c r="WAH18" s="38"/>
      <c r="WAI18" s="38"/>
      <c r="WAJ18" s="38"/>
      <c r="WAK18" s="38"/>
      <c r="WAL18" s="38"/>
      <c r="WAM18" s="38"/>
      <c r="WAN18" s="38"/>
      <c r="WAO18" s="38"/>
      <c r="WAP18" s="38"/>
      <c r="WAQ18" s="38"/>
      <c r="WAR18" s="38"/>
      <c r="WAS18" s="38"/>
      <c r="WAT18" s="38"/>
      <c r="WAU18" s="38"/>
      <c r="WAV18" s="38"/>
      <c r="WAW18" s="38"/>
      <c r="WAX18" s="38"/>
      <c r="WAY18" s="38"/>
      <c r="WAZ18" s="38"/>
      <c r="WBA18" s="38"/>
      <c r="WBB18" s="38"/>
      <c r="WBC18" s="38"/>
      <c r="WBD18" s="38"/>
      <c r="WBE18" s="38"/>
      <c r="WBF18" s="38"/>
      <c r="WBG18" s="38"/>
      <c r="WBH18" s="38"/>
      <c r="WBI18" s="38"/>
      <c r="WBJ18" s="38"/>
      <c r="WBK18" s="38"/>
      <c r="WBL18" s="38"/>
      <c r="WBM18" s="38"/>
      <c r="WBN18" s="38"/>
      <c r="WBO18" s="38"/>
      <c r="WBP18" s="38"/>
      <c r="WBQ18" s="38"/>
      <c r="WBR18" s="38"/>
      <c r="WBS18" s="38"/>
      <c r="WBT18" s="38"/>
      <c r="WBU18" s="38"/>
      <c r="WBV18" s="38"/>
      <c r="WBW18" s="38"/>
      <c r="WBX18" s="38"/>
      <c r="WBY18" s="38"/>
      <c r="WBZ18" s="38"/>
      <c r="WCA18" s="38"/>
      <c r="WCB18" s="38"/>
      <c r="WCC18" s="38"/>
      <c r="WCD18" s="38"/>
      <c r="WCE18" s="38"/>
      <c r="WCF18" s="38"/>
      <c r="WCG18" s="38"/>
      <c r="WCH18" s="38"/>
      <c r="WCI18" s="38"/>
      <c r="WCJ18" s="38"/>
      <c r="WCK18" s="38"/>
      <c r="WCL18" s="38"/>
      <c r="WCM18" s="38"/>
      <c r="WCN18" s="38"/>
      <c r="WCO18" s="38"/>
      <c r="WCP18" s="38"/>
      <c r="WCQ18" s="38"/>
      <c r="WCR18" s="38"/>
      <c r="WCS18" s="38"/>
      <c r="WCT18" s="38"/>
      <c r="WCU18" s="38"/>
      <c r="WCV18" s="38"/>
      <c r="WCW18" s="38"/>
      <c r="WCX18" s="38"/>
      <c r="WCY18" s="38"/>
      <c r="WCZ18" s="38"/>
      <c r="WDA18" s="38"/>
      <c r="WDB18" s="38"/>
      <c r="WDC18" s="38"/>
      <c r="WDD18" s="38"/>
      <c r="WDE18" s="38"/>
      <c r="WDF18" s="38"/>
      <c r="WDG18" s="38"/>
      <c r="WDH18" s="38"/>
      <c r="WDI18" s="38"/>
      <c r="WDJ18" s="38"/>
      <c r="WDK18" s="38"/>
      <c r="WDL18" s="38"/>
      <c r="WDM18" s="38"/>
      <c r="WDN18" s="38"/>
      <c r="WDO18" s="38"/>
      <c r="WDP18" s="38"/>
      <c r="WDQ18" s="38"/>
      <c r="WDR18" s="38"/>
      <c r="WDS18" s="38"/>
      <c r="WDT18" s="38"/>
      <c r="WDU18" s="38"/>
      <c r="WDV18" s="38"/>
      <c r="WDW18" s="38"/>
      <c r="WDX18" s="38"/>
      <c r="WDY18" s="38"/>
      <c r="WDZ18" s="38"/>
      <c r="WEA18" s="38"/>
      <c r="WEB18" s="38"/>
      <c r="WEC18" s="38"/>
      <c r="WED18" s="38"/>
      <c r="WEE18" s="38"/>
      <c r="WEF18" s="38"/>
      <c r="WEG18" s="38"/>
      <c r="WEH18" s="38"/>
      <c r="WEI18" s="38"/>
      <c r="WEJ18" s="38"/>
      <c r="WEK18" s="38"/>
      <c r="WEL18" s="38"/>
      <c r="WEM18" s="38"/>
      <c r="WEN18" s="38"/>
      <c r="WEO18" s="38"/>
      <c r="WEP18" s="38"/>
      <c r="WEQ18" s="38"/>
      <c r="WER18" s="38"/>
      <c r="WES18" s="38"/>
      <c r="WET18" s="38"/>
      <c r="WEU18" s="38"/>
      <c r="WEV18" s="38"/>
      <c r="WEW18" s="38"/>
      <c r="WEX18" s="38"/>
      <c r="WEY18" s="38"/>
      <c r="WEZ18" s="38"/>
      <c r="WFA18" s="38"/>
      <c r="WFB18" s="38"/>
      <c r="WFC18" s="38"/>
      <c r="WFD18" s="38"/>
      <c r="WFE18" s="38"/>
      <c r="WFF18" s="38"/>
      <c r="WFG18" s="38"/>
      <c r="WFH18" s="38"/>
      <c r="WFI18" s="38"/>
      <c r="WFJ18" s="38"/>
      <c r="WFK18" s="38"/>
      <c r="WFL18" s="38"/>
      <c r="WFM18" s="38"/>
      <c r="WFN18" s="38"/>
      <c r="WFO18" s="38"/>
      <c r="WFP18" s="38"/>
      <c r="WFQ18" s="38"/>
      <c r="WFR18" s="38"/>
      <c r="WFS18" s="38"/>
      <c r="WFT18" s="38"/>
      <c r="WFU18" s="38"/>
      <c r="WFV18" s="38"/>
      <c r="WFW18" s="38"/>
      <c r="WFX18" s="38"/>
      <c r="WFY18" s="38"/>
      <c r="WFZ18" s="38"/>
      <c r="WGA18" s="38"/>
      <c r="WGB18" s="38"/>
      <c r="WGC18" s="38"/>
      <c r="WGD18" s="38"/>
      <c r="WGE18" s="38"/>
      <c r="WGF18" s="38"/>
      <c r="WGG18" s="38"/>
      <c r="WGH18" s="38"/>
      <c r="WGI18" s="38"/>
      <c r="WGJ18" s="38"/>
      <c r="WGK18" s="38"/>
      <c r="WGL18" s="38"/>
      <c r="WGM18" s="38"/>
      <c r="WGN18" s="38"/>
      <c r="WGO18" s="38"/>
      <c r="WGP18" s="38"/>
      <c r="WGQ18" s="38"/>
      <c r="WGR18" s="38"/>
      <c r="WGS18" s="38"/>
      <c r="WGT18" s="38"/>
      <c r="WGU18" s="38"/>
      <c r="WGV18" s="38"/>
      <c r="WGW18" s="38"/>
      <c r="WGX18" s="38"/>
      <c r="WGY18" s="38"/>
      <c r="WGZ18" s="38"/>
      <c r="WHA18" s="38"/>
      <c r="WHB18" s="38"/>
      <c r="WHC18" s="38"/>
      <c r="WHD18" s="38"/>
      <c r="WHE18" s="38"/>
      <c r="WHF18" s="38"/>
      <c r="WHG18" s="38"/>
      <c r="WHH18" s="38"/>
      <c r="WHI18" s="38"/>
      <c r="WHJ18" s="38"/>
      <c r="WHK18" s="38"/>
      <c r="WHL18" s="38"/>
      <c r="WHM18" s="38"/>
      <c r="WHN18" s="38"/>
      <c r="WHO18" s="38"/>
      <c r="WHP18" s="38"/>
      <c r="WHQ18" s="38"/>
      <c r="WHR18" s="38"/>
      <c r="WHS18" s="38"/>
      <c r="WHT18" s="38"/>
      <c r="WHU18" s="38"/>
      <c r="WHV18" s="38"/>
      <c r="WHW18" s="38"/>
      <c r="WHX18" s="38"/>
      <c r="WHY18" s="38"/>
      <c r="WHZ18" s="38"/>
      <c r="WIA18" s="38"/>
      <c r="WIB18" s="38"/>
      <c r="WIC18" s="38"/>
      <c r="WID18" s="38"/>
      <c r="WIE18" s="38"/>
      <c r="WIF18" s="38"/>
      <c r="WIG18" s="38"/>
      <c r="WIH18" s="38"/>
      <c r="WII18" s="38"/>
      <c r="WIJ18" s="38"/>
      <c r="WIK18" s="38"/>
      <c r="WIL18" s="38"/>
      <c r="WIM18" s="38"/>
      <c r="WIN18" s="38"/>
      <c r="WIO18" s="38"/>
      <c r="WIP18" s="38"/>
      <c r="WIQ18" s="38"/>
      <c r="WIR18" s="38"/>
      <c r="WIS18" s="38"/>
      <c r="WIT18" s="38"/>
      <c r="WIU18" s="38"/>
      <c r="WIV18" s="38"/>
      <c r="WIW18" s="38"/>
      <c r="WIX18" s="38"/>
      <c r="WIY18" s="38"/>
      <c r="WIZ18" s="38"/>
      <c r="WJA18" s="38"/>
      <c r="WJB18" s="38"/>
      <c r="WJC18" s="38"/>
      <c r="WJD18" s="38"/>
      <c r="WJE18" s="38"/>
      <c r="WJF18" s="38"/>
      <c r="WJG18" s="38"/>
      <c r="WJH18" s="38"/>
      <c r="WJI18" s="38"/>
      <c r="WJJ18" s="38"/>
      <c r="WJK18" s="38"/>
      <c r="WJL18" s="38"/>
      <c r="WJM18" s="38"/>
      <c r="WJN18" s="38"/>
      <c r="WJO18" s="38"/>
      <c r="WJP18" s="38"/>
      <c r="WJQ18" s="38"/>
      <c r="WJR18" s="38"/>
      <c r="WJS18" s="38"/>
      <c r="WJT18" s="38"/>
      <c r="WJU18" s="38"/>
      <c r="WJV18" s="38"/>
      <c r="WJW18" s="38"/>
      <c r="WJX18" s="38"/>
      <c r="WJY18" s="38"/>
      <c r="WJZ18" s="38"/>
      <c r="WKA18" s="38"/>
      <c r="WKB18" s="38"/>
      <c r="WKC18" s="38"/>
      <c r="WKD18" s="38"/>
      <c r="WKE18" s="38"/>
      <c r="WKF18" s="38"/>
      <c r="WKG18" s="38"/>
      <c r="WKH18" s="38"/>
      <c r="WKI18" s="38"/>
      <c r="WKJ18" s="38"/>
      <c r="WKK18" s="38"/>
      <c r="WKL18" s="38"/>
      <c r="WKM18" s="38"/>
      <c r="WKN18" s="38"/>
      <c r="WKO18" s="38"/>
      <c r="WKP18" s="38"/>
      <c r="WKQ18" s="38"/>
      <c r="WKR18" s="38"/>
      <c r="WKS18" s="38"/>
      <c r="WKT18" s="38"/>
      <c r="WKU18" s="38"/>
      <c r="WKV18" s="38"/>
      <c r="WKW18" s="38"/>
      <c r="WKX18" s="38"/>
      <c r="WKY18" s="38"/>
      <c r="WKZ18" s="38"/>
      <c r="WLA18" s="38"/>
      <c r="WLB18" s="38"/>
      <c r="WLC18" s="38"/>
      <c r="WLD18" s="38"/>
      <c r="WLE18" s="38"/>
      <c r="WLF18" s="38"/>
      <c r="WLG18" s="38"/>
      <c r="WLH18" s="38"/>
      <c r="WLI18" s="38"/>
      <c r="WLJ18" s="38"/>
      <c r="WLK18" s="38"/>
      <c r="WLL18" s="38"/>
      <c r="WLM18" s="38"/>
      <c r="WLN18" s="38"/>
      <c r="WLO18" s="38"/>
      <c r="WLP18" s="38"/>
      <c r="WLQ18" s="38"/>
      <c r="WLR18" s="38"/>
      <c r="WLS18" s="38"/>
      <c r="WLT18" s="38"/>
      <c r="WLU18" s="38"/>
      <c r="WLV18" s="38"/>
      <c r="WLW18" s="38"/>
      <c r="WLX18" s="38"/>
      <c r="WLY18" s="38"/>
      <c r="WLZ18" s="38"/>
      <c r="WMA18" s="38"/>
      <c r="WMB18" s="38"/>
      <c r="WMC18" s="38"/>
      <c r="WMD18" s="38"/>
      <c r="WME18" s="38"/>
      <c r="WMF18" s="38"/>
      <c r="WMG18" s="38"/>
      <c r="WMH18" s="38"/>
      <c r="WMI18" s="38"/>
      <c r="WMJ18" s="38"/>
      <c r="WMK18" s="38"/>
      <c r="WML18" s="38"/>
      <c r="WMM18" s="38"/>
      <c r="WMN18" s="38"/>
      <c r="WMO18" s="38"/>
      <c r="WMP18" s="38"/>
      <c r="WMQ18" s="38"/>
      <c r="WMR18" s="38"/>
      <c r="WMS18" s="38"/>
      <c r="WMT18" s="38"/>
      <c r="WMU18" s="38"/>
      <c r="WMV18" s="38"/>
      <c r="WMW18" s="38"/>
      <c r="WMX18" s="38"/>
      <c r="WMY18" s="38"/>
      <c r="WMZ18" s="38"/>
      <c r="WNA18" s="38"/>
      <c r="WNB18" s="38"/>
      <c r="WNC18" s="38"/>
      <c r="WND18" s="38"/>
      <c r="WNE18" s="38"/>
      <c r="WNF18" s="38"/>
      <c r="WNG18" s="38"/>
      <c r="WNH18" s="38"/>
      <c r="WNI18" s="38"/>
      <c r="WNJ18" s="38"/>
      <c r="WNK18" s="38"/>
      <c r="WNL18" s="38"/>
      <c r="WNM18" s="38"/>
      <c r="WNN18" s="38"/>
      <c r="WNO18" s="38"/>
      <c r="WNP18" s="38"/>
      <c r="WNQ18" s="38"/>
      <c r="WNR18" s="38"/>
      <c r="WNS18" s="38"/>
      <c r="WNT18" s="38"/>
      <c r="WNU18" s="38"/>
      <c r="WNV18" s="38"/>
      <c r="WNW18" s="38"/>
      <c r="WNX18" s="38"/>
      <c r="WNY18" s="38"/>
      <c r="WNZ18" s="38"/>
      <c r="WOA18" s="38"/>
      <c r="WOB18" s="38"/>
      <c r="WOC18" s="38"/>
      <c r="WOD18" s="38"/>
      <c r="WOE18" s="38"/>
      <c r="WOF18" s="38"/>
      <c r="WOG18" s="38"/>
      <c r="WOH18" s="38"/>
      <c r="WOI18" s="38"/>
      <c r="WOJ18" s="38"/>
      <c r="WOK18" s="38"/>
      <c r="WOL18" s="38"/>
      <c r="WOM18" s="38"/>
      <c r="WON18" s="38"/>
      <c r="WOO18" s="38"/>
      <c r="WOP18" s="38"/>
      <c r="WOQ18" s="38"/>
      <c r="WOR18" s="38"/>
      <c r="WOS18" s="38"/>
      <c r="WOT18" s="38"/>
      <c r="WOU18" s="38"/>
      <c r="WOV18" s="38"/>
      <c r="WOW18" s="38"/>
      <c r="WOX18" s="38"/>
      <c r="WOY18" s="38"/>
      <c r="WOZ18" s="38"/>
      <c r="WPA18" s="38"/>
      <c r="WPB18" s="38"/>
      <c r="WPC18" s="38"/>
      <c r="WPD18" s="38"/>
      <c r="WPE18" s="38"/>
      <c r="WPF18" s="38"/>
      <c r="WPG18" s="38"/>
      <c r="WPH18" s="38"/>
      <c r="WPI18" s="38"/>
      <c r="WPJ18" s="38"/>
      <c r="WPK18" s="38"/>
      <c r="WPL18" s="38"/>
      <c r="WPM18" s="38"/>
      <c r="WPN18" s="38"/>
      <c r="WPO18" s="38"/>
      <c r="WPP18" s="38"/>
      <c r="WPQ18" s="38"/>
      <c r="WPR18" s="38"/>
      <c r="WPS18" s="38"/>
      <c r="WPT18" s="38"/>
      <c r="WPU18" s="38"/>
      <c r="WPV18" s="38"/>
      <c r="WPW18" s="38"/>
      <c r="WPX18" s="38"/>
      <c r="WPY18" s="38"/>
      <c r="WPZ18" s="38"/>
      <c r="WQA18" s="38"/>
      <c r="WQB18" s="38"/>
      <c r="WQC18" s="38"/>
      <c r="WQD18" s="38"/>
      <c r="WQE18" s="38"/>
      <c r="WQF18" s="38"/>
      <c r="WQG18" s="38"/>
      <c r="WQH18" s="38"/>
      <c r="WQI18" s="38"/>
      <c r="WQJ18" s="38"/>
      <c r="WQK18" s="38"/>
      <c r="WQL18" s="38"/>
      <c r="WQM18" s="38"/>
      <c r="WQN18" s="38"/>
      <c r="WQO18" s="38"/>
      <c r="WQP18" s="38"/>
      <c r="WQQ18" s="38"/>
      <c r="WQR18" s="38"/>
      <c r="WQS18" s="38"/>
      <c r="WQT18" s="38"/>
      <c r="WQU18" s="38"/>
      <c r="WQV18" s="38"/>
      <c r="WQW18" s="38"/>
      <c r="WQX18" s="38"/>
      <c r="WQY18" s="38"/>
      <c r="WQZ18" s="38"/>
      <c r="WRA18" s="38"/>
      <c r="WRB18" s="38"/>
      <c r="WRC18" s="38"/>
      <c r="WRD18" s="38"/>
      <c r="WRE18" s="38"/>
      <c r="WRF18" s="38"/>
      <c r="WRG18" s="38"/>
      <c r="WRH18" s="38"/>
      <c r="WRI18" s="38"/>
      <c r="WRJ18" s="38"/>
      <c r="WRK18" s="38"/>
      <c r="WRL18" s="38"/>
      <c r="WRM18" s="38"/>
      <c r="WRN18" s="38"/>
      <c r="WRO18" s="38"/>
      <c r="WRP18" s="38"/>
      <c r="WRQ18" s="38"/>
      <c r="WRR18" s="38"/>
      <c r="WRS18" s="38"/>
      <c r="WRT18" s="38"/>
      <c r="WRU18" s="38"/>
      <c r="WRV18" s="38"/>
      <c r="WRW18" s="38"/>
      <c r="WRX18" s="38"/>
      <c r="WRY18" s="38"/>
      <c r="WRZ18" s="38"/>
      <c r="WSA18" s="38"/>
      <c r="WSB18" s="38"/>
      <c r="WSC18" s="38"/>
      <c r="WSD18" s="38"/>
      <c r="WSE18" s="38"/>
      <c r="WSF18" s="38"/>
      <c r="WSG18" s="38"/>
      <c r="WSH18" s="38"/>
      <c r="WSI18" s="38"/>
      <c r="WSJ18" s="38"/>
      <c r="WSK18" s="38"/>
      <c r="WSL18" s="38"/>
      <c r="WSM18" s="38"/>
      <c r="WSN18" s="38"/>
      <c r="WSO18" s="38"/>
      <c r="WSP18" s="38"/>
      <c r="WSQ18" s="38"/>
      <c r="WSR18" s="38"/>
      <c r="WSS18" s="38"/>
      <c r="WST18" s="38"/>
      <c r="WSU18" s="38"/>
      <c r="WSV18" s="38"/>
      <c r="WSW18" s="38"/>
      <c r="WSX18" s="38"/>
      <c r="WSY18" s="38"/>
      <c r="WSZ18" s="38"/>
      <c r="WTA18" s="38"/>
      <c r="WTB18" s="38"/>
      <c r="WTC18" s="38"/>
      <c r="WTD18" s="38"/>
      <c r="WTE18" s="38"/>
      <c r="WTF18" s="38"/>
      <c r="WTG18" s="38"/>
      <c r="WTH18" s="38"/>
      <c r="WTI18" s="38"/>
      <c r="WTJ18" s="38"/>
      <c r="WTK18" s="38"/>
      <c r="WTL18" s="38"/>
      <c r="WTM18" s="38"/>
      <c r="WTN18" s="38"/>
      <c r="WTO18" s="38"/>
      <c r="WTP18" s="38"/>
      <c r="WTQ18" s="38"/>
      <c r="WTR18" s="38"/>
      <c r="WTS18" s="38"/>
      <c r="WTT18" s="38"/>
      <c r="WTU18" s="38"/>
      <c r="WTV18" s="38"/>
      <c r="WTW18" s="38"/>
      <c r="WTX18" s="38"/>
      <c r="WTY18" s="38"/>
      <c r="WTZ18" s="38"/>
      <c r="WUA18" s="38"/>
      <c r="WUB18" s="38"/>
      <c r="WUC18" s="38"/>
      <c r="WUD18" s="38"/>
      <c r="WUE18" s="38"/>
      <c r="WUF18" s="38"/>
      <c r="WUG18" s="38"/>
      <c r="WUH18" s="38"/>
      <c r="WUI18" s="38"/>
      <c r="WUJ18" s="38"/>
      <c r="WUK18" s="38"/>
      <c r="WUL18" s="38"/>
      <c r="WUM18" s="38"/>
      <c r="WUN18" s="38"/>
      <c r="WUO18" s="38"/>
      <c r="WUP18" s="38"/>
      <c r="WUQ18" s="38"/>
      <c r="WUR18" s="38"/>
      <c r="WUS18" s="38"/>
      <c r="WUT18" s="38"/>
      <c r="WUU18" s="38"/>
      <c r="WUV18" s="38"/>
      <c r="WUW18" s="38"/>
      <c r="WUX18" s="38"/>
      <c r="WUY18" s="38"/>
      <c r="WUZ18" s="38"/>
      <c r="WVA18" s="38"/>
      <c r="WVB18" s="38"/>
      <c r="WVC18" s="38"/>
      <c r="WVD18" s="38"/>
      <c r="WVE18" s="38"/>
      <c r="WVF18" s="38"/>
      <c r="WVG18" s="38"/>
      <c r="WVH18" s="38"/>
      <c r="WVI18" s="38"/>
      <c r="WVJ18" s="38"/>
      <c r="WVK18" s="38"/>
      <c r="WVL18" s="38"/>
      <c r="WVM18" s="38"/>
      <c r="WVN18" s="38"/>
      <c r="WVO18" s="38"/>
      <c r="WVP18" s="38"/>
      <c r="WVQ18" s="38"/>
      <c r="WVR18" s="38"/>
      <c r="WVS18" s="38"/>
      <c r="WVT18" s="38"/>
      <c r="WVU18" s="38"/>
      <c r="WVV18" s="38"/>
      <c r="WVW18" s="38"/>
      <c r="WVX18" s="38"/>
      <c r="WVY18" s="38"/>
      <c r="WVZ18" s="38"/>
      <c r="WWA18" s="38"/>
      <c r="WWB18" s="38"/>
      <c r="WWC18" s="38"/>
      <c r="WWD18" s="38"/>
      <c r="WWE18" s="38"/>
      <c r="WWF18" s="38"/>
      <c r="WWG18" s="38"/>
      <c r="WWH18" s="38"/>
      <c r="WWI18" s="38"/>
      <c r="WWJ18" s="38"/>
      <c r="WWK18" s="38"/>
      <c r="WWL18" s="38"/>
      <c r="WWM18" s="38"/>
      <c r="WWN18" s="38"/>
      <c r="WWO18" s="38"/>
      <c r="WWP18" s="38"/>
      <c r="WWQ18" s="38"/>
      <c r="WWR18" s="38"/>
      <c r="WWS18" s="38"/>
      <c r="WWT18" s="38"/>
      <c r="WWU18" s="38"/>
      <c r="WWV18" s="38"/>
      <c r="WWW18" s="38"/>
      <c r="WWX18" s="38"/>
      <c r="WWY18" s="38"/>
      <c r="WWZ18" s="38"/>
      <c r="WXA18" s="38"/>
      <c r="WXB18" s="38"/>
      <c r="WXC18" s="38"/>
      <c r="WXD18" s="38"/>
      <c r="WXE18" s="38"/>
      <c r="WXF18" s="38"/>
      <c r="WXG18" s="38"/>
      <c r="WXH18" s="38"/>
      <c r="WXI18" s="38"/>
      <c r="WXJ18" s="38"/>
      <c r="WXK18" s="38"/>
      <c r="WXL18" s="38"/>
      <c r="WXM18" s="38"/>
      <c r="WXN18" s="38"/>
      <c r="WXO18" s="38"/>
      <c r="WXP18" s="38"/>
      <c r="WXQ18" s="38"/>
      <c r="WXR18" s="38"/>
      <c r="WXS18" s="38"/>
      <c r="WXT18" s="38"/>
      <c r="WXU18" s="38"/>
      <c r="WXV18" s="38"/>
      <c r="WXW18" s="38"/>
      <c r="WXX18" s="38"/>
      <c r="WXY18" s="38"/>
      <c r="WXZ18" s="38"/>
      <c r="WYA18" s="38"/>
      <c r="WYB18" s="38"/>
      <c r="WYC18" s="38"/>
      <c r="WYD18" s="38"/>
      <c r="WYE18" s="38"/>
      <c r="WYF18" s="38"/>
      <c r="WYG18" s="38"/>
      <c r="WYH18" s="38"/>
      <c r="WYI18" s="38"/>
      <c r="WYJ18" s="38"/>
      <c r="WYK18" s="38"/>
      <c r="WYL18" s="38"/>
      <c r="WYM18" s="38"/>
      <c r="WYN18" s="38"/>
      <c r="WYO18" s="38"/>
      <c r="WYP18" s="38"/>
      <c r="WYQ18" s="38"/>
      <c r="WYR18" s="38"/>
      <c r="WYS18" s="38"/>
      <c r="WYT18" s="38"/>
      <c r="WYU18" s="38"/>
      <c r="WYV18" s="38"/>
      <c r="WYW18" s="38"/>
      <c r="WYX18" s="38"/>
      <c r="WYY18" s="38"/>
      <c r="WYZ18" s="38"/>
      <c r="WZA18" s="38"/>
      <c r="WZB18" s="38"/>
      <c r="WZC18" s="38"/>
      <c r="WZD18" s="38"/>
      <c r="WZE18" s="38"/>
      <c r="WZF18" s="38"/>
      <c r="WZG18" s="38"/>
      <c r="WZH18" s="38"/>
      <c r="WZI18" s="38"/>
      <c r="WZJ18" s="38"/>
      <c r="WZK18" s="38"/>
      <c r="WZL18" s="38"/>
      <c r="WZM18" s="38"/>
      <c r="WZN18" s="38"/>
      <c r="WZO18" s="38"/>
      <c r="WZP18" s="38"/>
      <c r="WZQ18" s="38"/>
      <c r="WZR18" s="38"/>
      <c r="WZS18" s="38"/>
      <c r="WZT18" s="38"/>
      <c r="WZU18" s="38"/>
      <c r="WZV18" s="38"/>
      <c r="WZW18" s="38"/>
      <c r="WZX18" s="38"/>
      <c r="WZY18" s="38"/>
      <c r="WZZ18" s="38"/>
      <c r="XAA18" s="38"/>
      <c r="XAB18" s="38"/>
      <c r="XAC18" s="38"/>
      <c r="XAD18" s="38"/>
      <c r="XAE18" s="38"/>
      <c r="XAF18" s="38"/>
      <c r="XAG18" s="38"/>
      <c r="XAH18" s="38"/>
      <c r="XAI18" s="38"/>
      <c r="XAJ18" s="38"/>
      <c r="XAK18" s="38"/>
      <c r="XAL18" s="38"/>
      <c r="XAM18" s="38"/>
      <c r="XAN18" s="38"/>
      <c r="XAO18" s="38"/>
      <c r="XAP18" s="38"/>
      <c r="XAQ18" s="38"/>
      <c r="XAR18" s="38"/>
      <c r="XAS18" s="38"/>
      <c r="XAT18" s="38"/>
      <c r="XAU18" s="38"/>
      <c r="XAV18" s="38"/>
      <c r="XAW18" s="38"/>
      <c r="XAX18" s="38"/>
      <c r="XAY18" s="38"/>
      <c r="XAZ18" s="38"/>
      <c r="XBA18" s="38"/>
      <c r="XBB18" s="38"/>
      <c r="XBC18" s="38"/>
      <c r="XBD18" s="38"/>
      <c r="XBE18" s="38"/>
      <c r="XBF18" s="38"/>
      <c r="XBG18" s="38"/>
      <c r="XBH18" s="38"/>
      <c r="XBI18" s="38"/>
      <c r="XBJ18" s="38"/>
      <c r="XBK18" s="38"/>
      <c r="XBL18" s="38"/>
      <c r="XBM18" s="38"/>
      <c r="XBN18" s="38"/>
      <c r="XBO18" s="38"/>
      <c r="XBP18" s="38"/>
      <c r="XBQ18" s="38"/>
      <c r="XBR18" s="38"/>
      <c r="XBS18" s="38"/>
      <c r="XBT18" s="38"/>
      <c r="XBU18" s="38"/>
      <c r="XBV18" s="38"/>
      <c r="XBW18" s="38"/>
      <c r="XBX18" s="38"/>
      <c r="XBY18" s="38"/>
      <c r="XBZ18" s="38"/>
      <c r="XCA18" s="38"/>
      <c r="XCB18" s="38"/>
      <c r="XCC18" s="38"/>
      <c r="XCD18" s="38"/>
      <c r="XCE18" s="38"/>
      <c r="XCF18" s="38"/>
      <c r="XCG18" s="38"/>
      <c r="XCH18" s="38"/>
      <c r="XCI18" s="38"/>
      <c r="XCJ18" s="38"/>
      <c r="XCK18" s="38"/>
      <c r="XCL18" s="38"/>
      <c r="XCM18" s="38"/>
      <c r="XCN18" s="38"/>
      <c r="XCO18" s="38"/>
      <c r="XCP18" s="38"/>
      <c r="XCQ18" s="38"/>
      <c r="XCR18" s="38"/>
      <c r="XCS18" s="38"/>
      <c r="XCT18" s="38"/>
      <c r="XCU18" s="38"/>
      <c r="XCV18" s="38"/>
      <c r="XCW18" s="38"/>
      <c r="XCX18" s="38"/>
      <c r="XCY18" s="38"/>
      <c r="XCZ18" s="38"/>
      <c r="XDA18" s="38"/>
      <c r="XDB18" s="38"/>
      <c r="XDC18" s="38"/>
      <c r="XDD18" s="38"/>
      <c r="XDE18" s="38"/>
      <c r="XDF18" s="38"/>
      <c r="XDG18" s="38"/>
      <c r="XDH18" s="38"/>
      <c r="XDI18" s="38"/>
      <c r="XDJ18" s="38"/>
      <c r="XDK18" s="38"/>
      <c r="XDL18" s="38"/>
      <c r="XDM18" s="38"/>
      <c r="XDN18" s="38"/>
      <c r="XDO18" s="38"/>
      <c r="XDP18" s="38"/>
      <c r="XDQ18" s="38"/>
      <c r="XDR18" s="38"/>
      <c r="XDS18" s="38"/>
      <c r="XDT18" s="38"/>
      <c r="XDU18" s="38"/>
      <c r="XDV18" s="38"/>
      <c r="XDW18" s="38"/>
      <c r="XDX18" s="38"/>
      <c r="XDY18" s="38"/>
      <c r="XDZ18" s="38"/>
      <c r="XEA18" s="38"/>
      <c r="XEB18" s="38"/>
      <c r="XEC18" s="38"/>
      <c r="XED18" s="38"/>
      <c r="XEE18" s="38"/>
      <c r="XEF18" s="38"/>
      <c r="XEG18" s="38"/>
      <c r="XEH18" s="38"/>
      <c r="XEI18" s="38"/>
      <c r="XEJ18" s="38"/>
      <c r="XEK18" s="38"/>
      <c r="XEL18" s="38"/>
      <c r="XEM18" s="38"/>
      <c r="XEN18" s="38"/>
      <c r="XEO18" s="38"/>
      <c r="XEP18" s="38"/>
      <c r="XEQ18" s="38"/>
      <c r="XER18" s="38"/>
      <c r="XES18" s="38"/>
      <c r="XET18" s="38"/>
      <c r="XEU18" s="38"/>
      <c r="XEV18" s="38"/>
      <c r="XEW18" s="38"/>
      <c r="XEX18" s="38"/>
      <c r="XEY18" s="38"/>
      <c r="XEZ18" s="38"/>
      <c r="XFA18" s="38"/>
      <c r="XFB18" s="38"/>
      <c r="XFC18" s="38"/>
      <c r="XFD18" s="38"/>
    </row>
    <row r="19" spans="1:16384" ht="12" customHeight="1">
      <c r="A19" s="678" t="s">
        <v>545</v>
      </c>
      <c r="B19" s="239" t="s">
        <v>324</v>
      </c>
      <c r="C19" s="241" t="s">
        <v>330</v>
      </c>
      <c r="E19" s="703"/>
      <c r="F19" s="703"/>
      <c r="G19" s="703"/>
      <c r="H19" s="703"/>
      <c r="I19" s="703"/>
      <c r="J19" s="703"/>
      <c r="K19" s="703"/>
      <c r="L19" s="38"/>
      <c r="M19" s="661" t="s">
        <v>410</v>
      </c>
      <c r="N19" s="661"/>
      <c r="O19" s="661"/>
      <c r="P19" s="661"/>
      <c r="Q19" s="661"/>
      <c r="R19" s="661"/>
      <c r="S19" s="661"/>
      <c r="T19" s="661"/>
      <c r="U19" s="661"/>
      <c r="V19" s="661"/>
      <c r="W19" s="661"/>
      <c r="X19" s="661"/>
      <c r="Y19" s="661"/>
      <c r="AC19" s="662" t="s">
        <v>415</v>
      </c>
      <c r="AD19" s="662"/>
      <c r="AE19" s="662"/>
      <c r="AI19" s="685" t="s">
        <v>419</v>
      </c>
      <c r="AJ19" s="685"/>
      <c r="AK19" s="685"/>
      <c r="AL19" s="685"/>
      <c r="AM19" s="685"/>
      <c r="AN19" s="685"/>
      <c r="AO19" s="685"/>
      <c r="AP19" s="685"/>
      <c r="AX19" s="38"/>
      <c r="AY19" s="38"/>
      <c r="AZ19" s="38"/>
      <c r="BR19" s="40"/>
      <c r="BS19" s="40"/>
      <c r="BT19" s="40"/>
      <c r="BY19" s="38"/>
      <c r="BZ19" s="38"/>
      <c r="CA19" s="38"/>
      <c r="DY19" s="40"/>
      <c r="DZ19" s="40"/>
      <c r="EA19" s="40"/>
    </row>
    <row r="20" spans="1:16384" ht="12" customHeight="1">
      <c r="A20" s="679"/>
      <c r="B20" s="98" t="s">
        <v>5</v>
      </c>
      <c r="C20" s="121" t="s">
        <v>632</v>
      </c>
      <c r="E20" s="703"/>
      <c r="F20" s="703"/>
      <c r="G20" s="703"/>
      <c r="H20" s="703"/>
      <c r="I20" s="703"/>
      <c r="J20" s="703"/>
      <c r="K20" s="703"/>
      <c r="L20" s="38"/>
      <c r="M20" s="50"/>
      <c r="N20" s="686" t="s">
        <v>383</v>
      </c>
      <c r="O20" s="686"/>
      <c r="P20" s="489" t="s">
        <v>384</v>
      </c>
      <c r="Q20" s="686" t="s">
        <v>29</v>
      </c>
      <c r="R20" s="686"/>
      <c r="S20" s="686"/>
      <c r="T20" s="623" t="s">
        <v>628</v>
      </c>
      <c r="U20" s="686" t="s">
        <v>83</v>
      </c>
      <c r="V20" s="686"/>
      <c r="W20" s="489" t="s">
        <v>32</v>
      </c>
      <c r="X20" s="686" t="s">
        <v>64</v>
      </c>
      <c r="Y20" s="686"/>
      <c r="AC20" s="310" t="s">
        <v>0</v>
      </c>
      <c r="AD20" s="288" t="s">
        <v>221</v>
      </c>
      <c r="AE20" s="310" t="s">
        <v>222</v>
      </c>
      <c r="AI20" s="310" t="s">
        <v>0</v>
      </c>
      <c r="AJ20" s="490" t="s">
        <v>383</v>
      </c>
      <c r="AK20" s="490" t="s">
        <v>384</v>
      </c>
      <c r="AL20" s="418" t="s">
        <v>29</v>
      </c>
      <c r="AM20" s="623" t="s">
        <v>628</v>
      </c>
      <c r="AN20" s="418" t="s">
        <v>31</v>
      </c>
      <c r="AO20" s="310" t="s">
        <v>32</v>
      </c>
      <c r="AP20" s="623" t="s">
        <v>627</v>
      </c>
      <c r="AX20" s="38"/>
      <c r="AY20" s="38"/>
      <c r="AZ20" s="38"/>
      <c r="BR20" s="40"/>
      <c r="BS20" s="40"/>
      <c r="BT20" s="40"/>
      <c r="BY20" s="38"/>
      <c r="BZ20" s="38"/>
      <c r="CA20" s="38"/>
      <c r="DY20" s="40"/>
      <c r="DZ20" s="40"/>
      <c r="EA20" s="40"/>
    </row>
    <row r="21" spans="1:16384" ht="12" customHeight="1">
      <c r="A21" s="679"/>
      <c r="B21" s="98" t="s">
        <v>6</v>
      </c>
      <c r="C21" s="121" t="s">
        <v>633</v>
      </c>
      <c r="E21" s="703"/>
      <c r="F21" s="703"/>
      <c r="G21" s="703"/>
      <c r="H21" s="703"/>
      <c r="I21" s="703"/>
      <c r="J21" s="703"/>
      <c r="K21" s="703"/>
      <c r="L21" s="38"/>
      <c r="M21" s="43" t="s">
        <v>0</v>
      </c>
      <c r="N21" s="282" t="s">
        <v>211</v>
      </c>
      <c r="O21" s="54" t="s">
        <v>212</v>
      </c>
      <c r="P21" s="43" t="s">
        <v>213</v>
      </c>
      <c r="Q21" s="53" t="s">
        <v>214</v>
      </c>
      <c r="R21" s="54" t="s">
        <v>587</v>
      </c>
      <c r="S21" s="55" t="s">
        <v>215</v>
      </c>
      <c r="T21" s="43" t="s">
        <v>216</v>
      </c>
      <c r="U21" s="54" t="s">
        <v>194</v>
      </c>
      <c r="V21" s="54" t="s">
        <v>217</v>
      </c>
      <c r="W21" s="43" t="s">
        <v>220</v>
      </c>
      <c r="X21" s="54" t="s">
        <v>218</v>
      </c>
      <c r="Y21" s="55" t="s">
        <v>219</v>
      </c>
      <c r="AC21" s="72" t="s">
        <v>21</v>
      </c>
      <c r="AD21" s="290">
        <f>AJ21+AL21+AN21+AO21</f>
        <v>8.1685514161169273E-2</v>
      </c>
      <c r="AE21" s="73">
        <f>AK21+AM21+AP21</f>
        <v>0.15382141042127959</v>
      </c>
      <c r="AI21" s="56" t="s">
        <v>21</v>
      </c>
      <c r="AJ21" s="62">
        <v>9.6992710097138293E-3</v>
      </c>
      <c r="AK21" s="62">
        <v>8.8359042367558635E-2</v>
      </c>
      <c r="AL21" s="62">
        <v>3.8269426492529283E-2</v>
      </c>
      <c r="AM21" s="62">
        <v>4.367159498207724E-3</v>
      </c>
      <c r="AN21" s="62">
        <v>1.9693281508630613E-2</v>
      </c>
      <c r="AO21" s="62">
        <v>1.4023535150295547E-2</v>
      </c>
      <c r="AP21" s="62">
        <v>6.1095208555513231E-2</v>
      </c>
      <c r="AX21" s="38"/>
      <c r="AY21" s="38"/>
      <c r="AZ21" s="38"/>
      <c r="BR21" s="40"/>
      <c r="BS21" s="40"/>
      <c r="BT21" s="40"/>
      <c r="BY21" s="38"/>
      <c r="BZ21" s="38"/>
      <c r="CA21" s="38"/>
      <c r="DY21" s="40"/>
      <c r="DZ21" s="40"/>
      <c r="EA21" s="40"/>
    </row>
    <row r="22" spans="1:16384" ht="12" customHeight="1">
      <c r="A22" s="679"/>
      <c r="B22" s="98" t="s">
        <v>7</v>
      </c>
      <c r="C22" s="121" t="s">
        <v>634</v>
      </c>
      <c r="E22" s="703"/>
      <c r="F22" s="703"/>
      <c r="G22" s="703"/>
      <c r="H22" s="703"/>
      <c r="I22" s="703"/>
      <c r="J22" s="703"/>
      <c r="K22" s="703"/>
      <c r="M22" s="56" t="s">
        <v>21</v>
      </c>
      <c r="N22" s="315">
        <v>0.11477163247432193</v>
      </c>
      <c r="O22" s="59">
        <v>2.3789381950161337E-2</v>
      </c>
      <c r="P22" s="62">
        <v>0.27612200739862075</v>
      </c>
      <c r="Q22" s="47">
        <v>1.8212293230055396E-2</v>
      </c>
      <c r="R22" s="47">
        <v>9.5811924928718151E-2</v>
      </c>
      <c r="S22" s="47">
        <v>8.7393816012433179E-2</v>
      </c>
      <c r="T22" s="62">
        <v>3.1193996415769455E-2</v>
      </c>
      <c r="U22" s="47">
        <v>0.316824228447462</v>
      </c>
      <c r="V22" s="47">
        <v>4.1235435345821858E-2</v>
      </c>
      <c r="W22" s="62">
        <v>0.17529418937869434</v>
      </c>
      <c r="X22" s="58">
        <v>3.1777291514706589E-2</v>
      </c>
      <c r="Y22" s="59">
        <v>0.38956897438538468</v>
      </c>
      <c r="AC22" s="72" t="s">
        <v>14</v>
      </c>
      <c r="AD22" s="290">
        <f t="shared" ref="AD22:AD29" si="3">AJ22+AL22+AN22+AO22</f>
        <v>8.4049003739208011E-2</v>
      </c>
      <c r="AE22" s="73">
        <f t="shared" ref="AE22:AE29" si="4">AK22+AM22+AP22</f>
        <v>0.169014633841582</v>
      </c>
      <c r="AI22" s="56" t="s">
        <v>14</v>
      </c>
      <c r="AJ22" s="62">
        <v>1.965629900988097E-2</v>
      </c>
      <c r="AK22" s="62">
        <v>0.11603266559642716</v>
      </c>
      <c r="AL22" s="62">
        <v>3.2230775355004945E-2</v>
      </c>
      <c r="AM22" s="62">
        <v>1.1658826164874413E-2</v>
      </c>
      <c r="AN22" s="62">
        <v>1.3236254110618505E-2</v>
      </c>
      <c r="AO22" s="62">
        <v>1.8925675263703593E-2</v>
      </c>
      <c r="AP22" s="62">
        <v>4.1323142080280428E-2</v>
      </c>
      <c r="AX22" s="38"/>
      <c r="AY22" s="38"/>
      <c r="AZ22" s="38"/>
      <c r="BR22" s="40"/>
      <c r="BS22" s="40"/>
      <c r="BT22" s="40"/>
      <c r="BY22" s="38"/>
      <c r="BZ22" s="38"/>
      <c r="CA22" s="38"/>
      <c r="DY22" s="40"/>
      <c r="DZ22" s="40"/>
      <c r="EA22" s="40"/>
    </row>
    <row r="23" spans="1:16384" ht="12" customHeight="1">
      <c r="A23" s="679"/>
      <c r="B23" s="98" t="s">
        <v>8</v>
      </c>
      <c r="C23" s="121" t="s">
        <v>635</v>
      </c>
      <c r="E23" s="703"/>
      <c r="F23" s="703"/>
      <c r="G23" s="703"/>
      <c r="H23" s="703"/>
      <c r="I23" s="703"/>
      <c r="J23" s="703"/>
      <c r="K23" s="703"/>
      <c r="M23" s="56" t="s">
        <v>14</v>
      </c>
      <c r="N23" s="315">
        <v>0.25344031927472394</v>
      </c>
      <c r="O23" s="59">
        <v>2.736395229500416E-2</v>
      </c>
      <c r="P23" s="62">
        <v>0.36260207998883487</v>
      </c>
      <c r="Q23" s="47">
        <v>3.1118288679502237E-2</v>
      </c>
      <c r="R23" s="47">
        <v>0.11620121317225002</v>
      </c>
      <c r="S23" s="47">
        <v>2.2316157911431683E-2</v>
      </c>
      <c r="T23" s="62">
        <v>8.3277329749102944E-2</v>
      </c>
      <c r="U23" s="47">
        <v>0.19067476457874258</v>
      </c>
      <c r="V23" s="47">
        <v>4.9984401068866612E-2</v>
      </c>
      <c r="W23" s="62">
        <v>0.23657094079629493</v>
      </c>
      <c r="X23" s="58">
        <v>5.263797714563169E-2</v>
      </c>
      <c r="Y23" s="59">
        <v>0.232349209614923</v>
      </c>
      <c r="AC23" s="72" t="s">
        <v>20</v>
      </c>
      <c r="AD23" s="290">
        <f t="shared" si="3"/>
        <v>6.6310817589179089E-2</v>
      </c>
      <c r="AE23" s="73">
        <f t="shared" si="4"/>
        <v>0.1105268577567604</v>
      </c>
      <c r="AI23" s="56" t="s">
        <v>20</v>
      </c>
      <c r="AJ23" s="62">
        <v>1.352671181490264E-2</v>
      </c>
      <c r="AK23" s="62">
        <v>6.4192084874711786E-2</v>
      </c>
      <c r="AL23" s="62">
        <v>2.9739680518143623E-2</v>
      </c>
      <c r="AM23" s="62">
        <v>1.8911290322580685E-2</v>
      </c>
      <c r="AN23" s="62">
        <v>8.8696798137814885E-3</v>
      </c>
      <c r="AO23" s="62">
        <v>1.4174745442351344E-2</v>
      </c>
      <c r="AP23" s="62">
        <v>2.7423482559467926E-2</v>
      </c>
      <c r="AX23" s="38"/>
      <c r="AY23" s="38"/>
      <c r="AZ23" s="38"/>
      <c r="BR23" s="40"/>
      <c r="BS23" s="40"/>
      <c r="BT23" s="40"/>
      <c r="BY23" s="38"/>
      <c r="BZ23" s="38"/>
      <c r="CA23" s="38"/>
      <c r="DY23" s="40"/>
      <c r="DZ23" s="40"/>
      <c r="EA23" s="40"/>
    </row>
    <row r="24" spans="1:16384" ht="12" customHeight="1">
      <c r="A24" s="679"/>
      <c r="B24" s="98" t="s">
        <v>9</v>
      </c>
      <c r="C24" s="121" t="s">
        <v>636</v>
      </c>
      <c r="E24" s="703"/>
      <c r="F24" s="703"/>
      <c r="G24" s="703"/>
      <c r="H24" s="703"/>
      <c r="I24" s="703"/>
      <c r="J24" s="703"/>
      <c r="K24" s="703"/>
      <c r="M24" s="56" t="s">
        <v>20</v>
      </c>
      <c r="N24" s="315">
        <v>0.15182302863126662</v>
      </c>
      <c r="O24" s="59">
        <v>4.1415711581628198E-2</v>
      </c>
      <c r="P24" s="62">
        <v>0.20060026523347432</v>
      </c>
      <c r="Q24" s="47">
        <v>4.3439692000576791E-2</v>
      </c>
      <c r="R24" s="47">
        <v>9.2372340651119461E-2</v>
      </c>
      <c r="S24" s="47">
        <v>2.0712601654322805E-2</v>
      </c>
      <c r="T24" s="62">
        <v>0.13508064516129059</v>
      </c>
      <c r="U24" s="47">
        <v>0.106941932494585</v>
      </c>
      <c r="V24" s="47">
        <v>5.4324973210532992E-2</v>
      </c>
      <c r="W24" s="62">
        <v>0.1771843180293918</v>
      </c>
      <c r="X24" s="58">
        <v>7.7753464624354965E-2</v>
      </c>
      <c r="Y24" s="59">
        <v>0.11137400130301003</v>
      </c>
      <c r="AC24" s="72" t="s">
        <v>22</v>
      </c>
      <c r="AD24" s="290">
        <f t="shared" si="3"/>
        <v>6.3807855098828331E-2</v>
      </c>
      <c r="AE24" s="73">
        <f t="shared" si="4"/>
        <v>8.7737960444718294E-2</v>
      </c>
      <c r="AI24" s="56" t="s">
        <v>22</v>
      </c>
      <c r="AJ24" s="62">
        <v>1.2414755773078413E-2</v>
      </c>
      <c r="AK24" s="62">
        <v>3.7858588678717491E-2</v>
      </c>
      <c r="AL24" s="62">
        <v>3.0267637988447362E-2</v>
      </c>
      <c r="AM24" s="62">
        <v>3.8183243727598536E-2</v>
      </c>
      <c r="AN24" s="62">
        <v>7.4970240468935929E-3</v>
      </c>
      <c r="AO24" s="62">
        <v>1.3628437290408961E-2</v>
      </c>
      <c r="AP24" s="62">
        <v>1.1696128038402271E-2</v>
      </c>
      <c r="AX24" s="38"/>
      <c r="AY24" s="38"/>
      <c r="AZ24" s="38"/>
      <c r="BR24" s="40"/>
      <c r="BS24" s="40"/>
      <c r="BT24" s="40"/>
      <c r="BY24" s="38"/>
      <c r="BZ24" s="38"/>
      <c r="CA24" s="38"/>
      <c r="DY24" s="40"/>
      <c r="DZ24" s="40"/>
      <c r="EA24" s="40"/>
    </row>
    <row r="25" spans="1:16384" ht="12" customHeight="1">
      <c r="A25" s="679"/>
      <c r="B25" s="98" t="s">
        <v>10</v>
      </c>
      <c r="C25" s="121" t="s">
        <v>637</v>
      </c>
      <c r="E25" s="703"/>
      <c r="F25" s="703"/>
      <c r="G25" s="703"/>
      <c r="H25" s="703"/>
      <c r="I25" s="703"/>
      <c r="J25" s="703"/>
      <c r="K25" s="703"/>
      <c r="M25" s="56" t="s">
        <v>22</v>
      </c>
      <c r="N25" s="315">
        <v>0.12792597430518921</v>
      </c>
      <c r="O25" s="59">
        <v>4.9427679595930959E-2</v>
      </c>
      <c r="P25" s="62">
        <v>0.11830808962099215</v>
      </c>
      <c r="Q25" s="47">
        <v>5.0319891665264717E-2</v>
      </c>
      <c r="R25" s="47">
        <v>9.3081533285672605E-2</v>
      </c>
      <c r="S25" s="47">
        <v>1.5901932882996159E-2</v>
      </c>
      <c r="T25" s="62">
        <v>0.27273745519713238</v>
      </c>
      <c r="U25" s="47">
        <v>7.6830125496577001E-2</v>
      </c>
      <c r="V25" s="47">
        <v>5.9479402628761051E-2</v>
      </c>
      <c r="W25" s="62">
        <v>0.17035546613011202</v>
      </c>
      <c r="X25" s="58">
        <v>4.5538536348160727E-2</v>
      </c>
      <c r="Y25" s="59">
        <v>3.5124415640820465E-2</v>
      </c>
      <c r="AC25" s="72" t="s">
        <v>23</v>
      </c>
      <c r="AD25" s="290">
        <f t="shared" si="3"/>
        <v>3.6658889288814167E-2</v>
      </c>
      <c r="AE25" s="73">
        <f t="shared" si="4"/>
        <v>4.4869634140855062E-2</v>
      </c>
      <c r="AI25" s="56" t="s">
        <v>23</v>
      </c>
      <c r="AJ25" s="62">
        <v>4.9490481099058667E-3</v>
      </c>
      <c r="AK25" s="62">
        <v>1.0810358065191279E-2</v>
      </c>
      <c r="AL25" s="62">
        <v>2.1995540470152921E-2</v>
      </c>
      <c r="AM25" s="62">
        <v>3.1401209677419967E-2</v>
      </c>
      <c r="AN25" s="62">
        <v>2.734238517425742E-3</v>
      </c>
      <c r="AO25" s="62">
        <v>6.9800621913296357E-3</v>
      </c>
      <c r="AP25" s="62">
        <v>2.6580663982438209E-3</v>
      </c>
      <c r="AX25" s="38"/>
      <c r="AY25" s="38"/>
      <c r="AZ25" s="38"/>
      <c r="BR25" s="40"/>
      <c r="BS25" s="40"/>
      <c r="BT25" s="40"/>
      <c r="BY25" s="38"/>
      <c r="BZ25" s="38"/>
      <c r="CA25" s="38"/>
      <c r="DY25" s="40"/>
      <c r="DZ25" s="40"/>
      <c r="EA25" s="40"/>
    </row>
    <row r="26" spans="1:16384" ht="12" customHeight="1">
      <c r="A26" s="679"/>
      <c r="B26" s="98" t="s">
        <v>11</v>
      </c>
      <c r="C26" s="121" t="s">
        <v>638</v>
      </c>
      <c r="E26" s="703"/>
      <c r="F26" s="703"/>
      <c r="G26" s="703"/>
      <c r="H26" s="703"/>
      <c r="I26" s="703"/>
      <c r="J26" s="703"/>
      <c r="K26" s="703"/>
      <c r="M26" s="56" t="s">
        <v>23</v>
      </c>
      <c r="N26" s="315">
        <v>3.5078244882314577E-2</v>
      </c>
      <c r="O26" s="59">
        <v>3.5622442402054935E-2</v>
      </c>
      <c r="P26" s="62">
        <v>3.3782368953722747E-2</v>
      </c>
      <c r="Q26" s="47">
        <v>4.9780268162151919E-2</v>
      </c>
      <c r="R26" s="47">
        <v>5.6097137393499169E-2</v>
      </c>
      <c r="S26" s="47">
        <v>9.8885969188379601E-3</v>
      </c>
      <c r="T26" s="62">
        <v>0.22429435483871402</v>
      </c>
      <c r="U26" s="47">
        <v>1.2004707108840201E-2</v>
      </c>
      <c r="V26" s="47">
        <v>3.7708720480718744E-2</v>
      </c>
      <c r="W26" s="62">
        <v>8.7250777391620446E-2</v>
      </c>
      <c r="X26" s="58">
        <v>1.2010697787502E-2</v>
      </c>
      <c r="Y26" s="59">
        <v>6.3207946141795261E-3</v>
      </c>
      <c r="AC26" s="72" t="s">
        <v>24</v>
      </c>
      <c r="AD26" s="290">
        <f t="shared" si="3"/>
        <v>3.0062436932781829E-2</v>
      </c>
      <c r="AE26" s="73">
        <f t="shared" si="4"/>
        <v>2.5909972829198716E-2</v>
      </c>
      <c r="AI26" s="56" t="s">
        <v>24</v>
      </c>
      <c r="AJ26" s="62">
        <v>6.703759143380685E-3</v>
      </c>
      <c r="AK26" s="62">
        <v>2.4568995602707454E-3</v>
      </c>
      <c r="AL26" s="62">
        <v>1.5632616128716796E-2</v>
      </c>
      <c r="AM26" s="62">
        <v>2.2956989247311842E-2</v>
      </c>
      <c r="AN26" s="62">
        <v>1.663016724399889E-3</v>
      </c>
      <c r="AO26" s="62">
        <v>6.0630449362844554E-3</v>
      </c>
      <c r="AP26" s="62">
        <v>4.9608402161612994E-4</v>
      </c>
      <c r="AX26" s="38"/>
      <c r="AY26" s="38"/>
      <c r="AZ26" s="38"/>
      <c r="BR26" s="40"/>
      <c r="BS26" s="40"/>
      <c r="BT26" s="40"/>
      <c r="BY26" s="38"/>
      <c r="BZ26" s="38"/>
      <c r="CA26" s="38"/>
      <c r="DY26" s="40"/>
      <c r="DZ26" s="40"/>
      <c r="EA26" s="40"/>
    </row>
    <row r="27" spans="1:16384" ht="12" customHeight="1">
      <c r="A27" s="679"/>
      <c r="B27" s="98" t="s">
        <v>350</v>
      </c>
      <c r="C27" s="700" t="s">
        <v>606</v>
      </c>
      <c r="E27" s="703"/>
      <c r="F27" s="703"/>
      <c r="G27" s="703"/>
      <c r="H27" s="703"/>
      <c r="I27" s="703"/>
      <c r="J27" s="703"/>
      <c r="K27" s="703"/>
      <c r="M27" s="56" t="s">
        <v>24</v>
      </c>
      <c r="N27" s="315">
        <v>1.5894829712298688E-2</v>
      </c>
      <c r="O27" s="59">
        <v>7.9873158050282514E-2</v>
      </c>
      <c r="P27" s="62">
        <v>7.6778111258460789E-3</v>
      </c>
      <c r="Q27" s="47">
        <v>3.7278990340039383E-2</v>
      </c>
      <c r="R27" s="47">
        <v>4.3260750708005641E-2</v>
      </c>
      <c r="S27" s="47">
        <v>1.7371859452012634E-3</v>
      </c>
      <c r="T27" s="62">
        <v>0.16397849462365599</v>
      </c>
      <c r="U27" s="47">
        <v>6.7026281357691082E-3</v>
      </c>
      <c r="V27" s="47">
        <v>2.3534039580592508E-2</v>
      </c>
      <c r="W27" s="62">
        <v>7.578806170355569E-2</v>
      </c>
      <c r="X27" s="58">
        <v>2.2611232676876284E-3</v>
      </c>
      <c r="Y27" s="59">
        <v>1.1601458469063708E-3</v>
      </c>
      <c r="AC27" s="72" t="s">
        <v>25</v>
      </c>
      <c r="AD27" s="290">
        <f t="shared" si="3"/>
        <v>1.8157654614959409E-2</v>
      </c>
      <c r="AE27" s="73">
        <f t="shared" si="4"/>
        <v>1.0858037429899286E-2</v>
      </c>
      <c r="AI27" s="56" t="s">
        <v>25</v>
      </c>
      <c r="AJ27" s="62">
        <v>1.7132749645610136E-3</v>
      </c>
      <c r="AK27" s="62">
        <v>2.4568995602707456E-4</v>
      </c>
      <c r="AL27" s="62">
        <v>1.1873038317403771E-2</v>
      </c>
      <c r="AM27" s="62">
        <v>1.0310259856630552E-2</v>
      </c>
      <c r="AN27" s="62">
        <v>1.0300938480851834E-3</v>
      </c>
      <c r="AO27" s="62">
        <v>3.5412474849094407E-3</v>
      </c>
      <c r="AP27" s="62">
        <v>3.0208761724165946E-4</v>
      </c>
      <c r="AX27" s="38"/>
      <c r="AY27" s="38"/>
      <c r="AZ27" s="38"/>
      <c r="BR27" s="40"/>
      <c r="BS27" s="40"/>
      <c r="BT27" s="40"/>
      <c r="BY27" s="38"/>
      <c r="BZ27" s="38"/>
      <c r="CA27" s="38"/>
      <c r="DY27" s="40"/>
      <c r="DZ27" s="40"/>
      <c r="EA27" s="40"/>
    </row>
    <row r="28" spans="1:16384" ht="12" customHeight="1">
      <c r="A28" s="679"/>
      <c r="B28" s="98" t="s">
        <v>351</v>
      </c>
      <c r="C28" s="701"/>
      <c r="E28" s="703"/>
      <c r="F28" s="703"/>
      <c r="G28" s="703"/>
      <c r="H28" s="703"/>
      <c r="I28" s="703"/>
      <c r="J28" s="703"/>
      <c r="K28" s="703"/>
      <c r="M28" s="56" t="s">
        <v>25</v>
      </c>
      <c r="N28" s="315">
        <v>2.4116293356591157E-3</v>
      </c>
      <c r="O28" s="59">
        <v>2.2063727300926789E-2</v>
      </c>
      <c r="P28" s="62">
        <v>7.6778111258460791E-4</v>
      </c>
      <c r="Q28" s="47">
        <v>2.958935542068214E-2</v>
      </c>
      <c r="R28" s="47">
        <v>3.2268264872366288E-2</v>
      </c>
      <c r="S28" s="47">
        <v>6.3205506170826607E-4</v>
      </c>
      <c r="T28" s="62">
        <v>7.3644713261646788E-2</v>
      </c>
      <c r="U28" s="47">
        <v>3.4013336808380538E-3</v>
      </c>
      <c r="V28" s="47">
        <v>1.532764537525619E-2</v>
      </c>
      <c r="W28" s="62">
        <v>4.4265593561368007E-2</v>
      </c>
      <c r="X28" s="58">
        <v>2.4313153415996008E-4</v>
      </c>
      <c r="Y28" s="59">
        <v>1.8402313433687261E-3</v>
      </c>
      <c r="AC28" s="72" t="s">
        <v>26</v>
      </c>
      <c r="AD28" s="290">
        <f t="shared" si="3"/>
        <v>1.0576197090312852E-2</v>
      </c>
      <c r="AE28" s="73">
        <f t="shared" si="4"/>
        <v>2.1046830998643585E-3</v>
      </c>
      <c r="AI28" s="56" t="s">
        <v>26</v>
      </c>
      <c r="AJ28" s="62">
        <v>1.0348906109605501E-3</v>
      </c>
      <c r="AK28" s="62">
        <v>4.4670901095831745E-5</v>
      </c>
      <c r="AL28" s="62">
        <v>7.4162272850266083E-3</v>
      </c>
      <c r="AM28" s="62">
        <v>2.0542114695339948E-3</v>
      </c>
      <c r="AN28" s="62">
        <v>2.7641143016498225E-4</v>
      </c>
      <c r="AO28" s="62">
        <v>1.8486677641607104E-3</v>
      </c>
      <c r="AP28" s="62">
        <v>5.8007292345318513E-6</v>
      </c>
      <c r="AX28" s="38"/>
      <c r="AY28" s="38"/>
      <c r="AZ28" s="38"/>
      <c r="BR28" s="40"/>
      <c r="BS28" s="40"/>
      <c r="BT28" s="40"/>
      <c r="BY28" s="38"/>
      <c r="BZ28" s="38"/>
      <c r="CA28" s="38"/>
      <c r="DY28" s="40"/>
      <c r="DZ28" s="40"/>
      <c r="EA28" s="40"/>
    </row>
    <row r="29" spans="1:16384" ht="12" customHeight="1">
      <c r="A29" s="679"/>
      <c r="B29" s="98" t="s">
        <v>352</v>
      </c>
      <c r="C29" s="701"/>
      <c r="E29" s="703"/>
      <c r="F29" s="703"/>
      <c r="G29" s="703"/>
      <c r="H29" s="703"/>
      <c r="I29" s="703"/>
      <c r="J29" s="703"/>
      <c r="K29" s="703"/>
      <c r="M29" s="56" t="s">
        <v>26</v>
      </c>
      <c r="N29" s="315">
        <v>1.1608706665740924E-4</v>
      </c>
      <c r="O29" s="59">
        <v>1.4668064518493305E-2</v>
      </c>
      <c r="P29" s="62">
        <v>1.3959656592447419E-4</v>
      </c>
      <c r="Q29" s="47">
        <v>2.0235881366728006E-2</v>
      </c>
      <c r="R29" s="47">
        <v>1.8616306657134481E-2</v>
      </c>
      <c r="S29" s="47">
        <v>1.8058716048807602E-4</v>
      </c>
      <c r="T29" s="62">
        <v>1.4672939068099961E-2</v>
      </c>
      <c r="U29" s="47">
        <v>3.6014121326520573E-3</v>
      </c>
      <c r="V29" s="47">
        <v>1.4242502339839843E-3</v>
      </c>
      <c r="W29" s="62">
        <v>2.3108347052008881E-2</v>
      </c>
      <c r="X29" s="58">
        <v>0</v>
      </c>
      <c r="Y29" s="59">
        <v>4.0005029203667941E-5</v>
      </c>
      <c r="AC29" s="72" t="s">
        <v>27</v>
      </c>
      <c r="AD29" s="290">
        <f t="shared" si="3"/>
        <v>3.6916314847470714E-3</v>
      </c>
      <c r="AE29" s="73">
        <f t="shared" si="4"/>
        <v>1.5681003584228914E-4</v>
      </c>
      <c r="AI29" s="57" t="s">
        <v>27</v>
      </c>
      <c r="AJ29" s="274">
        <v>3.0198956361603818E-4</v>
      </c>
      <c r="AK29" s="274">
        <v>0</v>
      </c>
      <c r="AL29" s="274">
        <v>2.5750574445747294E-3</v>
      </c>
      <c r="AM29" s="274">
        <v>1.5681003584228914E-4</v>
      </c>
      <c r="AN29" s="275">
        <v>0</v>
      </c>
      <c r="AO29" s="274">
        <v>8.1458447655630389E-4</v>
      </c>
      <c r="AP29" s="274">
        <v>0</v>
      </c>
      <c r="AX29" s="38"/>
      <c r="AY29" s="38"/>
      <c r="AZ29" s="38"/>
      <c r="BR29" s="40"/>
      <c r="BS29" s="40"/>
      <c r="BT29" s="40"/>
      <c r="BY29" s="38"/>
      <c r="BZ29" s="38"/>
      <c r="CA29" s="38"/>
      <c r="DY29" s="40"/>
      <c r="DZ29" s="40"/>
      <c r="EA29" s="40"/>
    </row>
    <row r="30" spans="1:16384" ht="12" customHeight="1">
      <c r="A30" s="679"/>
      <c r="B30" s="98" t="s">
        <v>353</v>
      </c>
      <c r="C30" s="701"/>
      <c r="E30" s="703"/>
      <c r="F30" s="703"/>
      <c r="G30" s="703"/>
      <c r="H30" s="703"/>
      <c r="I30" s="703"/>
      <c r="J30" s="703"/>
      <c r="K30" s="703"/>
      <c r="M30" s="56" t="s">
        <v>27</v>
      </c>
      <c r="N30" s="315">
        <v>0</v>
      </c>
      <c r="O30" s="59">
        <v>4.3141366230862593E-3</v>
      </c>
      <c r="P30" s="63">
        <v>0</v>
      </c>
      <c r="Q30" s="47">
        <v>4.2270507743831847E-3</v>
      </c>
      <c r="R30" s="47">
        <v>9.3258831444311789E-3</v>
      </c>
      <c r="S30" s="47">
        <v>0</v>
      </c>
      <c r="T30" s="63">
        <v>1.1200716845877795E-3</v>
      </c>
      <c r="U30" s="47">
        <v>0</v>
      </c>
      <c r="V30" s="47">
        <v>0</v>
      </c>
      <c r="W30" s="63">
        <v>1.0182305956953798E-2</v>
      </c>
      <c r="X30" s="60">
        <v>0</v>
      </c>
      <c r="Y30" s="61">
        <v>0</v>
      </c>
      <c r="AC30" s="44" t="s">
        <v>71</v>
      </c>
      <c r="AD30" s="291">
        <f>SUM(AD21:AD29)</f>
        <v>0.39500000000000002</v>
      </c>
      <c r="AE30" s="75">
        <f>SUM(AE21:AE29)</f>
        <v>0.60500000000000009</v>
      </c>
      <c r="AI30" s="44" t="s">
        <v>71</v>
      </c>
      <c r="AJ30" s="272">
        <f t="shared" ref="AJ30:AP30" si="5">SUM(AJ21:AJ29)</f>
        <v>7.0000000000000007E-2</v>
      </c>
      <c r="AK30" s="272">
        <f t="shared" si="5"/>
        <v>0.32</v>
      </c>
      <c r="AL30" s="272">
        <f t="shared" si="5"/>
        <v>0.19000000000000006</v>
      </c>
      <c r="AM30" s="272">
        <f t="shared" si="5"/>
        <v>0.14000000000000001</v>
      </c>
      <c r="AN30" s="272">
        <f t="shared" si="5"/>
        <v>5.5E-2</v>
      </c>
      <c r="AO30" s="273">
        <f t="shared" si="5"/>
        <v>7.9999999999999988E-2</v>
      </c>
      <c r="AP30" s="272">
        <f t="shared" si="5"/>
        <v>0.14499999999999999</v>
      </c>
      <c r="AX30" s="38"/>
      <c r="AY30" s="38"/>
      <c r="AZ30" s="38"/>
      <c r="BR30" s="40"/>
      <c r="BS30" s="40"/>
      <c r="BT30" s="40"/>
      <c r="BY30" s="38"/>
      <c r="BZ30" s="38"/>
      <c r="CA30" s="38"/>
      <c r="DY30" s="40"/>
      <c r="DZ30" s="40"/>
      <c r="EA30" s="40"/>
    </row>
    <row r="31" spans="1:16384" ht="12" customHeight="1">
      <c r="A31" s="679"/>
      <c r="B31" s="98" t="s">
        <v>354</v>
      </c>
      <c r="C31" s="701"/>
      <c r="E31" s="703"/>
      <c r="F31" s="703"/>
      <c r="G31" s="703"/>
      <c r="H31" s="703"/>
      <c r="I31" s="703"/>
      <c r="J31" s="703"/>
      <c r="K31" s="703"/>
      <c r="M31" s="44" t="s">
        <v>71</v>
      </c>
      <c r="N31" s="284">
        <f>SUM(N22:O30)</f>
        <v>0.99999999999999978</v>
      </c>
      <c r="O31" s="76"/>
      <c r="P31" s="45">
        <f>SUM(P22:P30)</f>
        <v>0.99999999999999989</v>
      </c>
      <c r="Q31" s="64">
        <f>SUM(Q22:S30)</f>
        <v>1.0000000000000002</v>
      </c>
      <c r="R31" s="79"/>
      <c r="S31" s="76"/>
      <c r="T31" s="45">
        <f>SUM(T22:T30)</f>
        <v>0.99999999999999989</v>
      </c>
      <c r="U31" s="64">
        <f>SUM(U22:V30)</f>
        <v>0.99999999999999989</v>
      </c>
      <c r="V31" s="76"/>
      <c r="W31" s="45">
        <f>SUM(W22:W30)</f>
        <v>1</v>
      </c>
      <c r="X31" s="64">
        <f>SUM(X22:Y30)</f>
        <v>1.0000000000000002</v>
      </c>
      <c r="Y31" s="76"/>
      <c r="AM31" s="49"/>
      <c r="AN31" s="49"/>
      <c r="AO31" s="49"/>
      <c r="AP31" s="49"/>
      <c r="AX31" s="38"/>
      <c r="AY31" s="38"/>
      <c r="AZ31" s="38"/>
      <c r="BR31" s="40"/>
      <c r="BS31" s="40"/>
      <c r="BT31" s="40"/>
      <c r="BY31" s="38"/>
      <c r="BZ31" s="38"/>
      <c r="CA31" s="38"/>
      <c r="DY31" s="40"/>
      <c r="DZ31" s="40"/>
      <c r="EA31" s="40"/>
    </row>
    <row r="32" spans="1:16384" ht="12" customHeight="1">
      <c r="A32" s="679"/>
      <c r="B32" s="98" t="s">
        <v>355</v>
      </c>
      <c r="C32" s="701"/>
      <c r="E32" s="703"/>
      <c r="F32" s="703"/>
      <c r="G32" s="703"/>
      <c r="H32" s="703"/>
      <c r="I32" s="703"/>
      <c r="J32" s="703"/>
      <c r="K32" s="703"/>
      <c r="AX32" s="38"/>
      <c r="AY32" s="38"/>
      <c r="AZ32" s="38"/>
      <c r="BR32" s="40"/>
      <c r="BS32" s="40"/>
      <c r="BT32" s="40"/>
      <c r="BY32" s="38"/>
      <c r="BZ32" s="38"/>
      <c r="CA32" s="38"/>
      <c r="DY32" s="40"/>
      <c r="DZ32" s="40"/>
      <c r="EA32" s="40"/>
    </row>
    <row r="33" spans="1:131" ht="12" customHeight="1">
      <c r="A33" s="679"/>
      <c r="B33" s="98" t="s">
        <v>356</v>
      </c>
      <c r="C33" s="702"/>
      <c r="E33" s="703"/>
      <c r="F33" s="703"/>
      <c r="G33" s="703"/>
      <c r="H33" s="703"/>
      <c r="I33" s="703"/>
      <c r="J33" s="703"/>
      <c r="K33" s="703"/>
      <c r="M33" s="661" t="s">
        <v>411</v>
      </c>
      <c r="N33" s="661"/>
      <c r="O33" s="661"/>
      <c r="P33" s="661"/>
      <c r="Q33" s="661"/>
      <c r="R33" s="661"/>
      <c r="S33" s="661"/>
      <c r="T33" s="661"/>
      <c r="U33" s="661"/>
      <c r="V33" s="661"/>
      <c r="W33" s="661"/>
      <c r="X33" s="661"/>
      <c r="Y33" s="661"/>
      <c r="AC33" s="662" t="s">
        <v>416</v>
      </c>
      <c r="AD33" s="662"/>
      <c r="AE33" s="662"/>
      <c r="AI33" s="685" t="s">
        <v>420</v>
      </c>
      <c r="AJ33" s="685"/>
      <c r="AK33" s="685"/>
      <c r="AL33" s="685"/>
      <c r="AM33" s="685"/>
      <c r="AN33" s="685"/>
      <c r="AO33" s="685"/>
      <c r="AP33" s="685"/>
      <c r="AX33" s="38"/>
      <c r="AY33" s="38"/>
      <c r="AZ33" s="38"/>
      <c r="BR33" s="40"/>
      <c r="BS33" s="40"/>
      <c r="BT33" s="40"/>
      <c r="BY33" s="38"/>
      <c r="BZ33" s="38"/>
      <c r="CA33" s="38"/>
      <c r="DY33" s="40"/>
      <c r="DZ33" s="40"/>
      <c r="EA33" s="40"/>
    </row>
    <row r="34" spans="1:131" ht="12" customHeight="1">
      <c r="A34" s="679"/>
      <c r="B34" s="98" t="s">
        <v>557</v>
      </c>
      <c r="C34" s="700" t="s">
        <v>568</v>
      </c>
      <c r="E34" s="703"/>
      <c r="F34" s="703"/>
      <c r="G34" s="703"/>
      <c r="H34" s="703"/>
      <c r="I34" s="703"/>
      <c r="J34" s="703"/>
      <c r="K34" s="703"/>
      <c r="M34" s="50"/>
      <c r="N34" s="686" t="s">
        <v>383</v>
      </c>
      <c r="O34" s="686"/>
      <c r="P34" s="489" t="s">
        <v>384</v>
      </c>
      <c r="Q34" s="686" t="s">
        <v>29</v>
      </c>
      <c r="R34" s="686"/>
      <c r="S34" s="686"/>
      <c r="T34" s="623" t="s">
        <v>628</v>
      </c>
      <c r="U34" s="686" t="s">
        <v>83</v>
      </c>
      <c r="V34" s="686"/>
      <c r="W34" s="489" t="s">
        <v>32</v>
      </c>
      <c r="X34" s="686" t="s">
        <v>64</v>
      </c>
      <c r="Y34" s="686"/>
      <c r="AC34" s="310" t="s">
        <v>0</v>
      </c>
      <c r="AD34" s="288" t="s">
        <v>221</v>
      </c>
      <c r="AE34" s="310" t="s">
        <v>222</v>
      </c>
      <c r="AI34" s="310" t="s">
        <v>0</v>
      </c>
      <c r="AJ34" s="490" t="s">
        <v>383</v>
      </c>
      <c r="AK34" s="490" t="s">
        <v>384</v>
      </c>
      <c r="AL34" s="418" t="s">
        <v>29</v>
      </c>
      <c r="AM34" s="623" t="s">
        <v>628</v>
      </c>
      <c r="AN34" s="418" t="s">
        <v>31</v>
      </c>
      <c r="AO34" s="310" t="s">
        <v>32</v>
      </c>
      <c r="AP34" s="623" t="s">
        <v>627</v>
      </c>
      <c r="AX34" s="38"/>
      <c r="AY34" s="38"/>
      <c r="AZ34" s="38"/>
      <c r="BR34" s="40"/>
      <c r="BS34" s="40"/>
      <c r="BT34" s="40"/>
      <c r="BY34" s="38"/>
      <c r="BZ34" s="38"/>
      <c r="CA34" s="38"/>
      <c r="DY34" s="40"/>
      <c r="DZ34" s="40"/>
      <c r="EA34" s="40"/>
    </row>
    <row r="35" spans="1:131" ht="12" customHeight="1">
      <c r="A35" s="679"/>
      <c r="B35" s="98" t="s">
        <v>558</v>
      </c>
      <c r="C35" s="701"/>
      <c r="E35" s="703"/>
      <c r="F35" s="703"/>
      <c r="G35" s="703"/>
      <c r="H35" s="703"/>
      <c r="I35" s="703"/>
      <c r="J35" s="703"/>
      <c r="K35" s="703"/>
      <c r="M35" s="43" t="s">
        <v>0</v>
      </c>
      <c r="N35" s="282" t="s">
        <v>211</v>
      </c>
      <c r="O35" s="54" t="s">
        <v>212</v>
      </c>
      <c r="P35" s="43" t="s">
        <v>213</v>
      </c>
      <c r="Q35" s="53" t="s">
        <v>214</v>
      </c>
      <c r="R35" s="54" t="s">
        <v>587</v>
      </c>
      <c r="S35" s="55" t="s">
        <v>215</v>
      </c>
      <c r="T35" s="43" t="s">
        <v>216</v>
      </c>
      <c r="U35" s="54" t="s">
        <v>194</v>
      </c>
      <c r="V35" s="54" t="s">
        <v>217</v>
      </c>
      <c r="W35" s="43" t="s">
        <v>220</v>
      </c>
      <c r="X35" s="54" t="s">
        <v>218</v>
      </c>
      <c r="Y35" s="55" t="s">
        <v>219</v>
      </c>
      <c r="AC35" s="72" t="s">
        <v>21</v>
      </c>
      <c r="AD35" s="290">
        <f>AJ35+AL35+AN35+AO35</f>
        <v>8.6266364066212173E-2</v>
      </c>
      <c r="AE35" s="73">
        <f>AK35+AM35+AP35</f>
        <v>3.3224444696653886E-2</v>
      </c>
      <c r="AI35" s="56" t="s">
        <v>21</v>
      </c>
      <c r="AJ35" s="62">
        <v>0</v>
      </c>
      <c r="AK35" s="62">
        <v>0</v>
      </c>
      <c r="AL35" s="62">
        <v>8.6266364066212173E-2</v>
      </c>
      <c r="AM35" s="62">
        <v>3.3224444696653886E-2</v>
      </c>
      <c r="AN35" s="62">
        <v>0</v>
      </c>
      <c r="AO35" s="62">
        <v>0</v>
      </c>
      <c r="AP35" s="62">
        <v>0</v>
      </c>
      <c r="AX35" s="38"/>
      <c r="AY35" s="38"/>
      <c r="AZ35" s="38"/>
      <c r="BR35" s="40"/>
      <c r="BS35" s="40"/>
      <c r="BT35" s="40"/>
      <c r="BY35" s="38"/>
      <c r="BZ35" s="38"/>
      <c r="CA35" s="38"/>
      <c r="DY35" s="40"/>
      <c r="DZ35" s="40"/>
      <c r="EA35" s="40"/>
    </row>
    <row r="36" spans="1:131" ht="12" customHeight="1">
      <c r="A36" s="679"/>
      <c r="B36" s="98" t="s">
        <v>559</v>
      </c>
      <c r="C36" s="701"/>
      <c r="E36" s="703"/>
      <c r="F36" s="703"/>
      <c r="G36" s="703"/>
      <c r="H36" s="703"/>
      <c r="I36" s="703"/>
      <c r="J36" s="703"/>
      <c r="K36" s="703"/>
      <c r="M36" s="56" t="s">
        <v>21</v>
      </c>
      <c r="N36" s="315">
        <v>0</v>
      </c>
      <c r="O36" s="59">
        <v>0</v>
      </c>
      <c r="P36" s="62">
        <v>0</v>
      </c>
      <c r="Q36" s="47">
        <v>1.0778964914194165E-2</v>
      </c>
      <c r="R36" s="47">
        <v>2.7924172779293356E-2</v>
      </c>
      <c r="S36" s="47">
        <v>0.19444919762059942</v>
      </c>
      <c r="T36" s="62">
        <v>7.4661673475626716E-2</v>
      </c>
      <c r="U36" s="47">
        <v>0</v>
      </c>
      <c r="V36" s="47">
        <v>0</v>
      </c>
      <c r="W36" s="62">
        <v>0</v>
      </c>
      <c r="X36" s="58">
        <v>0</v>
      </c>
      <c r="Y36" s="59">
        <v>0</v>
      </c>
      <c r="AC36" s="72" t="s">
        <v>14</v>
      </c>
      <c r="AD36" s="290">
        <f t="shared" ref="AD36:AD43" si="6">AJ36+AL36+AN36+AO36</f>
        <v>7.6859870823691584E-2</v>
      </c>
      <c r="AE36" s="73">
        <f t="shared" ref="AE36:AE43" si="7">AK36+AM36+AP36</f>
        <v>0.13867823920824862</v>
      </c>
      <c r="AI36" s="56" t="s">
        <v>14</v>
      </c>
      <c r="AJ36" s="62">
        <v>6.4353819479610235E-4</v>
      </c>
      <c r="AK36" s="62">
        <v>0.11971694437431919</v>
      </c>
      <c r="AL36" s="62">
        <v>7.6216332628895475E-2</v>
      </c>
      <c r="AM36" s="62">
        <v>1.8961294833929436E-2</v>
      </c>
      <c r="AN36" s="62">
        <v>0</v>
      </c>
      <c r="AO36" s="62">
        <v>0</v>
      </c>
      <c r="AP36" s="62">
        <v>0</v>
      </c>
      <c r="AX36" s="38"/>
      <c r="AY36" s="38"/>
      <c r="AZ36" s="38"/>
      <c r="BR36" s="40"/>
      <c r="BS36" s="40"/>
      <c r="BT36" s="40"/>
      <c r="BY36" s="38"/>
      <c r="BZ36" s="38"/>
      <c r="CA36" s="38"/>
      <c r="DY36" s="40"/>
      <c r="DZ36" s="40"/>
      <c r="EA36" s="40"/>
    </row>
    <row r="37" spans="1:131" ht="12" customHeight="1">
      <c r="A37" s="679"/>
      <c r="B37" s="98" t="s">
        <v>560</v>
      </c>
      <c r="C37" s="701"/>
      <c r="E37" s="703"/>
      <c r="F37" s="703"/>
      <c r="G37" s="703"/>
      <c r="H37" s="703"/>
      <c r="I37" s="703"/>
      <c r="J37" s="703"/>
      <c r="K37" s="703"/>
      <c r="M37" s="56" t="s">
        <v>14</v>
      </c>
      <c r="N37" s="315">
        <v>0</v>
      </c>
      <c r="O37" s="59">
        <v>6.4353819479610233E-2</v>
      </c>
      <c r="P37" s="62">
        <v>0.68409682499610969</v>
      </c>
      <c r="Q37" s="47">
        <v>7.1342660395400806E-3</v>
      </c>
      <c r="R37" s="47">
        <v>1.8013038112030734E-2</v>
      </c>
      <c r="S37" s="47">
        <v>0.18084278403463316</v>
      </c>
      <c r="T37" s="62">
        <v>4.2609651312200979E-2</v>
      </c>
      <c r="U37" s="47">
        <v>0</v>
      </c>
      <c r="V37" s="47">
        <v>0</v>
      </c>
      <c r="W37" s="62">
        <v>0</v>
      </c>
      <c r="X37" s="58">
        <v>0</v>
      </c>
      <c r="Y37" s="59">
        <v>0</v>
      </c>
      <c r="AC37" s="72" t="s">
        <v>20</v>
      </c>
      <c r="AD37" s="290">
        <f t="shared" si="6"/>
        <v>5.7221022253025063E-2</v>
      </c>
      <c r="AE37" s="73">
        <f t="shared" si="7"/>
        <v>0.14521979045637079</v>
      </c>
      <c r="AI37" s="56" t="s">
        <v>20</v>
      </c>
      <c r="AJ37" s="62">
        <v>3.8576357163432517E-4</v>
      </c>
      <c r="AK37" s="62">
        <v>4.5198015245549901E-2</v>
      </c>
      <c r="AL37" s="62">
        <v>5.6835258681390735E-2</v>
      </c>
      <c r="AM37" s="62">
        <v>0.1000217752108209</v>
      </c>
      <c r="AN37" s="62">
        <v>0</v>
      </c>
      <c r="AO37" s="62">
        <v>0</v>
      </c>
      <c r="AP37" s="62">
        <v>0</v>
      </c>
      <c r="AX37" s="38"/>
      <c r="AY37" s="38"/>
      <c r="AZ37" s="38"/>
      <c r="BR37" s="40"/>
      <c r="BS37" s="40"/>
      <c r="BT37" s="40"/>
      <c r="BY37" s="38"/>
      <c r="BZ37" s="38"/>
      <c r="CA37" s="38"/>
      <c r="DY37" s="40"/>
      <c r="DZ37" s="40"/>
      <c r="EA37" s="40"/>
    </row>
    <row r="38" spans="1:131" ht="12" customHeight="1">
      <c r="A38" s="679"/>
      <c r="B38" s="98" t="s">
        <v>561</v>
      </c>
      <c r="C38" s="701"/>
      <c r="E38" s="703"/>
      <c r="F38" s="703"/>
      <c r="G38" s="703"/>
      <c r="H38" s="703"/>
      <c r="I38" s="703"/>
      <c r="J38" s="703"/>
      <c r="K38" s="703"/>
      <c r="M38" s="56" t="s">
        <v>20</v>
      </c>
      <c r="N38" s="315">
        <v>0</v>
      </c>
      <c r="O38" s="59">
        <v>3.8576357163432516E-2</v>
      </c>
      <c r="P38" s="62">
        <v>0.25827437283171373</v>
      </c>
      <c r="Q38" s="47">
        <v>2.5364430125206495E-2</v>
      </c>
      <c r="R38" s="47">
        <v>0</v>
      </c>
      <c r="S38" s="47">
        <v>0.12824437712179548</v>
      </c>
      <c r="T38" s="62">
        <v>0.22476803418161997</v>
      </c>
      <c r="U38" s="47">
        <v>0</v>
      </c>
      <c r="V38" s="47">
        <v>0</v>
      </c>
      <c r="W38" s="62">
        <v>0</v>
      </c>
      <c r="X38" s="58">
        <v>0</v>
      </c>
      <c r="Y38" s="59">
        <v>0</v>
      </c>
      <c r="AC38" s="72" t="s">
        <v>22</v>
      </c>
      <c r="AD38" s="290">
        <f t="shared" si="6"/>
        <v>5.2136853932059517E-2</v>
      </c>
      <c r="AE38" s="73">
        <f t="shared" si="7"/>
        <v>0.16772218235304104</v>
      </c>
      <c r="AI38" s="56" t="s">
        <v>22</v>
      </c>
      <c r="AJ38" s="62">
        <v>1.3915361924512187E-3</v>
      </c>
      <c r="AK38" s="62">
        <v>1.0085040380130876E-2</v>
      </c>
      <c r="AL38" s="62">
        <v>5.0745317739608296E-2</v>
      </c>
      <c r="AM38" s="62">
        <v>0.15763714197291015</v>
      </c>
      <c r="AN38" s="62">
        <v>0</v>
      </c>
      <c r="AO38" s="62">
        <v>0</v>
      </c>
      <c r="AP38" s="62">
        <v>0</v>
      </c>
      <c r="AX38" s="38"/>
      <c r="AY38" s="38"/>
      <c r="AZ38" s="38"/>
      <c r="BR38" s="40"/>
      <c r="BS38" s="40"/>
      <c r="BT38" s="40"/>
      <c r="BY38" s="38"/>
      <c r="BZ38" s="38"/>
      <c r="CA38" s="38"/>
      <c r="DY38" s="40"/>
      <c r="DZ38" s="40"/>
      <c r="EA38" s="40"/>
    </row>
    <row r="39" spans="1:131" ht="12" customHeight="1">
      <c r="A39" s="679"/>
      <c r="B39" s="98" t="s">
        <v>562</v>
      </c>
      <c r="C39" s="701"/>
      <c r="E39" s="703"/>
      <c r="F39" s="703"/>
      <c r="G39" s="703"/>
      <c r="H39" s="703"/>
      <c r="I39" s="703"/>
      <c r="J39" s="703"/>
      <c r="K39" s="703"/>
      <c r="M39" s="56" t="s">
        <v>22</v>
      </c>
      <c r="N39" s="315">
        <v>0</v>
      </c>
      <c r="O39" s="59">
        <v>0.13915361924512187</v>
      </c>
      <c r="P39" s="62">
        <v>5.762880217217644E-2</v>
      </c>
      <c r="Q39" s="47">
        <v>3.9902275319530271E-2</v>
      </c>
      <c r="R39" s="47">
        <v>0</v>
      </c>
      <c r="S39" s="47">
        <v>9.7247232084816476E-2</v>
      </c>
      <c r="T39" s="62">
        <v>0.35424076847844976</v>
      </c>
      <c r="U39" s="47">
        <v>0</v>
      </c>
      <c r="V39" s="47">
        <v>0</v>
      </c>
      <c r="W39" s="62">
        <v>0</v>
      </c>
      <c r="X39" s="58">
        <v>0</v>
      </c>
      <c r="Y39" s="59">
        <v>0</v>
      </c>
      <c r="AC39" s="72" t="s">
        <v>23</v>
      </c>
      <c r="AD39" s="290">
        <f t="shared" si="6"/>
        <v>7.812776852185789E-2</v>
      </c>
      <c r="AE39" s="73">
        <f t="shared" si="7"/>
        <v>0.10531081316277234</v>
      </c>
      <c r="AI39" s="56" t="s">
        <v>23</v>
      </c>
      <c r="AJ39" s="62">
        <v>2.2025244357015291E-3</v>
      </c>
      <c r="AK39" s="62">
        <v>0</v>
      </c>
      <c r="AL39" s="62">
        <v>7.5925244086156363E-2</v>
      </c>
      <c r="AM39" s="62">
        <v>0.10531081316277234</v>
      </c>
      <c r="AN39" s="62">
        <v>0</v>
      </c>
      <c r="AO39" s="62">
        <v>0</v>
      </c>
      <c r="AP39" s="62">
        <v>0</v>
      </c>
      <c r="AX39" s="38"/>
      <c r="AY39" s="38"/>
      <c r="AZ39" s="38"/>
      <c r="BR39" s="40"/>
      <c r="BS39" s="40"/>
      <c r="BT39" s="40"/>
      <c r="BY39" s="38"/>
      <c r="BZ39" s="38"/>
      <c r="CA39" s="38"/>
      <c r="DY39" s="40"/>
      <c r="DZ39" s="40"/>
      <c r="EA39" s="40"/>
    </row>
    <row r="40" spans="1:131" ht="12" customHeight="1">
      <c r="A40" s="679"/>
      <c r="B40" s="98" t="s">
        <v>563</v>
      </c>
      <c r="C40" s="702"/>
      <c r="E40" s="703"/>
      <c r="F40" s="703"/>
      <c r="G40" s="703"/>
      <c r="H40" s="703"/>
      <c r="I40" s="703"/>
      <c r="J40" s="703"/>
      <c r="K40" s="703"/>
      <c r="M40" s="56" t="s">
        <v>23</v>
      </c>
      <c r="N40" s="315">
        <v>0</v>
      </c>
      <c r="O40" s="59">
        <v>0.22025244357015292</v>
      </c>
      <c r="P40" s="62">
        <v>0</v>
      </c>
      <c r="Q40" s="47">
        <v>6.8139353904250979E-2</v>
      </c>
      <c r="R40" s="47">
        <v>0</v>
      </c>
      <c r="S40" s="47">
        <v>0.13706400849076622</v>
      </c>
      <c r="T40" s="62">
        <v>0.23665351272533108</v>
      </c>
      <c r="U40" s="47">
        <v>0</v>
      </c>
      <c r="V40" s="47">
        <v>0</v>
      </c>
      <c r="W40" s="62">
        <v>0</v>
      </c>
      <c r="X40" s="58">
        <v>0</v>
      </c>
      <c r="Y40" s="59">
        <v>0</v>
      </c>
      <c r="AC40" s="72" t="s">
        <v>24</v>
      </c>
      <c r="AD40" s="290">
        <f t="shared" si="6"/>
        <v>2.7920991242595762E-2</v>
      </c>
      <c r="AE40" s="73">
        <f t="shared" si="7"/>
        <v>2.9844530122913271E-2</v>
      </c>
      <c r="AI40" s="56" t="s">
        <v>24</v>
      </c>
      <c r="AJ40" s="62">
        <v>4.057677515125608E-3</v>
      </c>
      <c r="AK40" s="62">
        <v>0</v>
      </c>
      <c r="AL40" s="62">
        <v>2.3863313727470154E-2</v>
      </c>
      <c r="AM40" s="62">
        <v>2.9844530122913271E-2</v>
      </c>
      <c r="AN40" s="62">
        <v>0</v>
      </c>
      <c r="AO40" s="62">
        <v>0</v>
      </c>
      <c r="AP40" s="62">
        <v>0</v>
      </c>
      <c r="AX40" s="38"/>
      <c r="AY40" s="38"/>
      <c r="AZ40" s="38"/>
      <c r="BR40" s="40"/>
      <c r="BS40" s="40"/>
      <c r="BT40" s="40"/>
      <c r="BY40" s="38"/>
      <c r="BZ40" s="38"/>
      <c r="CA40" s="38"/>
      <c r="DY40" s="40"/>
      <c r="DZ40" s="40"/>
      <c r="EA40" s="40"/>
    </row>
    <row r="41" spans="1:131" ht="12" customHeight="1">
      <c r="A41" s="679"/>
      <c r="B41" s="98" t="s">
        <v>183</v>
      </c>
      <c r="C41" s="242" t="s">
        <v>580</v>
      </c>
      <c r="E41" s="703"/>
      <c r="F41" s="703"/>
      <c r="G41" s="703"/>
      <c r="H41" s="703"/>
      <c r="I41" s="703"/>
      <c r="J41" s="703"/>
      <c r="K41" s="703"/>
      <c r="M41" s="56" t="s">
        <v>24</v>
      </c>
      <c r="N41" s="315">
        <v>0</v>
      </c>
      <c r="O41" s="59">
        <v>0.40576775151256078</v>
      </c>
      <c r="P41" s="62">
        <v>0</v>
      </c>
      <c r="Q41" s="47">
        <v>2.1678759276581465E-2</v>
      </c>
      <c r="R41" s="47">
        <v>0</v>
      </c>
      <c r="S41" s="47">
        <v>4.2816683230094625E-2</v>
      </c>
      <c r="T41" s="62">
        <v>6.7066359826771393E-2</v>
      </c>
      <c r="U41" s="47">
        <v>0</v>
      </c>
      <c r="V41" s="47">
        <v>0</v>
      </c>
      <c r="W41" s="62">
        <v>0</v>
      </c>
      <c r="X41" s="58">
        <v>0</v>
      </c>
      <c r="Y41" s="59">
        <v>0</v>
      </c>
      <c r="AC41" s="72" t="s">
        <v>25</v>
      </c>
      <c r="AD41" s="290">
        <f t="shared" si="6"/>
        <v>1.4671291605579744E-3</v>
      </c>
      <c r="AE41" s="73">
        <f t="shared" si="7"/>
        <v>0</v>
      </c>
      <c r="AI41" s="56" t="s">
        <v>25</v>
      </c>
      <c r="AJ41" s="62">
        <v>1.3189600902912186E-3</v>
      </c>
      <c r="AK41" s="62">
        <v>0</v>
      </c>
      <c r="AL41" s="62">
        <v>1.4816907026675584E-4</v>
      </c>
      <c r="AM41" s="62">
        <v>0</v>
      </c>
      <c r="AN41" s="62">
        <v>0</v>
      </c>
      <c r="AO41" s="62">
        <v>0</v>
      </c>
      <c r="AP41" s="62">
        <v>0</v>
      </c>
      <c r="AX41" s="38"/>
      <c r="AY41" s="38"/>
      <c r="AZ41" s="38"/>
      <c r="BR41" s="40"/>
      <c r="BS41" s="40"/>
      <c r="BT41" s="40"/>
      <c r="BY41" s="38"/>
      <c r="BZ41" s="38"/>
      <c r="CA41" s="38"/>
      <c r="DY41" s="40"/>
      <c r="DZ41" s="40"/>
      <c r="EA41" s="40"/>
    </row>
    <row r="42" spans="1:131" ht="12" customHeight="1">
      <c r="A42" s="679"/>
      <c r="B42" s="98" t="s">
        <v>184</v>
      </c>
      <c r="C42" s="242" t="s">
        <v>580</v>
      </c>
      <c r="E42" s="703"/>
      <c r="F42" s="703"/>
      <c r="G42" s="703"/>
      <c r="H42" s="703"/>
      <c r="I42" s="703"/>
      <c r="J42" s="703"/>
      <c r="K42" s="703"/>
      <c r="M42" s="56" t="s">
        <v>25</v>
      </c>
      <c r="N42" s="315">
        <v>0</v>
      </c>
      <c r="O42" s="59">
        <v>0.13189600902912185</v>
      </c>
      <c r="P42" s="62">
        <v>0</v>
      </c>
      <c r="Q42" s="47">
        <v>0</v>
      </c>
      <c r="R42" s="47">
        <v>0</v>
      </c>
      <c r="S42" s="47">
        <v>4.0045694666690767E-4</v>
      </c>
      <c r="T42" s="62">
        <v>0</v>
      </c>
      <c r="U42" s="47">
        <v>0</v>
      </c>
      <c r="V42" s="47">
        <v>0</v>
      </c>
      <c r="W42" s="62">
        <v>0</v>
      </c>
      <c r="X42" s="58">
        <v>0</v>
      </c>
      <c r="Y42" s="59">
        <v>0</v>
      </c>
      <c r="AC42" s="72" t="s">
        <v>26</v>
      </c>
      <c r="AD42" s="290">
        <f t="shared" si="6"/>
        <v>0</v>
      </c>
      <c r="AE42" s="73">
        <f t="shared" si="7"/>
        <v>0</v>
      </c>
      <c r="AI42" s="56" t="s">
        <v>26</v>
      </c>
      <c r="AJ42" s="62">
        <v>0</v>
      </c>
      <c r="AK42" s="62">
        <v>0</v>
      </c>
      <c r="AL42" s="62">
        <v>0</v>
      </c>
      <c r="AM42" s="62">
        <v>0</v>
      </c>
      <c r="AN42" s="62">
        <v>0</v>
      </c>
      <c r="AO42" s="62">
        <v>0</v>
      </c>
      <c r="AP42" s="62">
        <v>0</v>
      </c>
      <c r="AX42" s="38"/>
      <c r="AY42" s="38"/>
      <c r="AZ42" s="38"/>
      <c r="BR42" s="40"/>
      <c r="BS42" s="40"/>
      <c r="BT42" s="40"/>
      <c r="BY42" s="38"/>
      <c r="BZ42" s="38"/>
      <c r="CA42" s="38"/>
      <c r="DY42" s="40"/>
      <c r="DZ42" s="40"/>
      <c r="EA42" s="40"/>
    </row>
    <row r="43" spans="1:131" ht="12" customHeight="1">
      <c r="A43" s="679"/>
      <c r="B43" s="98" t="s">
        <v>185</v>
      </c>
      <c r="C43" s="242" t="s">
        <v>580</v>
      </c>
      <c r="E43" s="703"/>
      <c r="F43" s="703"/>
      <c r="G43" s="703"/>
      <c r="H43" s="703"/>
      <c r="I43" s="703"/>
      <c r="J43" s="703"/>
      <c r="K43" s="703"/>
      <c r="M43" s="56" t="s">
        <v>26</v>
      </c>
      <c r="N43" s="315">
        <v>0</v>
      </c>
      <c r="O43" s="59">
        <v>0</v>
      </c>
      <c r="P43" s="62">
        <v>0</v>
      </c>
      <c r="Q43" s="47">
        <v>0</v>
      </c>
      <c r="R43" s="47">
        <v>0</v>
      </c>
      <c r="S43" s="47">
        <v>0</v>
      </c>
      <c r="T43" s="62">
        <v>0</v>
      </c>
      <c r="U43" s="47">
        <v>0</v>
      </c>
      <c r="V43" s="47">
        <v>0</v>
      </c>
      <c r="W43" s="62">
        <v>0</v>
      </c>
      <c r="X43" s="58">
        <v>0</v>
      </c>
      <c r="Y43" s="59">
        <v>0</v>
      </c>
      <c r="AC43" s="72" t="s">
        <v>27</v>
      </c>
      <c r="AD43" s="290">
        <f t="shared" si="6"/>
        <v>0</v>
      </c>
      <c r="AE43" s="73">
        <f t="shared" si="7"/>
        <v>0</v>
      </c>
      <c r="AI43" s="57" t="s">
        <v>27</v>
      </c>
      <c r="AJ43" s="274">
        <v>0</v>
      </c>
      <c r="AK43" s="274">
        <v>0</v>
      </c>
      <c r="AL43" s="274">
        <v>0</v>
      </c>
      <c r="AM43" s="274">
        <v>0</v>
      </c>
      <c r="AN43" s="275">
        <v>0</v>
      </c>
      <c r="AO43" s="274">
        <v>0</v>
      </c>
      <c r="AP43" s="274">
        <v>0</v>
      </c>
      <c r="AX43" s="38"/>
      <c r="AY43" s="38"/>
      <c r="AZ43" s="38"/>
      <c r="BR43" s="40"/>
      <c r="BS43" s="40"/>
      <c r="BT43" s="40"/>
      <c r="BY43" s="38"/>
      <c r="BZ43" s="38"/>
      <c r="CA43" s="38"/>
      <c r="DY43" s="40"/>
      <c r="DZ43" s="40"/>
      <c r="EA43" s="40"/>
    </row>
    <row r="44" spans="1:131" ht="12" customHeight="1">
      <c r="A44" s="679"/>
      <c r="B44" s="98" t="s">
        <v>186</v>
      </c>
      <c r="C44" s="242" t="s">
        <v>580</v>
      </c>
      <c r="E44" s="703"/>
      <c r="F44" s="703"/>
      <c r="G44" s="703"/>
      <c r="H44" s="703"/>
      <c r="I44" s="703"/>
      <c r="J44" s="703"/>
      <c r="K44" s="703"/>
      <c r="M44" s="56" t="s">
        <v>27</v>
      </c>
      <c r="N44" s="315">
        <v>0</v>
      </c>
      <c r="O44" s="59">
        <v>0</v>
      </c>
      <c r="P44" s="63">
        <v>0</v>
      </c>
      <c r="Q44" s="47">
        <v>0</v>
      </c>
      <c r="R44" s="47">
        <v>0</v>
      </c>
      <c r="S44" s="47">
        <v>0</v>
      </c>
      <c r="T44" s="63">
        <v>0</v>
      </c>
      <c r="U44" s="47">
        <v>0</v>
      </c>
      <c r="V44" s="47">
        <v>0</v>
      </c>
      <c r="W44" s="63">
        <v>0</v>
      </c>
      <c r="X44" s="60">
        <v>0</v>
      </c>
      <c r="Y44" s="61">
        <v>0</v>
      </c>
      <c r="AC44" s="44" t="s">
        <v>71</v>
      </c>
      <c r="AD44" s="291">
        <f>SUM(AD35:AD43)</f>
        <v>0.37999999999999995</v>
      </c>
      <c r="AE44" s="75">
        <f>SUM(AE35:AE43)</f>
        <v>0.61999999999999988</v>
      </c>
      <c r="AI44" s="44" t="s">
        <v>71</v>
      </c>
      <c r="AJ44" s="272">
        <f t="shared" ref="AJ44:AP44" si="8">SUM(AJ35:AJ43)</f>
        <v>1.0000000000000002E-2</v>
      </c>
      <c r="AK44" s="272">
        <f t="shared" si="8"/>
        <v>0.17499999999999999</v>
      </c>
      <c r="AL44" s="272">
        <f t="shared" si="8"/>
        <v>0.36999999999999994</v>
      </c>
      <c r="AM44" s="272">
        <f t="shared" si="8"/>
        <v>0.44500000000000001</v>
      </c>
      <c r="AN44" s="272">
        <f t="shared" si="8"/>
        <v>0</v>
      </c>
      <c r="AO44" s="273">
        <f t="shared" si="8"/>
        <v>0</v>
      </c>
      <c r="AP44" s="272">
        <f t="shared" si="8"/>
        <v>0</v>
      </c>
      <c r="AX44" s="38"/>
      <c r="AY44" s="38"/>
      <c r="AZ44" s="38"/>
      <c r="BR44" s="40"/>
      <c r="BS44" s="40"/>
      <c r="BT44" s="40"/>
      <c r="BY44" s="38"/>
      <c r="BZ44" s="38"/>
      <c r="CA44" s="38"/>
      <c r="DY44" s="40"/>
      <c r="DZ44" s="40"/>
      <c r="EA44" s="40"/>
    </row>
    <row r="45" spans="1:131" ht="12" customHeight="1">
      <c r="A45" s="679"/>
      <c r="B45" s="98" t="s">
        <v>187</v>
      </c>
      <c r="C45" s="242" t="s">
        <v>580</v>
      </c>
      <c r="E45" s="703"/>
      <c r="F45" s="703"/>
      <c r="G45" s="703"/>
      <c r="H45" s="703"/>
      <c r="I45" s="703"/>
      <c r="J45" s="703"/>
      <c r="K45" s="703"/>
      <c r="M45" s="44" t="s">
        <v>71</v>
      </c>
      <c r="N45" s="284">
        <f>SUM(N36:O44)</f>
        <v>1.0000000000000002</v>
      </c>
      <c r="O45" s="76"/>
      <c r="P45" s="45">
        <f>SUM(P36:P44)</f>
        <v>0.99999999999999989</v>
      </c>
      <c r="Q45" s="64">
        <f>SUM(Q36:S44)</f>
        <v>0.99999999999999967</v>
      </c>
      <c r="R45" s="79"/>
      <c r="S45" s="76"/>
      <c r="T45" s="45">
        <f>SUM(T36:T44)</f>
        <v>1</v>
      </c>
      <c r="U45" s="64">
        <f>SUM(U36:V44)</f>
        <v>0</v>
      </c>
      <c r="V45" s="76"/>
      <c r="W45" s="45">
        <f>SUM(W36:W44)</f>
        <v>0</v>
      </c>
      <c r="X45" s="64">
        <f>SUM(X36:Y44)</f>
        <v>0</v>
      </c>
      <c r="Y45" s="76"/>
      <c r="AM45" s="49"/>
      <c r="AN45" s="49"/>
      <c r="AO45" s="49"/>
      <c r="AP45" s="49"/>
      <c r="AX45" s="38"/>
      <c r="AY45" s="38"/>
      <c r="AZ45" s="38"/>
      <c r="BR45" s="40"/>
      <c r="BS45" s="40"/>
      <c r="BT45" s="40"/>
      <c r="BY45" s="38"/>
      <c r="BZ45" s="38"/>
      <c r="CA45" s="38"/>
      <c r="DY45" s="40"/>
      <c r="DZ45" s="40"/>
      <c r="EA45" s="40"/>
    </row>
    <row r="46" spans="1:131" ht="12" customHeight="1">
      <c r="A46" s="679"/>
      <c r="B46" s="98" t="s">
        <v>188</v>
      </c>
      <c r="C46" s="242" t="s">
        <v>580</v>
      </c>
      <c r="E46" s="703"/>
      <c r="F46" s="703"/>
      <c r="G46" s="703"/>
      <c r="H46" s="703"/>
      <c r="I46" s="703"/>
      <c r="J46" s="703"/>
      <c r="K46" s="703"/>
      <c r="AX46" s="38"/>
      <c r="AY46" s="38"/>
      <c r="AZ46" s="38"/>
      <c r="BR46" s="40"/>
      <c r="BS46" s="40"/>
      <c r="BT46" s="40"/>
      <c r="BY46" s="38"/>
      <c r="BZ46" s="38"/>
      <c r="CA46" s="38"/>
      <c r="DY46" s="40"/>
      <c r="DZ46" s="40"/>
      <c r="EA46" s="40"/>
    </row>
    <row r="47" spans="1:131" ht="12" customHeight="1" thickBot="1">
      <c r="A47" s="680"/>
      <c r="B47" s="162" t="s">
        <v>189</v>
      </c>
      <c r="C47" s="243" t="s">
        <v>580</v>
      </c>
      <c r="E47" s="703"/>
      <c r="F47" s="703"/>
      <c r="G47" s="703"/>
      <c r="H47" s="703"/>
      <c r="I47" s="703"/>
      <c r="J47" s="703"/>
      <c r="K47" s="703"/>
      <c r="M47" s="77" t="s">
        <v>468</v>
      </c>
      <c r="N47" s="281"/>
      <c r="O47" s="77"/>
      <c r="P47" s="77"/>
      <c r="Q47" s="77"/>
      <c r="R47" s="77"/>
      <c r="S47" s="77"/>
      <c r="T47" s="77"/>
      <c r="U47" s="77"/>
      <c r="V47" s="77"/>
      <c r="W47" s="77"/>
      <c r="X47" s="77"/>
      <c r="Y47" s="77"/>
      <c r="Z47" s="77"/>
      <c r="AA47" s="77"/>
      <c r="AB47" s="77"/>
      <c r="AC47" s="77"/>
      <c r="AD47" s="287"/>
      <c r="AE47" s="77"/>
      <c r="AF47" s="77"/>
      <c r="AG47" s="77"/>
      <c r="AH47" s="77"/>
      <c r="AI47" s="77"/>
      <c r="AJ47" s="77"/>
      <c r="AK47" s="77"/>
      <c r="AL47" s="77"/>
      <c r="AM47" s="77"/>
      <c r="AN47" s="77"/>
      <c r="AO47" s="77"/>
      <c r="AP47" s="77"/>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5"/>
      <c r="BR47" s="245"/>
      <c r="BS47" s="245"/>
      <c r="BT47" s="245"/>
      <c r="BU47" s="245"/>
      <c r="BV47" s="245"/>
      <c r="BW47" s="245"/>
      <c r="BX47" s="245"/>
      <c r="BY47" s="245"/>
      <c r="BZ47" s="245"/>
      <c r="CA47" s="245"/>
      <c r="CB47" s="245"/>
      <c r="CC47" s="245"/>
      <c r="CD47" s="245"/>
      <c r="CE47" s="245"/>
      <c r="CF47" s="245"/>
      <c r="CG47" s="245"/>
      <c r="CH47" s="245"/>
      <c r="CI47" s="38"/>
      <c r="CJ47" s="38"/>
      <c r="CK47" s="38"/>
      <c r="CL47" s="38"/>
      <c r="CM47" s="38"/>
      <c r="CN47" s="38"/>
      <c r="CO47" s="38"/>
      <c r="CP47" s="38"/>
      <c r="CQ47" s="38"/>
      <c r="CR47" s="38"/>
      <c r="CS47" s="38"/>
      <c r="CT47" s="38"/>
      <c r="CU47" s="38"/>
      <c r="CV47" s="38"/>
      <c r="CW47" s="38"/>
      <c r="CX47" s="38"/>
      <c r="CY47" s="38"/>
      <c r="CZ47" s="38"/>
      <c r="DA47" s="38"/>
      <c r="DB47" s="38"/>
      <c r="DC47" s="38"/>
      <c r="DD47" s="38"/>
      <c r="DY47" s="40"/>
      <c r="DZ47" s="40"/>
      <c r="EA47" s="40"/>
    </row>
    <row r="48" spans="1:131" ht="12" customHeight="1">
      <c r="A48" s="678" t="s">
        <v>546</v>
      </c>
      <c r="B48" s="246" t="s">
        <v>306</v>
      </c>
      <c r="C48" s="259" t="s">
        <v>249</v>
      </c>
      <c r="E48" s="703"/>
      <c r="F48" s="703"/>
      <c r="G48" s="703"/>
      <c r="H48" s="703"/>
      <c r="I48" s="703"/>
      <c r="J48" s="703"/>
      <c r="K48" s="703"/>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X48" s="38"/>
      <c r="AY48" s="38"/>
      <c r="AZ48" s="38"/>
      <c r="BA48" s="38"/>
      <c r="BB48" s="38"/>
      <c r="BC48" s="38"/>
      <c r="BD48" s="38"/>
      <c r="BE48" s="38"/>
      <c r="BF48" s="38"/>
      <c r="BG48" s="38"/>
      <c r="BH48" s="38"/>
      <c r="BI48" s="38"/>
      <c r="BJ48" s="38"/>
      <c r="BK48" s="38"/>
      <c r="BL48" s="38"/>
      <c r="BM48" s="38"/>
      <c r="BN48" s="38"/>
      <c r="BO48" s="38"/>
      <c r="BP48" s="38"/>
      <c r="BQ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N48" s="38"/>
      <c r="DO48" s="38"/>
      <c r="DP48" s="38"/>
      <c r="DQ48" s="38"/>
      <c r="DR48" s="38"/>
      <c r="DS48" s="38"/>
      <c r="DT48" s="38"/>
      <c r="DU48" s="38"/>
      <c r="DV48" s="38"/>
      <c r="DW48" s="38"/>
      <c r="DX48" s="38"/>
    </row>
    <row r="49" spans="1:128" ht="12" customHeight="1">
      <c r="A49" s="679"/>
      <c r="B49" s="98" t="s">
        <v>307</v>
      </c>
      <c r="C49" s="99" t="s">
        <v>249</v>
      </c>
      <c r="E49" s="703"/>
      <c r="F49" s="703"/>
      <c r="G49" s="703"/>
      <c r="H49" s="703"/>
      <c r="I49" s="703"/>
      <c r="J49" s="703"/>
      <c r="K49" s="703"/>
      <c r="M49" s="661" t="s">
        <v>412</v>
      </c>
      <c r="N49" s="661"/>
      <c r="O49" s="661"/>
      <c r="P49" s="661"/>
      <c r="Q49" s="661"/>
      <c r="R49" s="661"/>
      <c r="S49" s="661"/>
      <c r="T49" s="661"/>
      <c r="U49" s="661"/>
      <c r="V49" s="661"/>
      <c r="W49" s="661"/>
      <c r="X49" s="661"/>
      <c r="Y49" s="661"/>
      <c r="AC49" s="662" t="s">
        <v>413</v>
      </c>
      <c r="AD49" s="662"/>
      <c r="AE49" s="662"/>
      <c r="AF49" s="662"/>
      <c r="AI49" s="685" t="s">
        <v>418</v>
      </c>
      <c r="AJ49" s="685"/>
      <c r="AK49" s="685"/>
      <c r="AL49" s="685"/>
      <c r="AM49" s="685"/>
      <c r="AN49" s="685"/>
      <c r="AO49" s="685"/>
      <c r="AP49" s="685"/>
      <c r="AQ49" s="685"/>
      <c r="AS49" s="685" t="s">
        <v>422</v>
      </c>
      <c r="AT49" s="685"/>
      <c r="AU49" s="685"/>
      <c r="AV49" s="685"/>
      <c r="AW49" s="685"/>
      <c r="AX49" s="685"/>
      <c r="AY49" s="685"/>
      <c r="AZ49" s="685"/>
      <c r="BA49" s="685"/>
      <c r="BB49" s="685"/>
      <c r="BC49" s="685"/>
      <c r="BD49" s="685"/>
      <c r="BE49" s="685"/>
      <c r="BF49" s="685"/>
      <c r="BG49" s="685"/>
      <c r="BH49" s="38"/>
      <c r="BI49" s="38"/>
      <c r="BJ49" s="689" t="s">
        <v>620</v>
      </c>
      <c r="BK49" s="689"/>
      <c r="BL49" s="689"/>
      <c r="BM49" s="689"/>
      <c r="BN49" s="689"/>
      <c r="BO49" s="689"/>
      <c r="BP49" s="689"/>
      <c r="BQ49" s="689"/>
      <c r="BR49" s="689"/>
      <c r="BS49" s="689"/>
      <c r="BT49" s="689"/>
      <c r="BU49" s="689"/>
      <c r="BV49" s="689"/>
      <c r="BW49" s="689"/>
      <c r="BX49" s="689"/>
      <c r="BY49" s="689"/>
      <c r="BZ49" s="689"/>
      <c r="CA49" s="689"/>
      <c r="CB49" s="689"/>
      <c r="CC49" s="689"/>
      <c r="CD49" s="689"/>
      <c r="CE49" s="689"/>
      <c r="CF49" s="689"/>
      <c r="CG49" s="689"/>
      <c r="CH49" s="689"/>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row>
    <row r="50" spans="1:128" ht="12" customHeight="1">
      <c r="A50" s="679"/>
      <c r="B50" s="98" t="s">
        <v>308</v>
      </c>
      <c r="C50" s="99" t="s">
        <v>249</v>
      </c>
      <c r="E50" s="703"/>
      <c r="F50" s="703"/>
      <c r="G50" s="703"/>
      <c r="H50" s="703"/>
      <c r="I50" s="703"/>
      <c r="J50" s="703"/>
      <c r="K50" s="703"/>
      <c r="M50" s="52"/>
      <c r="N50" s="686" t="s">
        <v>383</v>
      </c>
      <c r="O50" s="686"/>
      <c r="P50" s="489" t="s">
        <v>384</v>
      </c>
      <c r="Q50" s="686" t="s">
        <v>29</v>
      </c>
      <c r="R50" s="686"/>
      <c r="S50" s="686"/>
      <c r="T50" s="623" t="s">
        <v>628</v>
      </c>
      <c r="U50" s="686" t="s">
        <v>83</v>
      </c>
      <c r="V50" s="686"/>
      <c r="W50" s="489" t="s">
        <v>32</v>
      </c>
      <c r="X50" s="686" t="s">
        <v>64</v>
      </c>
      <c r="Y50" s="686"/>
      <c r="AC50" s="51" t="s">
        <v>91</v>
      </c>
      <c r="AD50" s="288" t="s">
        <v>221</v>
      </c>
      <c r="AE50" s="51" t="s">
        <v>222</v>
      </c>
      <c r="AF50" s="310" t="s">
        <v>425</v>
      </c>
      <c r="AI50" s="52" t="s">
        <v>91</v>
      </c>
      <c r="AJ50" s="490" t="s">
        <v>383</v>
      </c>
      <c r="AK50" s="490" t="s">
        <v>384</v>
      </c>
      <c r="AL50" s="52" t="s">
        <v>29</v>
      </c>
      <c r="AM50" s="623" t="s">
        <v>628</v>
      </c>
      <c r="AN50" s="52" t="s">
        <v>31</v>
      </c>
      <c r="AO50" s="51" t="s">
        <v>32</v>
      </c>
      <c r="AP50" s="623" t="s">
        <v>627</v>
      </c>
      <c r="AQ50" s="497" t="s">
        <v>425</v>
      </c>
      <c r="AS50" s="690" t="s">
        <v>91</v>
      </c>
      <c r="AT50" s="686" t="s">
        <v>383</v>
      </c>
      <c r="AU50" s="686"/>
      <c r="AV50" s="686" t="s">
        <v>384</v>
      </c>
      <c r="AW50" s="686"/>
      <c r="AX50" s="686" t="s">
        <v>29</v>
      </c>
      <c r="AY50" s="686"/>
      <c r="AZ50" s="686" t="s">
        <v>30</v>
      </c>
      <c r="BA50" s="686"/>
      <c r="BB50" s="686" t="s">
        <v>83</v>
      </c>
      <c r="BC50" s="686"/>
      <c r="BD50" s="686" t="s">
        <v>32</v>
      </c>
      <c r="BE50" s="686"/>
      <c r="BF50" s="686" t="s">
        <v>627</v>
      </c>
      <c r="BG50" s="686"/>
      <c r="BH50" s="38"/>
      <c r="BI50" s="38"/>
      <c r="BJ50" s="683" t="s">
        <v>91</v>
      </c>
      <c r="BK50" s="686" t="s">
        <v>398</v>
      </c>
      <c r="BL50" s="686"/>
      <c r="BM50" s="686"/>
      <c r="BN50" s="686"/>
      <c r="BO50" s="686" t="s">
        <v>384</v>
      </c>
      <c r="BP50" s="686"/>
      <c r="BQ50" s="683" t="s">
        <v>29</v>
      </c>
      <c r="BR50" s="683"/>
      <c r="BS50" s="683"/>
      <c r="BT50" s="683"/>
      <c r="BU50" s="683"/>
      <c r="BV50" s="683"/>
      <c r="BW50" s="683" t="s">
        <v>30</v>
      </c>
      <c r="BX50" s="683"/>
      <c r="BY50" s="683" t="s">
        <v>83</v>
      </c>
      <c r="BZ50" s="683"/>
      <c r="CA50" s="683"/>
      <c r="CB50" s="683"/>
      <c r="CC50" s="683" t="s">
        <v>32</v>
      </c>
      <c r="CD50" s="683"/>
      <c r="CE50" s="683" t="s">
        <v>64</v>
      </c>
      <c r="CF50" s="683"/>
      <c r="CG50" s="683"/>
      <c r="CH50" s="683"/>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row>
    <row r="51" spans="1:128" ht="12" customHeight="1">
      <c r="A51" s="679"/>
      <c r="B51" s="98" t="s">
        <v>309</v>
      </c>
      <c r="C51" s="99" t="s">
        <v>249</v>
      </c>
      <c r="E51" s="703"/>
      <c r="F51" s="703"/>
      <c r="G51" s="703"/>
      <c r="H51" s="703"/>
      <c r="I51" s="703"/>
      <c r="J51" s="703"/>
      <c r="K51" s="703"/>
      <c r="M51" s="43" t="s">
        <v>91</v>
      </c>
      <c r="N51" s="283" t="s">
        <v>211</v>
      </c>
      <c r="O51" s="55" t="s">
        <v>212</v>
      </c>
      <c r="P51" s="43" t="s">
        <v>213</v>
      </c>
      <c r="Q51" s="53" t="s">
        <v>214</v>
      </c>
      <c r="R51" s="54" t="s">
        <v>587</v>
      </c>
      <c r="S51" s="54" t="s">
        <v>215</v>
      </c>
      <c r="T51" s="43" t="s">
        <v>216</v>
      </c>
      <c r="U51" s="53" t="s">
        <v>194</v>
      </c>
      <c r="V51" s="55" t="s">
        <v>217</v>
      </c>
      <c r="W51" s="53" t="s">
        <v>220</v>
      </c>
      <c r="X51" s="53" t="s">
        <v>218</v>
      </c>
      <c r="Y51" s="55" t="s">
        <v>219</v>
      </c>
      <c r="AC51" s="266" t="s">
        <v>115</v>
      </c>
      <c r="AD51" s="289">
        <f>AJ51+AL51+AN51+AO51</f>
        <v>5.5396238183819065E-2</v>
      </c>
      <c r="AE51" s="71">
        <f>AK51+AM51+AP51</f>
        <v>3.6124468035516416E-2</v>
      </c>
      <c r="AF51" s="276">
        <v>0</v>
      </c>
      <c r="AI51" s="266" t="s">
        <v>115</v>
      </c>
      <c r="AJ51" s="276">
        <v>2.4595842956120092E-3</v>
      </c>
      <c r="AK51" s="276">
        <v>1.6943858724301528E-2</v>
      </c>
      <c r="AL51" s="276">
        <v>4.5508998954595543E-2</v>
      </c>
      <c r="AM51" s="276">
        <v>5.5248375371736982E-3</v>
      </c>
      <c r="AN51" s="276">
        <v>4.39952718676123E-3</v>
      </c>
      <c r="AO51" s="276">
        <v>3.0281277468502785E-3</v>
      </c>
      <c r="AP51" s="276">
        <v>1.3655771774041186E-2</v>
      </c>
      <c r="AQ51" s="276">
        <v>0</v>
      </c>
      <c r="AS51" s="691"/>
      <c r="AT51" s="283" t="s">
        <v>362</v>
      </c>
      <c r="AU51" s="55" t="s">
        <v>363</v>
      </c>
      <c r="AV51" s="283" t="s">
        <v>362</v>
      </c>
      <c r="AW51" s="55" t="s">
        <v>363</v>
      </c>
      <c r="AX51" s="283" t="s">
        <v>362</v>
      </c>
      <c r="AY51" s="55" t="s">
        <v>363</v>
      </c>
      <c r="AZ51" s="283" t="s">
        <v>362</v>
      </c>
      <c r="BA51" s="55" t="s">
        <v>363</v>
      </c>
      <c r="BB51" s="283" t="s">
        <v>362</v>
      </c>
      <c r="BC51" s="55" t="s">
        <v>363</v>
      </c>
      <c r="BD51" s="283" t="s">
        <v>362</v>
      </c>
      <c r="BE51" s="55" t="s">
        <v>363</v>
      </c>
      <c r="BF51" s="283" t="s">
        <v>362</v>
      </c>
      <c r="BG51" s="55" t="s">
        <v>363</v>
      </c>
      <c r="BH51" s="38"/>
      <c r="BI51" s="38"/>
      <c r="BJ51" s="683"/>
      <c r="BK51" s="692" t="s">
        <v>211</v>
      </c>
      <c r="BL51" s="693"/>
      <c r="BM51" s="694" t="s">
        <v>212</v>
      </c>
      <c r="BN51" s="688"/>
      <c r="BO51" s="687" t="s">
        <v>213</v>
      </c>
      <c r="BP51" s="688"/>
      <c r="BQ51" s="681" t="s">
        <v>214</v>
      </c>
      <c r="BR51" s="684"/>
      <c r="BS51" s="684" t="s">
        <v>587</v>
      </c>
      <c r="BT51" s="684"/>
      <c r="BU51" s="684" t="s">
        <v>215</v>
      </c>
      <c r="BV51" s="682"/>
      <c r="BW51" s="681" t="s">
        <v>216</v>
      </c>
      <c r="BX51" s="682"/>
      <c r="BY51" s="681" t="s">
        <v>194</v>
      </c>
      <c r="BZ51" s="684"/>
      <c r="CA51" s="684" t="s">
        <v>217</v>
      </c>
      <c r="CB51" s="682"/>
      <c r="CC51" s="681" t="s">
        <v>220</v>
      </c>
      <c r="CD51" s="682"/>
      <c r="CE51" s="681" t="s">
        <v>218</v>
      </c>
      <c r="CF51" s="684"/>
      <c r="CG51" s="684" t="s">
        <v>219</v>
      </c>
      <c r="CH51" s="684"/>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row>
    <row r="52" spans="1:128" ht="12" customHeight="1">
      <c r="A52" s="679"/>
      <c r="B52" s="98" t="s">
        <v>310</v>
      </c>
      <c r="C52" s="99" t="s">
        <v>249</v>
      </c>
      <c r="E52" s="703"/>
      <c r="F52" s="703"/>
      <c r="G52" s="703"/>
      <c r="H52" s="703"/>
      <c r="I52" s="703"/>
      <c r="J52" s="703"/>
      <c r="K52" s="703"/>
      <c r="M52" s="266" t="s">
        <v>115</v>
      </c>
      <c r="N52" s="313">
        <v>6.4434180138568123E-2</v>
      </c>
      <c r="O52" s="313">
        <v>1.7551963048498844E-2</v>
      </c>
      <c r="P52" s="314">
        <v>7.3668950975224037E-2</v>
      </c>
      <c r="Q52" s="313">
        <v>3.3905009465148477E-3</v>
      </c>
      <c r="R52" s="313">
        <v>4.5206679286864636E-3</v>
      </c>
      <c r="S52" s="313">
        <v>0.14378549430678383</v>
      </c>
      <c r="T52" s="275">
        <v>1.6741931930829387E-2</v>
      </c>
      <c r="U52" s="315">
        <v>0.21111111111111111</v>
      </c>
      <c r="V52" s="316">
        <v>8.8652482269503553E-3</v>
      </c>
      <c r="W52" s="313">
        <v>0.10093759156167595</v>
      </c>
      <c r="X52" s="315">
        <v>6.1779709049688269E-2</v>
      </c>
      <c r="Y52" s="316">
        <v>0.16581648718433151</v>
      </c>
      <c r="AC52" s="267" t="s">
        <v>132</v>
      </c>
      <c r="AD52" s="290">
        <f t="shared" ref="AD52:AD57" si="9">AJ52+AL52+AN52+AO52</f>
        <v>1.4858104867406902E-2</v>
      </c>
      <c r="AE52" s="73">
        <f t="shared" ref="AE52:AE57" si="10">AK52+AM52+AP52</f>
        <v>1.8332026163484547E-2</v>
      </c>
      <c r="AF52" s="277">
        <f>SUM(AD51:AE51)</f>
        <v>9.1520706219335474E-2</v>
      </c>
      <c r="AI52" s="267" t="s">
        <v>132</v>
      </c>
      <c r="AJ52" s="277">
        <v>6.4434180138568133E-4</v>
      </c>
      <c r="AK52" s="277">
        <v>1.0093568792830786E-2</v>
      </c>
      <c r="AL52" s="277">
        <v>1.1307320656627018E-2</v>
      </c>
      <c r="AM52" s="277">
        <v>3.9497742042075117E-3</v>
      </c>
      <c r="AN52" s="277">
        <v>1.6099290780141843E-3</v>
      </c>
      <c r="AO52" s="277">
        <v>1.2965133313800176E-3</v>
      </c>
      <c r="AP52" s="277">
        <v>4.2886831664462497E-3</v>
      </c>
      <c r="AQ52" s="277">
        <f>SUM(AJ51:AP51)</f>
        <v>9.1520706219335474E-2</v>
      </c>
      <c r="AS52" s="266" t="s">
        <v>115</v>
      </c>
      <c r="AT52" s="276">
        <v>0.11124497991967872</v>
      </c>
      <c r="AU52" s="276">
        <v>4.2391304347826085E-2</v>
      </c>
      <c r="AV52" s="276">
        <v>6.6093853271645742E-2</v>
      </c>
      <c r="AW52" s="276">
        <v>7.8693555458132392E-2</v>
      </c>
      <c r="AX52" s="276">
        <v>0.14226545944904642</v>
      </c>
      <c r="AY52" s="276">
        <v>0.16508305420739627</v>
      </c>
      <c r="AZ52" s="276">
        <v>2.1000000000000001E-2</v>
      </c>
      <c r="BA52" s="276">
        <v>1.4971149347611373E-2</v>
      </c>
      <c r="BB52" s="276">
        <v>0.21305668016194332</v>
      </c>
      <c r="BC52" s="276">
        <v>0.31834532374100721</v>
      </c>
      <c r="BD52" s="276">
        <v>0.13422818791946309</v>
      </c>
      <c r="BE52" s="276">
        <v>4.3512974051896205E-2</v>
      </c>
      <c r="BF52" s="276">
        <v>0.21823587710604558</v>
      </c>
      <c r="BG52" s="276">
        <v>0.41801075268817206</v>
      </c>
      <c r="BH52" s="38"/>
      <c r="BI52" s="38"/>
      <c r="BJ52" s="686"/>
      <c r="BK52" s="283" t="s">
        <v>362</v>
      </c>
      <c r="BL52" s="55" t="s">
        <v>363</v>
      </c>
      <c r="BM52" s="283" t="s">
        <v>362</v>
      </c>
      <c r="BN52" s="55" t="s">
        <v>363</v>
      </c>
      <c r="BO52" s="283" t="s">
        <v>362</v>
      </c>
      <c r="BP52" s="55" t="s">
        <v>363</v>
      </c>
      <c r="BQ52" s="283" t="s">
        <v>362</v>
      </c>
      <c r="BR52" s="55" t="s">
        <v>363</v>
      </c>
      <c r="BS52" s="283" t="s">
        <v>362</v>
      </c>
      <c r="BT52" s="55" t="s">
        <v>363</v>
      </c>
      <c r="BU52" s="283" t="s">
        <v>362</v>
      </c>
      <c r="BV52" s="55" t="s">
        <v>363</v>
      </c>
      <c r="BW52" s="283" t="s">
        <v>362</v>
      </c>
      <c r="BX52" s="55" t="s">
        <v>363</v>
      </c>
      <c r="BY52" s="283" t="s">
        <v>362</v>
      </c>
      <c r="BZ52" s="55" t="s">
        <v>363</v>
      </c>
      <c r="CA52" s="283" t="s">
        <v>362</v>
      </c>
      <c r="CB52" s="55" t="s">
        <v>363</v>
      </c>
      <c r="CC52" s="283" t="s">
        <v>362</v>
      </c>
      <c r="CD52" s="55" t="s">
        <v>363</v>
      </c>
      <c r="CE52" s="283" t="s">
        <v>362</v>
      </c>
      <c r="CF52" s="55" t="s">
        <v>363</v>
      </c>
      <c r="CG52" s="283" t="s">
        <v>362</v>
      </c>
      <c r="CH52" s="55" t="s">
        <v>363</v>
      </c>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row>
    <row r="53" spans="1:128" ht="12" customHeight="1">
      <c r="A53" s="679"/>
      <c r="B53" s="98" t="s">
        <v>311</v>
      </c>
      <c r="C53" s="99" t="s">
        <v>249</v>
      </c>
      <c r="E53" s="703"/>
      <c r="F53" s="703"/>
      <c r="G53" s="703"/>
      <c r="H53" s="703"/>
      <c r="I53" s="703"/>
      <c r="J53" s="703"/>
      <c r="K53" s="703"/>
      <c r="M53" s="267" t="s">
        <v>132</v>
      </c>
      <c r="N53" s="313">
        <v>1.6628175519630486E-2</v>
      </c>
      <c r="O53" s="313">
        <v>4.8498845265588916E-3</v>
      </c>
      <c r="P53" s="275">
        <v>4.388508170795994E-2</v>
      </c>
      <c r="Q53" s="313">
        <v>1.4692170768231007E-3</v>
      </c>
      <c r="R53" s="313">
        <v>2.8819258045376206E-3</v>
      </c>
      <c r="S53" s="313">
        <v>3.333992597406267E-2</v>
      </c>
      <c r="T53" s="275">
        <v>1.1969012740022763E-2</v>
      </c>
      <c r="U53" s="315">
        <v>7.482269503546099E-2</v>
      </c>
      <c r="V53" s="316">
        <v>5.6737588652482273E-3</v>
      </c>
      <c r="W53" s="313">
        <v>4.3217111046000588E-2</v>
      </c>
      <c r="X53" s="315">
        <v>2.4497764342842749E-2</v>
      </c>
      <c r="Y53" s="316">
        <v>4.6980288431261417E-2</v>
      </c>
      <c r="AC53" s="267" t="s">
        <v>110</v>
      </c>
      <c r="AD53" s="290">
        <f t="shared" si="9"/>
        <v>2.0829461715226299E-2</v>
      </c>
      <c r="AE53" s="73">
        <f t="shared" si="10"/>
        <v>2.5273191231286792E-2</v>
      </c>
      <c r="AF53" s="277">
        <f>AF52+SUM(AD52:AE52)</f>
        <v>0.12471083725022691</v>
      </c>
      <c r="AI53" s="267" t="s">
        <v>110</v>
      </c>
      <c r="AJ53" s="277">
        <v>1.1085450346420324E-3</v>
      </c>
      <c r="AK53" s="277">
        <v>1.2973115445440169E-2</v>
      </c>
      <c r="AL53" s="277">
        <v>1.4986014183595627E-2</v>
      </c>
      <c r="AM53" s="277">
        <v>7.5239563828615489E-3</v>
      </c>
      <c r="AN53" s="277">
        <v>2.1111111111111113E-3</v>
      </c>
      <c r="AO53" s="277">
        <v>2.6237913858775269E-3</v>
      </c>
      <c r="AP53" s="277">
        <v>4.7761194029850747E-3</v>
      </c>
      <c r="AQ53" s="277">
        <f t="shared" ref="AQ53:AQ58" si="11">AQ52+SUM(AJ52:AP52)</f>
        <v>0.12471083725022691</v>
      </c>
      <c r="AS53" s="267" t="s">
        <v>132</v>
      </c>
      <c r="AT53" s="277">
        <v>2.9317269076305223E-2</v>
      </c>
      <c r="AU53" s="277">
        <v>1.0869565217391304E-2</v>
      </c>
      <c r="AV53" s="277">
        <v>4.8248512888301391E-2</v>
      </c>
      <c r="AW53" s="277">
        <v>4.0990793511617711E-2</v>
      </c>
      <c r="AX53" s="277">
        <v>4.1032556347524562E-2</v>
      </c>
      <c r="AY53" s="277">
        <v>3.2948253469136643E-2</v>
      </c>
      <c r="AZ53" s="277">
        <v>1.5125E-2</v>
      </c>
      <c r="BA53" s="277">
        <v>1.0656547278681707E-2</v>
      </c>
      <c r="BB53" s="277">
        <v>8.2742914979757082E-2</v>
      </c>
      <c r="BC53" s="277">
        <v>4.8561151079136694E-2</v>
      </c>
      <c r="BD53" s="277">
        <v>5.5774126359638972E-2</v>
      </c>
      <c r="BE53" s="277">
        <v>2.1556886227544911E-2</v>
      </c>
      <c r="BF53" s="277">
        <v>7.1754212091179381E-2</v>
      </c>
      <c r="BG53" s="277">
        <v>6.5860215053763438E-2</v>
      </c>
      <c r="BH53" s="38"/>
      <c r="BI53" s="38"/>
      <c r="BJ53" s="266" t="s">
        <v>115</v>
      </c>
      <c r="BK53" s="276">
        <v>0.12825059101654845</v>
      </c>
      <c r="BL53" s="276">
        <v>6.3851699279093718E-2</v>
      </c>
      <c r="BM53" s="276">
        <v>7.5187969924812026E-2</v>
      </c>
      <c r="BN53" s="276">
        <v>1.8411967779056387E-2</v>
      </c>
      <c r="BO53" s="276">
        <v>6.6093853271645742E-2</v>
      </c>
      <c r="BP53" s="276">
        <v>7.8693555458132392E-2</v>
      </c>
      <c r="BQ53" s="276">
        <v>1.3311819281968536E-2</v>
      </c>
      <c r="BR53" s="276">
        <v>1.5966883500887048E-2</v>
      </c>
      <c r="BS53" s="276">
        <v>3.5020388582393862E-2</v>
      </c>
      <c r="BT53" s="276">
        <v>1.5677491601343786E-2</v>
      </c>
      <c r="BU53" s="276">
        <v>0.23562773910801754</v>
      </c>
      <c r="BV53" s="276">
        <v>0.22667568089627196</v>
      </c>
      <c r="BW53" s="276">
        <v>2.1000000000000001E-2</v>
      </c>
      <c r="BX53" s="276">
        <v>1.4971149347611373E-2</v>
      </c>
      <c r="BY53" s="276">
        <v>0.31363549435838595</v>
      </c>
      <c r="BZ53" s="276">
        <v>0.52898550724637683</v>
      </c>
      <c r="CA53" s="276">
        <v>1.6448598130841121E-2</v>
      </c>
      <c r="CB53" s="276">
        <v>0.11071428571428571</v>
      </c>
      <c r="CC53" s="276">
        <v>0.13422818791946309</v>
      </c>
      <c r="CD53" s="276">
        <v>4.3512974051896205E-2</v>
      </c>
      <c r="CE53" s="276">
        <v>0.30072463768115942</v>
      </c>
      <c r="CF53" s="276">
        <v>0.31991525423728812</v>
      </c>
      <c r="CG53" s="276">
        <v>0.19983838383838384</v>
      </c>
      <c r="CH53" s="276">
        <v>0.58823529411764708</v>
      </c>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row>
    <row r="54" spans="1:128" ht="12" customHeight="1">
      <c r="A54" s="679"/>
      <c r="B54" s="98" t="s">
        <v>312</v>
      </c>
      <c r="C54" s="99" t="s">
        <v>249</v>
      </c>
      <c r="E54" s="703"/>
      <c r="F54" s="703"/>
      <c r="G54" s="703"/>
      <c r="H54" s="703"/>
      <c r="I54" s="703"/>
      <c r="J54" s="703"/>
      <c r="K54" s="703"/>
      <c r="M54" s="267" t="s">
        <v>110</v>
      </c>
      <c r="N54" s="313">
        <v>2.6327944572748268E-2</v>
      </c>
      <c r="O54" s="313">
        <v>1.0623556581986143E-2</v>
      </c>
      <c r="P54" s="275">
        <v>5.6404849762783343E-2</v>
      </c>
      <c r="Q54" s="313">
        <v>3.1644675500805243E-3</v>
      </c>
      <c r="R54" s="313">
        <v>3.9555844376006552E-3</v>
      </c>
      <c r="S54" s="313">
        <v>4.2833328624304244E-2</v>
      </c>
      <c r="T54" s="275">
        <v>2.2799867826853178E-2</v>
      </c>
      <c r="U54" s="315">
        <v>9.5390070921985815E-2</v>
      </c>
      <c r="V54" s="316">
        <v>1.0165484633569741E-2</v>
      </c>
      <c r="W54" s="313">
        <v>8.7459712862584235E-2</v>
      </c>
      <c r="X54" s="315">
        <v>2.1600856477108129E-2</v>
      </c>
      <c r="Y54" s="316">
        <v>5.8001133572643117E-2</v>
      </c>
      <c r="AC54" s="267" t="s">
        <v>111</v>
      </c>
      <c r="AD54" s="290">
        <f t="shared" si="9"/>
        <v>2.6676708349949292E-2</v>
      </c>
      <c r="AE54" s="73">
        <f t="shared" si="10"/>
        <v>3.6666805903095602E-2</v>
      </c>
      <c r="AF54" s="277">
        <f>AF53+SUM(AD53:AE53)</f>
        <v>0.17081349019674</v>
      </c>
      <c r="AI54" s="267" t="s">
        <v>111</v>
      </c>
      <c r="AJ54" s="277">
        <v>1.3648960739030022E-3</v>
      </c>
      <c r="AK54" s="277">
        <v>1.7398523985239854E-2</v>
      </c>
      <c r="AL54" s="277">
        <v>2.0241290650693636E-2</v>
      </c>
      <c r="AM54" s="277">
        <v>1.3400154202004627E-2</v>
      </c>
      <c r="AN54" s="277">
        <v>2.1962174940898345E-3</v>
      </c>
      <c r="AO54" s="277">
        <v>2.8743041312628186E-3</v>
      </c>
      <c r="AP54" s="277">
        <v>5.8681277158511248E-3</v>
      </c>
      <c r="AQ54" s="277">
        <f t="shared" si="11"/>
        <v>0.17081349019674</v>
      </c>
      <c r="AS54" s="267" t="s">
        <v>110</v>
      </c>
      <c r="AT54" s="277">
        <v>4.1365461847389561E-2</v>
      </c>
      <c r="AU54" s="277">
        <v>3.0978260869565219E-2</v>
      </c>
      <c r="AV54" s="277">
        <v>5.9484467944481166E-2</v>
      </c>
      <c r="AW54" s="277">
        <v>5.4362121876370011E-2</v>
      </c>
      <c r="AX54" s="277">
        <v>6.0730109805432482E-2</v>
      </c>
      <c r="AY54" s="277">
        <v>3.4657187777701826E-2</v>
      </c>
      <c r="AZ54" s="277">
        <v>2.5624999999999998E-2</v>
      </c>
      <c r="BA54" s="277">
        <v>2.1624993502105318E-2</v>
      </c>
      <c r="BB54" s="277">
        <v>0.10589574898785425</v>
      </c>
      <c r="BC54" s="277">
        <v>0.10071942446043165</v>
      </c>
      <c r="BD54" s="277">
        <v>0.11779680629483916</v>
      </c>
      <c r="BE54" s="277">
        <v>3.5129740518962074E-2</v>
      </c>
      <c r="BF54" s="277">
        <v>7.9418566237198548E-2</v>
      </c>
      <c r="BG54" s="277">
        <v>8.3333333333333329E-2</v>
      </c>
      <c r="BH54" s="38"/>
      <c r="BI54" s="38"/>
      <c r="BJ54" s="267" t="s">
        <v>132</v>
      </c>
      <c r="BK54" s="277">
        <v>3.5460992907801421E-2</v>
      </c>
      <c r="BL54" s="277">
        <v>1.2358393408856848E-2</v>
      </c>
      <c r="BM54" s="277">
        <v>1.6290726817042606E-2</v>
      </c>
      <c r="BN54" s="277">
        <v>9.2059838895281933E-3</v>
      </c>
      <c r="BO54" s="277">
        <v>4.8248512888301391E-2</v>
      </c>
      <c r="BP54" s="277">
        <v>4.0990793511617711E-2</v>
      </c>
      <c r="BQ54" s="277">
        <v>7.6643807987091571E-3</v>
      </c>
      <c r="BR54" s="277">
        <v>4.139562389118865E-3</v>
      </c>
      <c r="BS54" s="277">
        <v>2.2307507795634444E-2</v>
      </c>
      <c r="BT54" s="277">
        <v>1.0078387458006719E-2</v>
      </c>
      <c r="BU54" s="277">
        <v>6.1957549196528315E-2</v>
      </c>
      <c r="BV54" s="277">
        <v>4.4330693451806062E-2</v>
      </c>
      <c r="BW54" s="277">
        <v>1.5125E-2</v>
      </c>
      <c r="BX54" s="277">
        <v>1.0656547278681707E-2</v>
      </c>
      <c r="BY54" s="277">
        <v>0.11742206922929814</v>
      </c>
      <c r="BZ54" s="277">
        <v>6.8840579710144928E-2</v>
      </c>
      <c r="CA54" s="277">
        <v>1.4953271028037384E-2</v>
      </c>
      <c r="CB54" s="277">
        <v>2.8571428571428571E-2</v>
      </c>
      <c r="CC54" s="277">
        <v>5.5774126359638972E-2</v>
      </c>
      <c r="CD54" s="277">
        <v>2.1556886227544911E-2</v>
      </c>
      <c r="CE54" s="277">
        <v>0.12717391304347825</v>
      </c>
      <c r="CF54" s="277">
        <v>8.050847457627118E-2</v>
      </c>
      <c r="CG54" s="277">
        <v>5.9393939393939395E-2</v>
      </c>
      <c r="CH54" s="277">
        <v>4.0441176470588237E-2</v>
      </c>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row>
    <row r="55" spans="1:128" ht="12" customHeight="1">
      <c r="A55" s="679"/>
      <c r="B55" s="98" t="s">
        <v>592</v>
      </c>
      <c r="C55" s="99" t="s">
        <v>599</v>
      </c>
      <c r="E55" s="703"/>
      <c r="F55" s="703"/>
      <c r="G55" s="703"/>
      <c r="H55" s="703"/>
      <c r="I55" s="703"/>
      <c r="J55" s="703"/>
      <c r="K55" s="703"/>
      <c r="M55" s="267" t="s">
        <v>111</v>
      </c>
      <c r="N55" s="313">
        <v>3.0254041570438799E-2</v>
      </c>
      <c r="O55" s="313">
        <v>1.5242494226327945E-2</v>
      </c>
      <c r="P55" s="275">
        <v>7.5645756457564578E-2</v>
      </c>
      <c r="Q55" s="313">
        <v>5.6790890854123699E-3</v>
      </c>
      <c r="R55" s="313">
        <v>6.2441725764981774E-3</v>
      </c>
      <c r="S55" s="313">
        <v>5.5547707173734917E-2</v>
      </c>
      <c r="T55" s="275">
        <v>4.0606527884862506E-2</v>
      </c>
      <c r="U55" s="315">
        <v>9.5390070921985815E-2</v>
      </c>
      <c r="V55" s="316">
        <v>1.442080378250591E-2</v>
      </c>
      <c r="W55" s="313">
        <v>9.5810137708760623E-2</v>
      </c>
      <c r="X55" s="315">
        <v>1.8766924869324266E-2</v>
      </c>
      <c r="Y55" s="316">
        <v>7.9035203728194475E-2</v>
      </c>
      <c r="AC55" s="267" t="s">
        <v>112</v>
      </c>
      <c r="AD55" s="290">
        <f t="shared" si="9"/>
        <v>3.4588229392813842E-2</v>
      </c>
      <c r="AE55" s="73">
        <f t="shared" si="10"/>
        <v>4.6296781533583645E-2</v>
      </c>
      <c r="AF55" s="277">
        <f>AF54+SUM(AD54:AE54)</f>
        <v>0.23415700444978488</v>
      </c>
      <c r="AI55" s="267" t="s">
        <v>112</v>
      </c>
      <c r="AJ55" s="277">
        <v>1.9676674364896077E-3</v>
      </c>
      <c r="AK55" s="277">
        <v>1.6216394306800209E-2</v>
      </c>
      <c r="AL55" s="277">
        <v>2.7505438928601699E-2</v>
      </c>
      <c r="AM55" s="277">
        <v>2.2814186584425598E-2</v>
      </c>
      <c r="AN55" s="277">
        <v>1.8936170212765957E-3</v>
      </c>
      <c r="AO55" s="277">
        <v>3.2215060064459417E-3</v>
      </c>
      <c r="AP55" s="277">
        <v>7.2662006423578306E-3</v>
      </c>
      <c r="AQ55" s="277">
        <f t="shared" si="11"/>
        <v>0.23415700444978488</v>
      </c>
      <c r="AS55" s="267" t="s">
        <v>111</v>
      </c>
      <c r="AT55" s="277">
        <v>6.1847389558232935E-2</v>
      </c>
      <c r="AU55" s="277">
        <v>2.3369565217391305E-2</v>
      </c>
      <c r="AV55" s="277">
        <v>6.8076668869795104E-2</v>
      </c>
      <c r="AW55" s="277">
        <v>8.0666374397194207E-2</v>
      </c>
      <c r="AX55" s="277">
        <v>6.9928722789443273E-2</v>
      </c>
      <c r="AY55" s="277">
        <v>6.3982500512680299E-2</v>
      </c>
      <c r="AZ55" s="277">
        <v>3.5374999999999997E-2</v>
      </c>
      <c r="BA55" s="277">
        <v>4.2782138587097777E-2</v>
      </c>
      <c r="BB55" s="277">
        <v>0.11285425101214575</v>
      </c>
      <c r="BC55" s="277">
        <v>6.654676258992806E-2</v>
      </c>
      <c r="BD55" s="277">
        <v>0.12311964822957648</v>
      </c>
      <c r="BE55" s="277">
        <v>4.8702594810379245E-2</v>
      </c>
      <c r="BF55" s="277">
        <v>9.8843739676247114E-2</v>
      </c>
      <c r="BG55" s="277">
        <v>7.6612903225806453E-2</v>
      </c>
      <c r="BH55" s="38"/>
      <c r="BI55" s="38"/>
      <c r="BJ55" s="267" t="s">
        <v>110</v>
      </c>
      <c r="BK55" s="277">
        <v>4.3735224586288417E-2</v>
      </c>
      <c r="BL55" s="277">
        <v>4.1194644696189497E-2</v>
      </c>
      <c r="BM55" s="277">
        <v>3.6340852130325813E-2</v>
      </c>
      <c r="BN55" s="277">
        <v>1.9562715765247412E-2</v>
      </c>
      <c r="BO55" s="277">
        <v>5.9484467944481166E-2</v>
      </c>
      <c r="BP55" s="277">
        <v>5.4362121876370011E-2</v>
      </c>
      <c r="BQ55" s="277">
        <v>1.3916901976603469E-2</v>
      </c>
      <c r="BR55" s="277">
        <v>1.2714370195150799E-2</v>
      </c>
      <c r="BS55" s="277">
        <v>3.1422403454065724E-2</v>
      </c>
      <c r="BT55" s="277">
        <v>1.0078387458006719E-2</v>
      </c>
      <c r="BU55" s="277">
        <v>9.1174701383518089E-2</v>
      </c>
      <c r="BV55" s="277">
        <v>4.3944369325864402E-2</v>
      </c>
      <c r="BW55" s="277">
        <v>2.5624999999999998E-2</v>
      </c>
      <c r="BX55" s="277">
        <v>2.1624993502105318E-2</v>
      </c>
      <c r="BY55" s="277">
        <v>0.14802065404475043</v>
      </c>
      <c r="BZ55" s="277">
        <v>0.11956521739130435</v>
      </c>
      <c r="CA55" s="277">
        <v>2.355140186915888E-2</v>
      </c>
      <c r="CB55" s="277">
        <v>8.2142857142857142E-2</v>
      </c>
      <c r="CC55" s="277">
        <v>0.11779680629483916</v>
      </c>
      <c r="CD55" s="277">
        <v>3.5129740518962074E-2</v>
      </c>
      <c r="CE55" s="277">
        <v>0.10833333333333334</v>
      </c>
      <c r="CF55" s="277">
        <v>9.3220338983050849E-2</v>
      </c>
      <c r="CG55" s="277">
        <v>7.2969696969696976E-2</v>
      </c>
      <c r="CH55" s="277">
        <v>6.6176470588235295E-2</v>
      </c>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row>
    <row r="56" spans="1:128" ht="12" customHeight="1">
      <c r="A56" s="679"/>
      <c r="B56" s="98" t="s">
        <v>593</v>
      </c>
      <c r="C56" s="99" t="s">
        <v>600</v>
      </c>
      <c r="G56" s="38"/>
      <c r="H56" s="38"/>
      <c r="I56" s="38"/>
      <c r="J56" s="38"/>
      <c r="K56" s="38"/>
      <c r="M56" s="267" t="s">
        <v>112</v>
      </c>
      <c r="N56" s="313">
        <v>4.6189376443418015E-2</v>
      </c>
      <c r="O56" s="313">
        <v>1.9399538106235566E-2</v>
      </c>
      <c r="P56" s="275">
        <v>7.0506062203479172E-2</v>
      </c>
      <c r="Q56" s="313">
        <v>7.2048145113440508E-3</v>
      </c>
      <c r="R56" s="313">
        <v>1.1555957392704772E-2</v>
      </c>
      <c r="S56" s="313">
        <v>7.2924024524623515E-2</v>
      </c>
      <c r="T56" s="275">
        <v>6.9133898740683625E-2</v>
      </c>
      <c r="U56" s="315">
        <v>7.1394799054373528E-2</v>
      </c>
      <c r="V56" s="316">
        <v>2.3286052009456264E-2</v>
      </c>
      <c r="W56" s="313">
        <v>0.10738353354819806</v>
      </c>
      <c r="X56" s="315">
        <v>1.9018829901127274E-2</v>
      </c>
      <c r="Y56" s="316">
        <v>0.10208451413816991</v>
      </c>
      <c r="AC56" s="267" t="s">
        <v>113</v>
      </c>
      <c r="AD56" s="290">
        <f t="shared" si="9"/>
        <v>0.11877428087471219</v>
      </c>
      <c r="AE56" s="73">
        <f t="shared" si="10"/>
        <v>0.26403381865872211</v>
      </c>
      <c r="AF56" s="277">
        <f>AF55+SUM(AD55:AE55)</f>
        <v>0.31504201537618237</v>
      </c>
      <c r="AI56" s="267" t="s">
        <v>113</v>
      </c>
      <c r="AJ56" s="277">
        <v>9.9491916859122398E-3</v>
      </c>
      <c r="AK56" s="277">
        <v>5.6439114391143914E-2</v>
      </c>
      <c r="AL56" s="277">
        <v>9.3925352470827575E-2</v>
      </c>
      <c r="AM56" s="277">
        <v>0.18877739839189336</v>
      </c>
      <c r="AN56" s="277">
        <v>4.7517730496453902E-3</v>
      </c>
      <c r="AO56" s="277">
        <v>1.0147963668326985E-2</v>
      </c>
      <c r="AP56" s="277">
        <v>1.8817305875684864E-2</v>
      </c>
      <c r="AQ56" s="277">
        <f t="shared" si="11"/>
        <v>0.31504201537618237</v>
      </c>
      <c r="AS56" s="267" t="s">
        <v>112</v>
      </c>
      <c r="AT56" s="277">
        <v>8.2730923694779121E-2</v>
      </c>
      <c r="AU56" s="277">
        <v>4.2391304347826085E-2</v>
      </c>
      <c r="AV56" s="277">
        <v>7.2372769332452083E-2</v>
      </c>
      <c r="AW56" s="277">
        <v>6.9267864971503723E-2</v>
      </c>
      <c r="AX56" s="277">
        <v>0.10248507031400501</v>
      </c>
      <c r="AY56" s="277">
        <v>7.6355184906692186E-2</v>
      </c>
      <c r="AZ56" s="277">
        <v>8.4000000000000005E-2</v>
      </c>
      <c r="BA56" s="277">
        <v>6.2951603680407545E-2</v>
      </c>
      <c r="BB56" s="277">
        <v>9.7165991902834009E-2</v>
      </c>
      <c r="BC56" s="277">
        <v>5.935251798561151E-2</v>
      </c>
      <c r="BD56" s="277">
        <v>0.13029391344596158</v>
      </c>
      <c r="BE56" s="277">
        <v>6.7864271457085831E-2</v>
      </c>
      <c r="BF56" s="277">
        <v>0.12408325074331021</v>
      </c>
      <c r="BG56" s="277">
        <v>6.0483870967741937E-2</v>
      </c>
      <c r="BH56" s="38"/>
      <c r="BI56" s="38"/>
      <c r="BJ56" s="267" t="s">
        <v>111</v>
      </c>
      <c r="BK56" s="277">
        <v>6.5011820330969264E-2</v>
      </c>
      <c r="BL56" s="277">
        <v>2.1627188465499485E-2</v>
      </c>
      <c r="BM56" s="277">
        <v>5.5137844611528819E-2</v>
      </c>
      <c r="BN56" s="277">
        <v>2.5316455696202531E-2</v>
      </c>
      <c r="BO56" s="277">
        <v>6.8076668869795104E-2</v>
      </c>
      <c r="BP56" s="277">
        <v>8.0666374397194207E-2</v>
      </c>
      <c r="BQ56" s="277">
        <v>2.4405002016942314E-2</v>
      </c>
      <c r="BR56" s="277">
        <v>2.365464222353637E-2</v>
      </c>
      <c r="BS56" s="277">
        <v>4.9892060446150154E-2</v>
      </c>
      <c r="BT56" s="277">
        <v>1.4557670772676373E-2</v>
      </c>
      <c r="BU56" s="277">
        <v>9.6502535017616228E-2</v>
      </c>
      <c r="BV56" s="277">
        <v>8.1417809542205913E-2</v>
      </c>
      <c r="BW56" s="277">
        <v>3.5374999999999997E-2</v>
      </c>
      <c r="BX56" s="277">
        <v>4.2782138587097777E-2</v>
      </c>
      <c r="BY56" s="277">
        <v>0.15108051252629565</v>
      </c>
      <c r="BZ56" s="277">
        <v>6.1594202898550728E-2</v>
      </c>
      <c r="CA56" s="277">
        <v>3.8130841121495326E-2</v>
      </c>
      <c r="CB56" s="277">
        <v>7.1428571428571425E-2</v>
      </c>
      <c r="CC56" s="277">
        <v>0.12311964822957648</v>
      </c>
      <c r="CD56" s="277">
        <v>4.8702594810379245E-2</v>
      </c>
      <c r="CE56" s="277">
        <v>9.2028985507246377E-2</v>
      </c>
      <c r="CF56" s="277">
        <v>9.3220338983050849E-2</v>
      </c>
      <c r="CG56" s="277">
        <v>0.10036363636363636</v>
      </c>
      <c r="CH56" s="277">
        <v>4.779411764705882E-2</v>
      </c>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row>
    <row r="57" spans="1:128" ht="12" customHeight="1">
      <c r="A57" s="679"/>
      <c r="B57" s="98" t="s">
        <v>594</v>
      </c>
      <c r="C57" s="99" t="s">
        <v>601</v>
      </c>
      <c r="E57" s="546" t="s">
        <v>390</v>
      </c>
      <c r="F57" s="546" t="s">
        <v>475</v>
      </c>
      <c r="G57" s="38"/>
      <c r="H57" s="38"/>
      <c r="I57" s="38"/>
      <c r="J57" s="38"/>
      <c r="K57" s="38"/>
      <c r="M57" s="267" t="s">
        <v>113</v>
      </c>
      <c r="N57" s="313">
        <v>0.17944572748267898</v>
      </c>
      <c r="O57" s="313">
        <v>0.15219399538106235</v>
      </c>
      <c r="P57" s="275">
        <v>0.24538745387453875</v>
      </c>
      <c r="Q57" s="313">
        <v>6.4730313903879302E-2</v>
      </c>
      <c r="R57" s="313">
        <v>7.6964371485887043E-2</v>
      </c>
      <c r="S57" s="313">
        <v>0.17138982284632553</v>
      </c>
      <c r="T57" s="275">
        <v>0.57205272239967686</v>
      </c>
      <c r="U57" s="315">
        <v>8.9716312056737593E-2</v>
      </c>
      <c r="V57" s="316">
        <v>0.14787234042553191</v>
      </c>
      <c r="W57" s="313">
        <v>0.33826545561089949</v>
      </c>
      <c r="X57" s="315">
        <v>3.5392656968322944E-2</v>
      </c>
      <c r="Y57" s="316">
        <v>0.27822910762642483</v>
      </c>
      <c r="AC57" s="268" t="s">
        <v>114</v>
      </c>
      <c r="AD57" s="293">
        <f t="shared" si="9"/>
        <v>0.10887697661607243</v>
      </c>
      <c r="AE57" s="74">
        <f t="shared" si="10"/>
        <v>0.19327290847431086</v>
      </c>
      <c r="AF57" s="277">
        <f>AF56+SUM(AD56:AE56)</f>
        <v>0.69785011490961668</v>
      </c>
      <c r="AI57" s="268" t="s">
        <v>114</v>
      </c>
      <c r="AJ57" s="278">
        <v>1.2505773672055426E-2</v>
      </c>
      <c r="AK57" s="278">
        <v>9.9935424354243546E-2</v>
      </c>
      <c r="AL57" s="278">
        <v>8.6525584155058913E-2</v>
      </c>
      <c r="AM57" s="278">
        <v>8.8009692697433639E-2</v>
      </c>
      <c r="AN57" s="278">
        <v>3.0378250591016551E-3</v>
      </c>
      <c r="AO57" s="278">
        <v>6.8077937298564309E-3</v>
      </c>
      <c r="AP57" s="278">
        <v>5.3277914226336669E-3</v>
      </c>
      <c r="AQ57" s="277">
        <f t="shared" si="11"/>
        <v>0.69785011490961668</v>
      </c>
      <c r="AS57" s="267" t="s">
        <v>113</v>
      </c>
      <c r="AT57" s="277">
        <v>0.36425702811244981</v>
      </c>
      <c r="AU57" s="277">
        <v>0.28749999999999998</v>
      </c>
      <c r="AV57" s="277">
        <v>0.25214805023132847</v>
      </c>
      <c r="AW57" s="277">
        <v>0.24090311266988162</v>
      </c>
      <c r="AX57" s="277">
        <v>0.33538817183586977</v>
      </c>
      <c r="AY57" s="277">
        <v>0.28142730193451365</v>
      </c>
      <c r="AZ57" s="277">
        <v>0.65725</v>
      </c>
      <c r="BA57" s="277">
        <v>0.5366221344284452</v>
      </c>
      <c r="BB57" s="277">
        <v>0.23228744939271256</v>
      </c>
      <c r="BC57" s="277">
        <v>0.31294964028776978</v>
      </c>
      <c r="BD57" s="277">
        <v>0.34228187919463088</v>
      </c>
      <c r="BE57" s="277">
        <v>0.33133732534930138</v>
      </c>
      <c r="BF57" s="277">
        <v>0.31978856954079948</v>
      </c>
      <c r="BG57" s="277">
        <v>0.18817204301075269</v>
      </c>
      <c r="BH57" s="38"/>
      <c r="BI57" s="38"/>
      <c r="BJ57" s="267" t="s">
        <v>112</v>
      </c>
      <c r="BK57" s="277">
        <v>9.7517730496453903E-2</v>
      </c>
      <c r="BL57" s="277">
        <v>3.604531410916581E-2</v>
      </c>
      <c r="BM57" s="277">
        <v>5.1378446115288218E-2</v>
      </c>
      <c r="BN57" s="277">
        <v>4.9482163406214037E-2</v>
      </c>
      <c r="BO57" s="277">
        <v>7.2372769332452083E-2</v>
      </c>
      <c r="BP57" s="277">
        <v>6.9267864971503723E-2</v>
      </c>
      <c r="BQ57" s="277">
        <v>3.3077853973376363E-2</v>
      </c>
      <c r="BR57" s="277">
        <v>2.6907155529272621E-2</v>
      </c>
      <c r="BS57" s="277">
        <v>8.7071240105540904E-2</v>
      </c>
      <c r="BT57" s="277">
        <v>5.1511758118701005E-2</v>
      </c>
      <c r="BU57" s="277">
        <v>0.13757841368050186</v>
      </c>
      <c r="BV57" s="277">
        <v>9.4649410855707938E-2</v>
      </c>
      <c r="BW57" s="277">
        <v>8.4000000000000005E-2</v>
      </c>
      <c r="BX57" s="277">
        <v>6.2951603680407545E-2</v>
      </c>
      <c r="BY57" s="277">
        <v>0.11225855804169058</v>
      </c>
      <c r="BZ57" s="277">
        <v>6.1594202898550728E-2</v>
      </c>
      <c r="CA57" s="277">
        <v>6.7663551401869165E-2</v>
      </c>
      <c r="CB57" s="277">
        <v>5.7142857142857141E-2</v>
      </c>
      <c r="CC57" s="277">
        <v>0.13029391344596158</v>
      </c>
      <c r="CD57" s="277">
        <v>6.7864271457085831E-2</v>
      </c>
      <c r="CE57" s="277">
        <v>9.6376811594202902E-2</v>
      </c>
      <c r="CF57" s="277">
        <v>7.6271186440677971E-2</v>
      </c>
      <c r="CG57" s="277">
        <v>0.13026262626262627</v>
      </c>
      <c r="CH57" s="277">
        <v>3.3088235294117647E-2</v>
      </c>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row>
    <row r="58" spans="1:128" ht="12" customHeight="1">
      <c r="A58" s="679"/>
      <c r="B58" s="98" t="s">
        <v>595</v>
      </c>
      <c r="C58" s="99" t="s">
        <v>602</v>
      </c>
      <c r="E58" s="183" t="s">
        <v>21</v>
      </c>
      <c r="F58" s="183" t="s">
        <v>72</v>
      </c>
      <c r="G58" s="38"/>
      <c r="H58" s="38"/>
      <c r="I58" s="38"/>
      <c r="J58" s="38"/>
      <c r="K58" s="38"/>
      <c r="M58" s="268" t="s">
        <v>114</v>
      </c>
      <c r="N58" s="313">
        <v>0.25173210161662818</v>
      </c>
      <c r="O58" s="313">
        <v>0.1651270207852194</v>
      </c>
      <c r="P58" s="274">
        <v>0.43450184501845018</v>
      </c>
      <c r="Q58" s="313">
        <v>0.15000141270872772</v>
      </c>
      <c r="R58" s="313">
        <v>3.6899951967903258E-2</v>
      </c>
      <c r="S58" s="313">
        <v>0.10151724917356539</v>
      </c>
      <c r="T58" s="275">
        <v>0.26669603847707163</v>
      </c>
      <c r="U58" s="315">
        <v>1.2884160756501182E-2</v>
      </c>
      <c r="V58" s="316">
        <v>0.13900709219858157</v>
      </c>
      <c r="W58" s="313">
        <v>0.22692645766188105</v>
      </c>
      <c r="X58" s="315">
        <v>2.2482524088418665E-2</v>
      </c>
      <c r="Y58" s="316">
        <v>6.6313999622142447E-2</v>
      </c>
      <c r="AC58" s="270" t="s">
        <v>71</v>
      </c>
      <c r="AD58" s="291">
        <f>SUM(AD51:AD57)</f>
        <v>0.38</v>
      </c>
      <c r="AE58" s="75">
        <f>SUM(AE51:AE57)</f>
        <v>0.62</v>
      </c>
      <c r="AF58" s="619">
        <f t="shared" ref="AF58" si="12">AF57+SUM(AD57:AE57)</f>
        <v>1</v>
      </c>
      <c r="AI58" s="269" t="s">
        <v>71</v>
      </c>
      <c r="AJ58" s="272">
        <v>0.03</v>
      </c>
      <c r="AK58" s="272">
        <v>0.23</v>
      </c>
      <c r="AL58" s="272">
        <v>0.3</v>
      </c>
      <c r="AM58" s="272">
        <v>0.33</v>
      </c>
      <c r="AN58" s="272">
        <v>0.02</v>
      </c>
      <c r="AO58" s="272">
        <v>0.03</v>
      </c>
      <c r="AP58" s="272">
        <v>0.06</v>
      </c>
      <c r="AQ58" s="619">
        <f t="shared" si="11"/>
        <v>1</v>
      </c>
      <c r="AS58" s="268" t="s">
        <v>114</v>
      </c>
      <c r="AT58" s="278">
        <v>0.30923694779116467</v>
      </c>
      <c r="AU58" s="278">
        <v>0.5625</v>
      </c>
      <c r="AV58" s="278">
        <v>0.43357567746199605</v>
      </c>
      <c r="AW58" s="278">
        <v>0.43511617711530032</v>
      </c>
      <c r="AX58" s="278">
        <v>0.24816990945867848</v>
      </c>
      <c r="AY58" s="278">
        <v>0.34554651719187912</v>
      </c>
      <c r="AZ58" s="278">
        <v>0.16162499999999999</v>
      </c>
      <c r="BA58" s="278">
        <v>0.3103914331756511</v>
      </c>
      <c r="BB58" s="278">
        <v>0.15599696356275303</v>
      </c>
      <c r="BC58" s="278">
        <v>9.3525179856115109E-2</v>
      </c>
      <c r="BD58" s="278">
        <v>9.6505438555889847E-2</v>
      </c>
      <c r="BE58" s="278">
        <v>0.45189620758483035</v>
      </c>
      <c r="BF58" s="278">
        <v>8.7875784605219692E-2</v>
      </c>
      <c r="BG58" s="278">
        <v>0.10752688172043011</v>
      </c>
      <c r="BH58" s="38"/>
      <c r="BI58" s="38"/>
      <c r="BJ58" s="267" t="s">
        <v>113</v>
      </c>
      <c r="BK58" s="277">
        <v>0.32919621749408984</v>
      </c>
      <c r="BL58" s="277">
        <v>0.22657054582904224</v>
      </c>
      <c r="BM58" s="277">
        <v>0.43859649122807015</v>
      </c>
      <c r="BN58" s="277">
        <v>0.35558112773302647</v>
      </c>
      <c r="BO58" s="277">
        <v>0.25214805023132847</v>
      </c>
      <c r="BP58" s="277">
        <v>0.24090311266988162</v>
      </c>
      <c r="BQ58" s="277">
        <v>0.32634126663977409</v>
      </c>
      <c r="BR58" s="277">
        <v>0.1989946777054997</v>
      </c>
      <c r="BS58" s="277">
        <v>0.55169105301031418</v>
      </c>
      <c r="BT58" s="277">
        <v>0.47480403135498322</v>
      </c>
      <c r="BU58" s="277">
        <v>0.26175131047520839</v>
      </c>
      <c r="BV58" s="277">
        <v>0.2916747150859571</v>
      </c>
      <c r="BW58" s="277">
        <v>0.65725</v>
      </c>
      <c r="BX58" s="277">
        <v>0.5366221344284452</v>
      </c>
      <c r="BY58" s="277">
        <v>0.13788487282463185</v>
      </c>
      <c r="BZ58" s="277">
        <v>0.13768115942028986</v>
      </c>
      <c r="CA58" s="277">
        <v>0.41682242990654206</v>
      </c>
      <c r="CB58" s="277">
        <v>0.48571428571428571</v>
      </c>
      <c r="CC58" s="277">
        <v>0.34228187919463088</v>
      </c>
      <c r="CD58" s="277">
        <v>0.33133732534930138</v>
      </c>
      <c r="CE58" s="277">
        <v>0.16702898550724637</v>
      </c>
      <c r="CF58" s="277">
        <v>0.21398305084745764</v>
      </c>
      <c r="CG58" s="277">
        <v>0.35385858585858587</v>
      </c>
      <c r="CH58" s="277">
        <v>0.14338235294117646</v>
      </c>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row>
    <row r="59" spans="1:128" ht="12" customHeight="1">
      <c r="A59" s="679"/>
      <c r="B59" s="98" t="s">
        <v>596</v>
      </c>
      <c r="C59" s="99" t="s">
        <v>603</v>
      </c>
      <c r="E59" s="183" t="s">
        <v>14</v>
      </c>
      <c r="F59" s="183" t="s">
        <v>73</v>
      </c>
      <c r="G59" s="38"/>
      <c r="H59" s="38"/>
      <c r="I59" s="38"/>
      <c r="J59" s="38"/>
      <c r="K59" s="38"/>
      <c r="M59" s="269" t="s">
        <v>71</v>
      </c>
      <c r="N59" s="318">
        <v>1</v>
      </c>
      <c r="O59" s="319"/>
      <c r="P59" s="317">
        <v>1</v>
      </c>
      <c r="Q59" s="318">
        <v>0.99999999999999989</v>
      </c>
      <c r="R59" s="320"/>
      <c r="S59" s="319"/>
      <c r="T59" s="317">
        <v>1</v>
      </c>
      <c r="U59" s="318">
        <v>1.0000000000000002</v>
      </c>
      <c r="V59" s="319"/>
      <c r="W59" s="318">
        <f>SUM(W52:W58)</f>
        <v>1</v>
      </c>
      <c r="X59" s="318">
        <f>SUM(X52:Y58)</f>
        <v>1</v>
      </c>
      <c r="Y59" s="319"/>
      <c r="AM59" s="49"/>
      <c r="AN59" s="49"/>
      <c r="AO59" s="49"/>
      <c r="AP59" s="49"/>
      <c r="AS59" s="269" t="s">
        <v>71</v>
      </c>
      <c r="AT59" s="272">
        <f>SUM(AT52:AT58)</f>
        <v>1</v>
      </c>
      <c r="AU59" s="272">
        <f t="shared" ref="AU59:BG59" si="13">SUM(AU52:AU58)</f>
        <v>1</v>
      </c>
      <c r="AV59" s="272">
        <f t="shared" si="13"/>
        <v>1</v>
      </c>
      <c r="AW59" s="272">
        <f t="shared" si="13"/>
        <v>1</v>
      </c>
      <c r="AX59" s="272">
        <f t="shared" si="13"/>
        <v>1</v>
      </c>
      <c r="AY59" s="272">
        <f t="shared" si="13"/>
        <v>1</v>
      </c>
      <c r="AZ59" s="272">
        <f t="shared" si="13"/>
        <v>1</v>
      </c>
      <c r="BA59" s="272">
        <f t="shared" si="13"/>
        <v>1</v>
      </c>
      <c r="BB59" s="272">
        <f t="shared" si="13"/>
        <v>1</v>
      </c>
      <c r="BC59" s="272">
        <f t="shared" si="13"/>
        <v>0.99999999999999989</v>
      </c>
      <c r="BD59" s="272">
        <f t="shared" si="13"/>
        <v>1</v>
      </c>
      <c r="BE59" s="272">
        <f t="shared" si="13"/>
        <v>1</v>
      </c>
      <c r="BF59" s="272">
        <f t="shared" si="13"/>
        <v>1</v>
      </c>
      <c r="BG59" s="272">
        <f t="shared" si="13"/>
        <v>1</v>
      </c>
      <c r="BH59" s="38"/>
      <c r="BI59" s="38"/>
      <c r="BJ59" s="268" t="s">
        <v>114</v>
      </c>
      <c r="BK59" s="278">
        <v>0.30082742316784872</v>
      </c>
      <c r="BL59" s="278">
        <v>0.59835221421215246</v>
      </c>
      <c r="BM59" s="278">
        <v>0.32706766917293234</v>
      </c>
      <c r="BN59" s="278">
        <v>0.52243958573072502</v>
      </c>
      <c r="BO59" s="278">
        <v>0.43357567746199605</v>
      </c>
      <c r="BP59" s="278">
        <v>0.43511617711530032</v>
      </c>
      <c r="BQ59" s="278">
        <v>0.58128277531262607</v>
      </c>
      <c r="BR59" s="278">
        <v>0.71762270845653464</v>
      </c>
      <c r="BS59" s="278">
        <v>0.22259534660590069</v>
      </c>
      <c r="BT59" s="278">
        <v>0.42329227323628221</v>
      </c>
      <c r="BU59" s="278">
        <v>0.11540775113860961</v>
      </c>
      <c r="BV59" s="278">
        <v>0.2173073208421866</v>
      </c>
      <c r="BW59" s="278">
        <v>0.16162499999999999</v>
      </c>
      <c r="BX59" s="278">
        <v>0.3103914331756511</v>
      </c>
      <c r="BY59" s="278">
        <v>1.969783897494741E-2</v>
      </c>
      <c r="BZ59" s="278">
        <v>2.1739130434782608E-2</v>
      </c>
      <c r="CA59" s="278">
        <v>0.42242990654205609</v>
      </c>
      <c r="CB59" s="278">
        <v>0.16428571428571428</v>
      </c>
      <c r="CC59" s="278">
        <v>9.6505438555889847E-2</v>
      </c>
      <c r="CD59" s="278">
        <v>0.45189620758483035</v>
      </c>
      <c r="CE59" s="278">
        <v>0.10833333333333334</v>
      </c>
      <c r="CF59" s="278">
        <v>0.1228813559322034</v>
      </c>
      <c r="CG59" s="278">
        <v>8.3313131313131311E-2</v>
      </c>
      <c r="CH59" s="278">
        <v>8.0882352941176475E-2</v>
      </c>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row>
    <row r="60" spans="1:128" ht="12" customHeight="1">
      <c r="A60" s="679"/>
      <c r="B60" s="98" t="s">
        <v>597</v>
      </c>
      <c r="C60" s="99" t="s">
        <v>604</v>
      </c>
      <c r="E60" s="183" t="s">
        <v>20</v>
      </c>
      <c r="F60" s="183" t="s">
        <v>74</v>
      </c>
      <c r="G60" s="38"/>
      <c r="H60" s="38"/>
      <c r="I60" s="38"/>
      <c r="J60" s="38"/>
      <c r="K60" s="38"/>
      <c r="AM60" s="49"/>
      <c r="AN60" s="49"/>
      <c r="AO60" s="49"/>
      <c r="AP60" s="49"/>
      <c r="AX60" s="38"/>
      <c r="AY60" s="38"/>
      <c r="AZ60" s="38"/>
      <c r="BA60" s="38"/>
      <c r="BB60" s="38"/>
      <c r="BC60" s="38"/>
      <c r="BD60" s="38"/>
      <c r="BE60" s="38"/>
      <c r="BF60" s="38"/>
      <c r="BG60" s="38"/>
      <c r="BH60" s="38"/>
      <c r="BI60" s="38"/>
      <c r="BJ60" s="269" t="s">
        <v>71</v>
      </c>
      <c r="BK60" s="272">
        <v>1</v>
      </c>
      <c r="BL60" s="272">
        <v>1</v>
      </c>
      <c r="BM60" s="272">
        <v>1</v>
      </c>
      <c r="BN60" s="272">
        <v>1</v>
      </c>
      <c r="BO60" s="272">
        <v>1</v>
      </c>
      <c r="BP60" s="272">
        <v>1</v>
      </c>
      <c r="BQ60" s="272">
        <v>1</v>
      </c>
      <c r="BR60" s="272">
        <v>1</v>
      </c>
      <c r="BS60" s="272">
        <v>1</v>
      </c>
      <c r="BT60" s="272">
        <v>1</v>
      </c>
      <c r="BU60" s="272">
        <v>1</v>
      </c>
      <c r="BV60" s="272">
        <v>1</v>
      </c>
      <c r="BW60" s="272">
        <v>1</v>
      </c>
      <c r="BX60" s="272">
        <v>1</v>
      </c>
      <c r="BY60" s="272">
        <v>1</v>
      </c>
      <c r="BZ60" s="272">
        <v>1</v>
      </c>
      <c r="CA60" s="272">
        <v>1</v>
      </c>
      <c r="CB60" s="272">
        <v>1</v>
      </c>
      <c r="CC60" s="272">
        <v>1</v>
      </c>
      <c r="CD60" s="272">
        <v>1</v>
      </c>
      <c r="CE60" s="272">
        <v>1</v>
      </c>
      <c r="CF60" s="272">
        <v>1</v>
      </c>
      <c r="CG60" s="272">
        <v>1</v>
      </c>
      <c r="CH60" s="272">
        <v>1</v>
      </c>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row>
    <row r="61" spans="1:128" ht="12" customHeight="1">
      <c r="A61" s="679"/>
      <c r="B61" s="98" t="s">
        <v>598</v>
      </c>
      <c r="C61" s="99" t="s">
        <v>605</v>
      </c>
      <c r="E61" s="183" t="s">
        <v>22</v>
      </c>
      <c r="F61" s="183" t="s">
        <v>75</v>
      </c>
      <c r="G61" s="38"/>
      <c r="H61" s="38"/>
      <c r="I61" s="38"/>
      <c r="J61" s="38"/>
      <c r="K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X61" s="38"/>
      <c r="AY61" s="38"/>
      <c r="AZ61" s="38"/>
      <c r="BA61" s="38"/>
      <c r="BB61" s="38"/>
      <c r="BC61" s="38"/>
      <c r="BD61" s="38"/>
      <c r="BE61" s="38"/>
      <c r="BF61" s="38"/>
      <c r="BG61" s="38"/>
      <c r="BH61" s="38"/>
      <c r="BI61" s="38"/>
      <c r="BJ61" s="38"/>
      <c r="BK61" s="38"/>
      <c r="BL61" s="38"/>
      <c r="BM61" s="38"/>
      <c r="BN61" s="38"/>
      <c r="BO61" s="38"/>
      <c r="BP61" s="38"/>
      <c r="BQ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row>
    <row r="62" spans="1:128" ht="12" customHeight="1">
      <c r="A62" s="679"/>
      <c r="B62" s="98" t="s">
        <v>257</v>
      </c>
      <c r="C62" s="99" t="s">
        <v>258</v>
      </c>
      <c r="E62" s="183" t="s">
        <v>23</v>
      </c>
      <c r="F62" s="183" t="s">
        <v>76</v>
      </c>
      <c r="G62" s="38"/>
      <c r="H62" s="38"/>
      <c r="I62" s="38"/>
      <c r="J62" s="38"/>
      <c r="K62" s="38"/>
      <c r="M62" s="661" t="s">
        <v>410</v>
      </c>
      <c r="N62" s="661"/>
      <c r="O62" s="661"/>
      <c r="P62" s="661"/>
      <c r="Q62" s="661"/>
      <c r="R62" s="661"/>
      <c r="S62" s="661"/>
      <c r="T62" s="661"/>
      <c r="U62" s="661"/>
      <c r="V62" s="661"/>
      <c r="W62" s="661"/>
      <c r="X62" s="661"/>
      <c r="Y62" s="661"/>
      <c r="AC62" s="662" t="s">
        <v>414</v>
      </c>
      <c r="AD62" s="662"/>
      <c r="AE62" s="662"/>
      <c r="AF62" s="662"/>
      <c r="AI62" s="685" t="s">
        <v>419</v>
      </c>
      <c r="AJ62" s="685"/>
      <c r="AK62" s="685"/>
      <c r="AL62" s="685"/>
      <c r="AM62" s="685"/>
      <c r="AN62" s="685"/>
      <c r="AO62" s="685"/>
      <c r="AP62" s="685"/>
      <c r="AQ62" s="685"/>
      <c r="AS62" s="685" t="s">
        <v>423</v>
      </c>
      <c r="AT62" s="685"/>
      <c r="AU62" s="685"/>
      <c r="AV62" s="685"/>
      <c r="AW62" s="685"/>
      <c r="AX62" s="685"/>
      <c r="AY62" s="685"/>
      <c r="AZ62" s="685"/>
      <c r="BA62" s="685"/>
      <c r="BB62" s="685"/>
      <c r="BC62" s="685"/>
      <c r="BD62" s="685"/>
      <c r="BE62" s="685"/>
      <c r="BF62" s="685"/>
      <c r="BG62" s="685"/>
      <c r="BH62" s="38"/>
      <c r="BI62" s="38"/>
      <c r="BJ62" s="689" t="s">
        <v>624</v>
      </c>
      <c r="BK62" s="689"/>
      <c r="BL62" s="689"/>
      <c r="BM62" s="689"/>
      <c r="BN62" s="689"/>
      <c r="BO62" s="689"/>
      <c r="BP62" s="689"/>
      <c r="BQ62" s="689"/>
      <c r="BR62" s="689"/>
      <c r="BS62" s="689"/>
      <c r="BT62" s="689"/>
      <c r="BU62" s="689"/>
      <c r="BV62" s="689"/>
      <c r="BW62" s="689"/>
      <c r="BX62" s="689"/>
      <c r="BY62" s="689"/>
      <c r="BZ62" s="689"/>
      <c r="CA62" s="689"/>
      <c r="CB62" s="689"/>
      <c r="CC62" s="689"/>
      <c r="CD62" s="689"/>
      <c r="CE62" s="689"/>
      <c r="CF62" s="689"/>
      <c r="CG62" s="689"/>
      <c r="CH62" s="689"/>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row>
    <row r="63" spans="1:128" ht="12" customHeight="1">
      <c r="A63" s="679"/>
      <c r="B63" s="98" t="s">
        <v>259</v>
      </c>
      <c r="C63" s="99" t="s">
        <v>260</v>
      </c>
      <c r="E63" s="183" t="s">
        <v>24</v>
      </c>
      <c r="F63" s="183" t="s">
        <v>78</v>
      </c>
      <c r="G63" s="38"/>
      <c r="H63" s="38"/>
      <c r="I63" s="38"/>
      <c r="J63" s="38"/>
      <c r="K63" s="38"/>
      <c r="M63" s="418"/>
      <c r="N63" s="686" t="s">
        <v>383</v>
      </c>
      <c r="O63" s="686"/>
      <c r="P63" s="489" t="s">
        <v>384</v>
      </c>
      <c r="Q63" s="686" t="s">
        <v>29</v>
      </c>
      <c r="R63" s="686"/>
      <c r="S63" s="686"/>
      <c r="T63" s="623" t="s">
        <v>628</v>
      </c>
      <c r="U63" s="686" t="s">
        <v>83</v>
      </c>
      <c r="V63" s="686"/>
      <c r="W63" s="489" t="s">
        <v>32</v>
      </c>
      <c r="X63" s="686" t="s">
        <v>64</v>
      </c>
      <c r="Y63" s="686"/>
      <c r="AC63" s="310" t="s">
        <v>91</v>
      </c>
      <c r="AD63" s="288" t="s">
        <v>221</v>
      </c>
      <c r="AE63" s="310" t="s">
        <v>222</v>
      </c>
      <c r="AF63" s="497" t="s">
        <v>425</v>
      </c>
      <c r="AI63" s="418" t="s">
        <v>91</v>
      </c>
      <c r="AJ63" s="490" t="s">
        <v>383</v>
      </c>
      <c r="AK63" s="490" t="s">
        <v>384</v>
      </c>
      <c r="AL63" s="418" t="s">
        <v>29</v>
      </c>
      <c r="AM63" s="623" t="s">
        <v>628</v>
      </c>
      <c r="AN63" s="418" t="s">
        <v>31</v>
      </c>
      <c r="AO63" s="310" t="s">
        <v>32</v>
      </c>
      <c r="AP63" s="623" t="s">
        <v>627</v>
      </c>
      <c r="AQ63" s="497" t="s">
        <v>425</v>
      </c>
      <c r="AS63" s="418" t="s">
        <v>91</v>
      </c>
      <c r="AT63" s="686" t="s">
        <v>383</v>
      </c>
      <c r="AU63" s="686"/>
      <c r="AV63" s="686" t="s">
        <v>384</v>
      </c>
      <c r="AW63" s="686"/>
      <c r="AX63" s="686" t="s">
        <v>29</v>
      </c>
      <c r="AY63" s="686"/>
      <c r="AZ63" s="686" t="s">
        <v>30</v>
      </c>
      <c r="BA63" s="686"/>
      <c r="BB63" s="686" t="s">
        <v>83</v>
      </c>
      <c r="BC63" s="686"/>
      <c r="BD63" s="686" t="s">
        <v>32</v>
      </c>
      <c r="BE63" s="686"/>
      <c r="BF63" s="686" t="s">
        <v>627</v>
      </c>
      <c r="BG63" s="686"/>
      <c r="BH63" s="38"/>
      <c r="BI63" s="38"/>
      <c r="BJ63" s="683" t="s">
        <v>91</v>
      </c>
      <c r="BK63" s="686" t="s">
        <v>398</v>
      </c>
      <c r="BL63" s="686"/>
      <c r="BM63" s="686"/>
      <c r="BN63" s="686"/>
      <c r="BO63" s="686" t="s">
        <v>384</v>
      </c>
      <c r="BP63" s="686"/>
      <c r="BQ63" s="683" t="s">
        <v>29</v>
      </c>
      <c r="BR63" s="683"/>
      <c r="BS63" s="683"/>
      <c r="BT63" s="683"/>
      <c r="BU63" s="683"/>
      <c r="BV63" s="683"/>
      <c r="BW63" s="683" t="s">
        <v>30</v>
      </c>
      <c r="BX63" s="683"/>
      <c r="BY63" s="683" t="s">
        <v>83</v>
      </c>
      <c r="BZ63" s="683"/>
      <c r="CA63" s="683"/>
      <c r="CB63" s="683"/>
      <c r="CC63" s="683" t="s">
        <v>32</v>
      </c>
      <c r="CD63" s="683"/>
      <c r="CE63" s="683" t="s">
        <v>64</v>
      </c>
      <c r="CF63" s="683"/>
      <c r="CG63" s="683"/>
      <c r="CH63" s="683"/>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row>
    <row r="64" spans="1:128" ht="12" customHeight="1">
      <c r="A64" s="679"/>
      <c r="B64" s="98" t="s">
        <v>524</v>
      </c>
      <c r="C64" s="99" t="s">
        <v>250</v>
      </c>
      <c r="E64" s="183" t="s">
        <v>25</v>
      </c>
      <c r="F64" s="183" t="s">
        <v>79</v>
      </c>
      <c r="G64" s="38"/>
      <c r="H64" s="38"/>
      <c r="I64" s="38"/>
      <c r="J64" s="38"/>
      <c r="K64" s="38"/>
      <c r="M64" s="43" t="s">
        <v>91</v>
      </c>
      <c r="N64" s="283" t="s">
        <v>211</v>
      </c>
      <c r="O64" s="55" t="s">
        <v>212</v>
      </c>
      <c r="P64" s="43" t="s">
        <v>213</v>
      </c>
      <c r="Q64" s="53" t="s">
        <v>214</v>
      </c>
      <c r="R64" s="54" t="s">
        <v>587</v>
      </c>
      <c r="S64" s="54" t="s">
        <v>215</v>
      </c>
      <c r="T64" s="43" t="s">
        <v>216</v>
      </c>
      <c r="U64" s="53" t="s">
        <v>194</v>
      </c>
      <c r="V64" s="55" t="s">
        <v>217</v>
      </c>
      <c r="W64" s="53" t="s">
        <v>220</v>
      </c>
      <c r="X64" s="53" t="s">
        <v>218</v>
      </c>
      <c r="Y64" s="55" t="s">
        <v>219</v>
      </c>
      <c r="AC64" s="266" t="s">
        <v>115</v>
      </c>
      <c r="AD64" s="289">
        <f>AJ64+AL64+AN64+AO64</f>
        <v>3.7906632865821834E-2</v>
      </c>
      <c r="AE64" s="71">
        <f>AK64+AM64+AP64</f>
        <v>6.2632852407855072E-2</v>
      </c>
      <c r="AF64" s="276">
        <v>0</v>
      </c>
      <c r="AI64" s="266" t="s">
        <v>115</v>
      </c>
      <c r="AJ64" s="276">
        <v>6.2087912087912091E-3</v>
      </c>
      <c r="AK64" s="276">
        <v>2.7506932190572222E-2</v>
      </c>
      <c r="AL64" s="276">
        <v>1.152413456850317E-2</v>
      </c>
      <c r="AM64" s="276">
        <v>2.1244717633499811E-3</v>
      </c>
      <c r="AN64" s="276">
        <v>1.2098699763593382E-2</v>
      </c>
      <c r="AO64" s="276">
        <v>8.0750073249340765E-3</v>
      </c>
      <c r="AP64" s="276">
        <v>3.3001448453932866E-2</v>
      </c>
      <c r="AQ64" s="276">
        <v>0</v>
      </c>
      <c r="AS64" s="431"/>
      <c r="AT64" s="283" t="s">
        <v>362</v>
      </c>
      <c r="AU64" s="55" t="s">
        <v>363</v>
      </c>
      <c r="AV64" s="283" t="s">
        <v>362</v>
      </c>
      <c r="AW64" s="55" t="s">
        <v>363</v>
      </c>
      <c r="AX64" s="283" t="s">
        <v>362</v>
      </c>
      <c r="AY64" s="55" t="s">
        <v>363</v>
      </c>
      <c r="AZ64" s="283" t="s">
        <v>362</v>
      </c>
      <c r="BA64" s="55" t="s">
        <v>363</v>
      </c>
      <c r="BB64" s="283" t="s">
        <v>362</v>
      </c>
      <c r="BC64" s="55" t="s">
        <v>363</v>
      </c>
      <c r="BD64" s="283" t="s">
        <v>362</v>
      </c>
      <c r="BE64" s="55" t="s">
        <v>363</v>
      </c>
      <c r="BF64" s="283" t="s">
        <v>362</v>
      </c>
      <c r="BG64" s="55" t="s">
        <v>363</v>
      </c>
      <c r="BH64" s="38"/>
      <c r="BI64" s="38"/>
      <c r="BJ64" s="683"/>
      <c r="BK64" s="692" t="s">
        <v>211</v>
      </c>
      <c r="BL64" s="693"/>
      <c r="BM64" s="694" t="s">
        <v>212</v>
      </c>
      <c r="BN64" s="688"/>
      <c r="BO64" s="687" t="s">
        <v>213</v>
      </c>
      <c r="BP64" s="688"/>
      <c r="BQ64" s="681" t="s">
        <v>214</v>
      </c>
      <c r="BR64" s="684"/>
      <c r="BS64" s="684" t="s">
        <v>587</v>
      </c>
      <c r="BT64" s="684"/>
      <c r="BU64" s="684" t="s">
        <v>215</v>
      </c>
      <c r="BV64" s="682"/>
      <c r="BW64" s="681" t="s">
        <v>216</v>
      </c>
      <c r="BX64" s="682"/>
      <c r="BY64" s="681" t="s">
        <v>194</v>
      </c>
      <c r="BZ64" s="684"/>
      <c r="CA64" s="684" t="s">
        <v>217</v>
      </c>
      <c r="CB64" s="682"/>
      <c r="CC64" s="681" t="s">
        <v>220</v>
      </c>
      <c r="CD64" s="682"/>
      <c r="CE64" s="681" t="s">
        <v>218</v>
      </c>
      <c r="CF64" s="684"/>
      <c r="CG64" s="684" t="s">
        <v>219</v>
      </c>
      <c r="CH64" s="684"/>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row>
    <row r="65" spans="1:128" ht="12" customHeight="1">
      <c r="A65" s="679"/>
      <c r="B65" s="98" t="s">
        <v>525</v>
      </c>
      <c r="C65" s="99" t="s">
        <v>250</v>
      </c>
      <c r="E65" s="183" t="s">
        <v>26</v>
      </c>
      <c r="F65" s="183" t="s">
        <v>80</v>
      </c>
      <c r="G65" s="38"/>
      <c r="H65" s="38"/>
      <c r="I65" s="38"/>
      <c r="J65" s="38"/>
      <c r="K65" s="38"/>
      <c r="M65" s="266" t="s">
        <v>115</v>
      </c>
      <c r="N65" s="313">
        <v>7.299843014128729E-2</v>
      </c>
      <c r="O65" s="313">
        <v>1.5698587127158554E-2</v>
      </c>
      <c r="P65" s="314">
        <v>8.5959163095538194E-2</v>
      </c>
      <c r="Q65" s="313">
        <v>5.5582642613359341E-3</v>
      </c>
      <c r="R65" s="313">
        <v>1.5602145294978059E-2</v>
      </c>
      <c r="S65" s="313">
        <v>3.9492930277913216E-2</v>
      </c>
      <c r="T65" s="275">
        <v>1.5174798309642719E-2</v>
      </c>
      <c r="U65" s="315">
        <v>0.21111111111111111</v>
      </c>
      <c r="V65" s="316">
        <v>8.8652482269503553E-3</v>
      </c>
      <c r="W65" s="313">
        <v>0.10093759156167595</v>
      </c>
      <c r="X65" s="315">
        <v>6.1779709049688269E-2</v>
      </c>
      <c r="Y65" s="316">
        <v>0.16581648718433151</v>
      </c>
      <c r="AC65" s="267" t="s">
        <v>132</v>
      </c>
      <c r="AD65" s="290">
        <f t="shared" ref="AD65:AD70" si="14">AJ65+AL65+AN65+AO65</f>
        <v>1.2961471907952268E-2</v>
      </c>
      <c r="AE65" s="73">
        <f t="shared" ref="AE65:AE70" si="15">AK65+AM65+AP65</f>
        <v>2.7976520941753895E-2</v>
      </c>
      <c r="AF65" s="277">
        <f>SUM(AD64:AE64)</f>
        <v>0.1005394852736769</v>
      </c>
      <c r="AI65" s="267" t="s">
        <v>132</v>
      </c>
      <c r="AJ65" s="277">
        <v>1.5750915750915751E-3</v>
      </c>
      <c r="AK65" s="277">
        <v>1.5810436097806909E-2</v>
      </c>
      <c r="AL65" s="277">
        <v>3.5017064846416387E-3</v>
      </c>
      <c r="AM65" s="277">
        <v>1.8017671917018826E-3</v>
      </c>
      <c r="AN65" s="277">
        <v>4.4273049645390068E-3</v>
      </c>
      <c r="AO65" s="277">
        <v>3.4573688836800473E-3</v>
      </c>
      <c r="AP65" s="277">
        <v>1.0364317652245105E-2</v>
      </c>
      <c r="AQ65" s="277">
        <f>SUM(AJ64:AP64)</f>
        <v>0.10053948527367691</v>
      </c>
      <c r="AS65" s="266" t="s">
        <v>115</v>
      </c>
      <c r="AT65" s="276">
        <v>0.11556705476498491</v>
      </c>
      <c r="AU65" s="276">
        <v>4.7238855622089154E-2</v>
      </c>
      <c r="AV65" s="276">
        <v>6.6093853271645742E-2</v>
      </c>
      <c r="AW65" s="276">
        <v>0.14984059511158343</v>
      </c>
      <c r="AX65" s="276">
        <v>5.214513920584208E-2</v>
      </c>
      <c r="AY65" s="276">
        <v>0.11066398390342053</v>
      </c>
      <c r="AZ65" s="276">
        <v>2.3745519713261647E-2</v>
      </c>
      <c r="BA65" s="276">
        <v>8.7424344317417624E-3</v>
      </c>
      <c r="BB65" s="276">
        <v>0.21305668016194332</v>
      </c>
      <c r="BC65" s="276">
        <v>0.31834532374100721</v>
      </c>
      <c r="BD65" s="276">
        <v>0.13422818791946309</v>
      </c>
      <c r="BE65" s="276">
        <v>4.3512974051896205E-2</v>
      </c>
      <c r="BF65" s="276">
        <v>0.21823587710604558</v>
      </c>
      <c r="BG65" s="276">
        <v>0.41801075268817206</v>
      </c>
      <c r="BH65" s="38"/>
      <c r="BI65" s="38"/>
      <c r="BJ65" s="686"/>
      <c r="BK65" s="283" t="s">
        <v>362</v>
      </c>
      <c r="BL65" s="55" t="s">
        <v>363</v>
      </c>
      <c r="BM65" s="283" t="s">
        <v>362</v>
      </c>
      <c r="BN65" s="55" t="s">
        <v>363</v>
      </c>
      <c r="BO65" s="283" t="s">
        <v>362</v>
      </c>
      <c r="BP65" s="55" t="s">
        <v>363</v>
      </c>
      <c r="BQ65" s="283" t="s">
        <v>362</v>
      </c>
      <c r="BR65" s="55" t="s">
        <v>363</v>
      </c>
      <c r="BS65" s="283" t="s">
        <v>362</v>
      </c>
      <c r="BT65" s="55" t="s">
        <v>363</v>
      </c>
      <c r="BU65" s="283" t="s">
        <v>362</v>
      </c>
      <c r="BV65" s="55" t="s">
        <v>363</v>
      </c>
      <c r="BW65" s="283" t="s">
        <v>362</v>
      </c>
      <c r="BX65" s="55" t="s">
        <v>363</v>
      </c>
      <c r="BY65" s="283" t="s">
        <v>362</v>
      </c>
      <c r="BZ65" s="55" t="s">
        <v>363</v>
      </c>
      <c r="CA65" s="283" t="s">
        <v>362</v>
      </c>
      <c r="CB65" s="55" t="s">
        <v>363</v>
      </c>
      <c r="CC65" s="283" t="s">
        <v>362</v>
      </c>
      <c r="CD65" s="55" t="s">
        <v>363</v>
      </c>
      <c r="CE65" s="283" t="s">
        <v>362</v>
      </c>
      <c r="CF65" s="55" t="s">
        <v>363</v>
      </c>
      <c r="CG65" s="283" t="s">
        <v>362</v>
      </c>
      <c r="CH65" s="55" t="s">
        <v>363</v>
      </c>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row>
    <row r="66" spans="1:128" ht="12" customHeight="1">
      <c r="A66" s="679"/>
      <c r="B66" s="98" t="s">
        <v>526</v>
      </c>
      <c r="C66" s="99" t="s">
        <v>250</v>
      </c>
      <c r="E66" s="191" t="s">
        <v>27</v>
      </c>
      <c r="F66" s="191" t="s">
        <v>81</v>
      </c>
      <c r="G66" s="38"/>
      <c r="H66" s="38"/>
      <c r="I66" s="38"/>
      <c r="J66" s="38"/>
      <c r="K66" s="38"/>
      <c r="M66" s="267" t="s">
        <v>132</v>
      </c>
      <c r="N66" s="313">
        <v>1.8838304552590265E-2</v>
      </c>
      <c r="O66" s="313">
        <v>3.663003663003663E-3</v>
      </c>
      <c r="P66" s="275">
        <v>4.9407612805646588E-2</v>
      </c>
      <c r="Q66" s="313">
        <v>2.7303754266211604E-3</v>
      </c>
      <c r="R66" s="313">
        <v>9.9463676255485134E-3</v>
      </c>
      <c r="S66" s="313">
        <v>5.7532910775231596E-3</v>
      </c>
      <c r="T66" s="275">
        <v>1.2869765655013446E-2</v>
      </c>
      <c r="U66" s="315">
        <v>7.482269503546099E-2</v>
      </c>
      <c r="V66" s="316">
        <v>5.6737588652482273E-3</v>
      </c>
      <c r="W66" s="313">
        <v>4.3217111046000588E-2</v>
      </c>
      <c r="X66" s="315">
        <v>2.4497764342842749E-2</v>
      </c>
      <c r="Y66" s="316">
        <v>4.6980288431261417E-2</v>
      </c>
      <c r="AC66" s="267" t="s">
        <v>110</v>
      </c>
      <c r="AD66" s="290">
        <f t="shared" si="14"/>
        <v>2.0979006877277544E-2</v>
      </c>
      <c r="AE66" s="73">
        <f t="shared" si="15"/>
        <v>3.3268527725318131E-2</v>
      </c>
      <c r="AF66" s="277">
        <f>AF65+SUM(AD65:AE65)</f>
        <v>0.14147747812338307</v>
      </c>
      <c r="AI66" s="267" t="s">
        <v>110</v>
      </c>
      <c r="AJ66" s="277">
        <v>2.6739926739926746E-3</v>
      </c>
      <c r="AK66" s="277">
        <v>1.9198386690194101E-2</v>
      </c>
      <c r="AL66" s="277">
        <v>5.5026816187225738E-3</v>
      </c>
      <c r="AM66" s="277">
        <v>2.527852477910104E-3</v>
      </c>
      <c r="AN66" s="277">
        <v>5.805555555555556E-3</v>
      </c>
      <c r="AO66" s="277">
        <v>6.9967770290067389E-3</v>
      </c>
      <c r="AP66" s="277">
        <v>1.1542288557213929E-2</v>
      </c>
      <c r="AQ66" s="277">
        <f t="shared" ref="AQ66:AQ71" si="16">AQ65+SUM(AJ65:AP65)</f>
        <v>0.14147747812338307</v>
      </c>
      <c r="AS66" s="267" t="s">
        <v>132</v>
      </c>
      <c r="AT66" s="277">
        <v>3.0616645105648987E-2</v>
      </c>
      <c r="AU66" s="277">
        <v>9.9800399201596807E-3</v>
      </c>
      <c r="AV66" s="277">
        <v>4.8248512888301391E-2</v>
      </c>
      <c r="AW66" s="277">
        <v>5.3134962805526036E-2</v>
      </c>
      <c r="AX66" s="277">
        <v>1.9511638521223187E-2</v>
      </c>
      <c r="AY66" s="277">
        <v>1.2072434607645875E-2</v>
      </c>
      <c r="AZ66" s="277">
        <v>2.0161290322580645E-2</v>
      </c>
      <c r="BA66" s="277">
        <v>7.3974445191661064E-3</v>
      </c>
      <c r="BB66" s="277">
        <v>8.2742914979757082E-2</v>
      </c>
      <c r="BC66" s="277">
        <v>4.8561151079136694E-2</v>
      </c>
      <c r="BD66" s="277">
        <v>5.5774126359638972E-2</v>
      </c>
      <c r="BE66" s="277">
        <v>2.1556886227544911E-2</v>
      </c>
      <c r="BF66" s="277">
        <v>7.1754212091179381E-2</v>
      </c>
      <c r="BG66" s="277">
        <v>6.5860215053763438E-2</v>
      </c>
      <c r="BH66" s="38"/>
      <c r="BI66" s="38"/>
      <c r="BJ66" s="266" t="s">
        <v>115</v>
      </c>
      <c r="BK66" s="276">
        <v>0.12825059101654845</v>
      </c>
      <c r="BL66" s="276">
        <v>6.3851699279093718E-2</v>
      </c>
      <c r="BM66" s="276">
        <v>8.1339712918660281E-2</v>
      </c>
      <c r="BN66" s="276">
        <v>1.6917293233082706E-2</v>
      </c>
      <c r="BO66" s="276">
        <v>6.6093853271645742E-2</v>
      </c>
      <c r="BP66" s="276">
        <v>0.14984059511158343</v>
      </c>
      <c r="BQ66" s="276">
        <v>1.0866372980910427E-2</v>
      </c>
      <c r="BR66" s="276">
        <v>4.8426150121065374E-2</v>
      </c>
      <c r="BS66" s="276">
        <v>3.5020388582393862E-2</v>
      </c>
      <c r="BT66" s="276">
        <v>1.5677491601343786E-2</v>
      </c>
      <c r="BU66" s="276">
        <v>0.23025210084033612</v>
      </c>
      <c r="BV66" s="276">
        <v>0.70810810810810809</v>
      </c>
      <c r="BW66" s="276">
        <v>2.3745519713261647E-2</v>
      </c>
      <c r="BX66" s="276">
        <v>8.7424344317417624E-3</v>
      </c>
      <c r="BY66" s="276">
        <v>0.31363549435838595</v>
      </c>
      <c r="BZ66" s="276">
        <v>0.52898550724637683</v>
      </c>
      <c r="CA66" s="276">
        <v>1.6448598130841121E-2</v>
      </c>
      <c r="CB66" s="276">
        <v>0.11071428571428571</v>
      </c>
      <c r="CC66" s="276">
        <v>0.13422818791946309</v>
      </c>
      <c r="CD66" s="276">
        <v>4.3512974051896205E-2</v>
      </c>
      <c r="CE66" s="276">
        <v>0.30072463768115942</v>
      </c>
      <c r="CF66" s="276">
        <v>0.31991525423728812</v>
      </c>
      <c r="CG66" s="276">
        <v>0.19983838383838384</v>
      </c>
      <c r="CH66" s="276">
        <v>0.58823529411764708</v>
      </c>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row>
    <row r="67" spans="1:128" ht="12" customHeight="1">
      <c r="A67" s="679"/>
      <c r="B67" s="98" t="s">
        <v>527</v>
      </c>
      <c r="C67" s="99" t="s">
        <v>250</v>
      </c>
      <c r="D67" s="49"/>
      <c r="F67" s="38"/>
      <c r="G67" s="38"/>
      <c r="H67" s="38"/>
      <c r="I67" s="38"/>
      <c r="J67" s="38"/>
      <c r="K67" s="38"/>
      <c r="M67" s="267" t="s">
        <v>110</v>
      </c>
      <c r="N67" s="313">
        <v>2.9827315541601257E-2</v>
      </c>
      <c r="O67" s="313">
        <v>8.3725798011512302E-3</v>
      </c>
      <c r="P67" s="275">
        <v>5.9994958406856563E-2</v>
      </c>
      <c r="Q67" s="313">
        <v>5.1682106289614822E-3</v>
      </c>
      <c r="R67" s="313">
        <v>1.3651877133105802E-2</v>
      </c>
      <c r="S67" s="313">
        <v>1.0141394441735738E-2</v>
      </c>
      <c r="T67" s="275">
        <v>1.8056089127929314E-2</v>
      </c>
      <c r="U67" s="315">
        <v>9.5390070921985815E-2</v>
      </c>
      <c r="V67" s="316">
        <v>1.0165484633569741E-2</v>
      </c>
      <c r="W67" s="313">
        <v>8.7459712862584235E-2</v>
      </c>
      <c r="X67" s="315">
        <v>2.1600856477108129E-2</v>
      </c>
      <c r="Y67" s="316">
        <v>5.8001133572643117E-2</v>
      </c>
      <c r="AC67" s="267" t="s">
        <v>111</v>
      </c>
      <c r="AD67" s="290">
        <f t="shared" si="14"/>
        <v>2.5506531917331779E-2</v>
      </c>
      <c r="AE67" s="73">
        <f t="shared" si="15"/>
        <v>4.3329017932071376E-2</v>
      </c>
      <c r="AF67" s="277">
        <f t="shared" ref="AF67:AF71" si="17">AF66+SUM(AD66:AE66)</f>
        <v>0.19572501272597875</v>
      </c>
      <c r="AI67" s="267" t="s">
        <v>111</v>
      </c>
      <c r="AJ67" s="277">
        <v>3.186813186813187E-3</v>
      </c>
      <c r="AK67" s="277">
        <v>2.4764305520544493E-2</v>
      </c>
      <c r="AL67" s="277">
        <v>8.6153096050706982E-3</v>
      </c>
      <c r="AM67" s="277">
        <v>4.3834037648866689E-3</v>
      </c>
      <c r="AN67" s="277">
        <v>6.0395981087470445E-3</v>
      </c>
      <c r="AO67" s="277">
        <v>7.6648110167008504E-3</v>
      </c>
      <c r="AP67" s="277">
        <v>1.4181308646640217E-2</v>
      </c>
      <c r="AQ67" s="277">
        <f t="shared" si="16"/>
        <v>0.19572501272597875</v>
      </c>
      <c r="AS67" s="267" t="s">
        <v>110</v>
      </c>
      <c r="AT67" s="277">
        <v>4.2259594652867619E-2</v>
      </c>
      <c r="AU67" s="277">
        <v>3.1936127744510975E-2</v>
      </c>
      <c r="AV67" s="277">
        <v>5.9484467944481166E-2</v>
      </c>
      <c r="AW67" s="277">
        <v>6.1636556854410204E-2</v>
      </c>
      <c r="AX67" s="277">
        <v>3.2177088087631221E-2</v>
      </c>
      <c r="AY67" s="277">
        <v>1.0060362173038229E-2</v>
      </c>
      <c r="AZ67" s="277">
        <v>2.5089605734767026E-2</v>
      </c>
      <c r="BA67" s="277">
        <v>1.2777404169468728E-2</v>
      </c>
      <c r="BB67" s="277">
        <v>0.10589574898785425</v>
      </c>
      <c r="BC67" s="277">
        <v>0.10071942446043165</v>
      </c>
      <c r="BD67" s="277">
        <v>0.11779680629483916</v>
      </c>
      <c r="BE67" s="277">
        <v>3.5129740518962074E-2</v>
      </c>
      <c r="BF67" s="277">
        <v>7.9418566237198548E-2</v>
      </c>
      <c r="BG67" s="277">
        <v>8.3333333333333329E-2</v>
      </c>
      <c r="BH67" s="38"/>
      <c r="BI67" s="38"/>
      <c r="BJ67" s="267" t="s">
        <v>132</v>
      </c>
      <c r="BK67" s="277">
        <v>3.5460992907801421E-2</v>
      </c>
      <c r="BL67" s="277">
        <v>1.2358393408856848E-2</v>
      </c>
      <c r="BM67" s="277">
        <v>1.7543859649122806E-2</v>
      </c>
      <c r="BN67" s="277">
        <v>5.6390977443609019E-3</v>
      </c>
      <c r="BO67" s="277">
        <v>4.8248512888301391E-2</v>
      </c>
      <c r="BP67" s="277">
        <v>5.3134962805526036E-2</v>
      </c>
      <c r="BQ67" s="277">
        <v>7.3421439060205578E-3</v>
      </c>
      <c r="BR67" s="277">
        <v>7.2639225181598066E-3</v>
      </c>
      <c r="BS67" s="277">
        <v>2.2307507795634444E-2</v>
      </c>
      <c r="BT67" s="277">
        <v>1.0078387458006719E-2</v>
      </c>
      <c r="BU67" s="277">
        <v>4.4537815126050422E-2</v>
      </c>
      <c r="BV67" s="277">
        <v>3.2432432432432434E-2</v>
      </c>
      <c r="BW67" s="277">
        <v>2.0161290322580645E-2</v>
      </c>
      <c r="BX67" s="277">
        <v>7.3974445191661064E-3</v>
      </c>
      <c r="BY67" s="277">
        <v>0.11742206922929814</v>
      </c>
      <c r="BZ67" s="277">
        <v>6.8840579710144928E-2</v>
      </c>
      <c r="CA67" s="277">
        <v>1.4953271028037384E-2</v>
      </c>
      <c r="CB67" s="277">
        <v>2.8571428571428571E-2</v>
      </c>
      <c r="CC67" s="277">
        <v>5.5774126359638972E-2</v>
      </c>
      <c r="CD67" s="277">
        <v>2.1556886227544911E-2</v>
      </c>
      <c r="CE67" s="277">
        <v>0.12717391304347825</v>
      </c>
      <c r="CF67" s="277">
        <v>8.050847457627118E-2</v>
      </c>
      <c r="CG67" s="277">
        <v>5.9393939393939395E-2</v>
      </c>
      <c r="CH67" s="277">
        <v>4.0441176470588237E-2</v>
      </c>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row>
    <row r="68" spans="1:128" ht="12" customHeight="1">
      <c r="A68" s="679"/>
      <c r="B68" s="98" t="s">
        <v>528</v>
      </c>
      <c r="C68" s="99" t="s">
        <v>250</v>
      </c>
      <c r="F68" s="38"/>
      <c r="G68" s="38"/>
      <c r="H68" s="38"/>
      <c r="I68" s="38"/>
      <c r="J68" s="38"/>
      <c r="K68" s="38"/>
      <c r="M68" s="267" t="s">
        <v>111</v>
      </c>
      <c r="N68" s="313">
        <v>3.4275248560962847E-2</v>
      </c>
      <c r="O68" s="313">
        <v>1.1250654107796965E-2</v>
      </c>
      <c r="P68" s="275">
        <v>7.7388454751701544E-2</v>
      </c>
      <c r="Q68" s="313">
        <v>8.1911262798634813E-3</v>
      </c>
      <c r="R68" s="313">
        <v>2.1550463188688446E-2</v>
      </c>
      <c r="S68" s="313">
        <v>1.5602145294978059E-2</v>
      </c>
      <c r="T68" s="275">
        <v>3.1310026892047635E-2</v>
      </c>
      <c r="U68" s="315">
        <v>9.5390070921985815E-2</v>
      </c>
      <c r="V68" s="316">
        <v>1.442080378250591E-2</v>
      </c>
      <c r="W68" s="313">
        <v>9.5810137708760623E-2</v>
      </c>
      <c r="X68" s="315">
        <v>1.8766924869324266E-2</v>
      </c>
      <c r="Y68" s="316">
        <v>7.9035203728194475E-2</v>
      </c>
      <c r="AC68" s="267" t="s">
        <v>112</v>
      </c>
      <c r="AD68" s="290">
        <f t="shared" si="14"/>
        <v>3.0769900610895282E-2</v>
      </c>
      <c r="AE68" s="73">
        <f t="shared" si="15"/>
        <v>4.98003116072748E-2</v>
      </c>
      <c r="AF68" s="277">
        <f t="shared" si="17"/>
        <v>0.26456056257538191</v>
      </c>
      <c r="AI68" s="267" t="s">
        <v>112</v>
      </c>
      <c r="AJ68" s="277">
        <v>4.7435897435897439E-3</v>
      </c>
      <c r="AK68" s="277">
        <v>2.4522309049659696E-2</v>
      </c>
      <c r="AL68" s="277">
        <v>1.2228181374939053E-2</v>
      </c>
      <c r="AM68" s="277">
        <v>7.7180176719170192E-3</v>
      </c>
      <c r="AN68" s="277">
        <v>5.2074468085106379E-3</v>
      </c>
      <c r="AO68" s="277">
        <v>8.5906826838558457E-3</v>
      </c>
      <c r="AP68" s="277">
        <v>1.7559984885698088E-2</v>
      </c>
      <c r="AQ68" s="277">
        <f t="shared" si="16"/>
        <v>0.26456056257538191</v>
      </c>
      <c r="AS68" s="267" t="s">
        <v>111</v>
      </c>
      <c r="AT68" s="277">
        <v>6.1233290211297975E-2</v>
      </c>
      <c r="AU68" s="277">
        <v>2.1290751829673986E-2</v>
      </c>
      <c r="AV68" s="277">
        <v>6.8076668869795104E-2</v>
      </c>
      <c r="AW68" s="277">
        <v>0.10733262486716259</v>
      </c>
      <c r="AX68" s="277">
        <v>4.8493838429940664E-2</v>
      </c>
      <c r="AY68" s="277">
        <v>2.6827632461435279E-2</v>
      </c>
      <c r="AZ68" s="277">
        <v>4.3906810035842292E-2</v>
      </c>
      <c r="BA68" s="277">
        <v>2.1856086079354405E-2</v>
      </c>
      <c r="BB68" s="277">
        <v>0.11285425101214575</v>
      </c>
      <c r="BC68" s="277">
        <v>6.654676258992806E-2</v>
      </c>
      <c r="BD68" s="277">
        <v>0.12311964822957648</v>
      </c>
      <c r="BE68" s="277">
        <v>4.8702594810379245E-2</v>
      </c>
      <c r="BF68" s="277">
        <v>9.8843739676247114E-2</v>
      </c>
      <c r="BG68" s="277">
        <v>7.6612903225806453E-2</v>
      </c>
      <c r="BH68" s="38"/>
      <c r="BI68" s="38"/>
      <c r="BJ68" s="267" t="s">
        <v>110</v>
      </c>
      <c r="BK68" s="277">
        <v>4.3735224586288417E-2</v>
      </c>
      <c r="BL68" s="277">
        <v>4.1194644696189497E-2</v>
      </c>
      <c r="BM68" s="277">
        <v>3.8277511961722487E-2</v>
      </c>
      <c r="BN68" s="277">
        <v>1.5037593984962405E-2</v>
      </c>
      <c r="BO68" s="277">
        <v>5.9484467944481166E-2</v>
      </c>
      <c r="BP68" s="277">
        <v>6.1636556854410204E-2</v>
      </c>
      <c r="BQ68" s="277">
        <v>1.3803230543318648E-2</v>
      </c>
      <c r="BR68" s="277">
        <v>1.4527845036319613E-2</v>
      </c>
      <c r="BS68" s="277">
        <v>3.1422403454065724E-2</v>
      </c>
      <c r="BT68" s="277">
        <v>1.0078387458006719E-2</v>
      </c>
      <c r="BU68" s="277">
        <v>8.7394957983193272E-2</v>
      </c>
      <c r="BV68" s="277">
        <v>0</v>
      </c>
      <c r="BW68" s="277">
        <v>2.5089605734767026E-2</v>
      </c>
      <c r="BX68" s="277">
        <v>1.2777404169468728E-2</v>
      </c>
      <c r="BY68" s="277">
        <v>0.14802065404475043</v>
      </c>
      <c r="BZ68" s="277">
        <v>0.11956521739130435</v>
      </c>
      <c r="CA68" s="277">
        <v>2.355140186915888E-2</v>
      </c>
      <c r="CB68" s="277">
        <v>8.2142857142857142E-2</v>
      </c>
      <c r="CC68" s="277">
        <v>0.11779680629483916</v>
      </c>
      <c r="CD68" s="277">
        <v>3.5129740518962074E-2</v>
      </c>
      <c r="CE68" s="277">
        <v>0.10833333333333334</v>
      </c>
      <c r="CF68" s="277">
        <v>9.3220338983050849E-2</v>
      </c>
      <c r="CG68" s="277">
        <v>7.2969696969696976E-2</v>
      </c>
      <c r="CH68" s="277">
        <v>6.6176470588235295E-2</v>
      </c>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row>
    <row r="69" spans="1:128" ht="12" customHeight="1">
      <c r="A69" s="679"/>
      <c r="B69" s="98" t="s">
        <v>529</v>
      </c>
      <c r="C69" s="99" t="s">
        <v>250</v>
      </c>
      <c r="F69" s="38"/>
      <c r="G69" s="38"/>
      <c r="H69" s="38"/>
      <c r="I69" s="38"/>
      <c r="J69" s="38"/>
      <c r="K69" s="38"/>
      <c r="L69" s="38"/>
      <c r="M69" s="267" t="s">
        <v>112</v>
      </c>
      <c r="N69" s="313">
        <v>5.2328623757195186E-2</v>
      </c>
      <c r="O69" s="313">
        <v>1.543694400837258E-2</v>
      </c>
      <c r="P69" s="275">
        <v>7.6632215780186544E-2</v>
      </c>
      <c r="Q69" s="313">
        <v>1.218917601170161E-2</v>
      </c>
      <c r="R69" s="313">
        <v>3.9882983910287662E-2</v>
      </c>
      <c r="S69" s="313">
        <v>1.2286689419795221E-2</v>
      </c>
      <c r="T69" s="275">
        <v>5.5128697656550131E-2</v>
      </c>
      <c r="U69" s="315">
        <v>7.1394799054373528E-2</v>
      </c>
      <c r="V69" s="316">
        <v>2.3286052009456264E-2</v>
      </c>
      <c r="W69" s="313">
        <v>0.10738353354819806</v>
      </c>
      <c r="X69" s="315">
        <v>1.9018829901127274E-2</v>
      </c>
      <c r="Y69" s="316">
        <v>0.10208451413816991</v>
      </c>
      <c r="AC69" s="267" t="s">
        <v>113</v>
      </c>
      <c r="AD69" s="290">
        <f t="shared" si="14"/>
        <v>0.14268336361369754</v>
      </c>
      <c r="AE69" s="73">
        <f t="shared" si="15"/>
        <v>0.19969028992312982</v>
      </c>
      <c r="AF69" s="277">
        <f t="shared" si="17"/>
        <v>0.34513077479355198</v>
      </c>
      <c r="AI69" s="267" t="s">
        <v>113</v>
      </c>
      <c r="AJ69" s="277">
        <v>2.1941391941391941E-2</v>
      </c>
      <c r="AK69" s="277">
        <v>8.147214519788254E-2</v>
      </c>
      <c r="AL69" s="277">
        <v>8.061335933690883E-2</v>
      </c>
      <c r="AM69" s="277">
        <v>7.2742988859008845E-2</v>
      </c>
      <c r="AN69" s="277">
        <v>1.3067375886524823E-2</v>
      </c>
      <c r="AO69" s="277">
        <v>2.7061236448871959E-2</v>
      </c>
      <c r="AP69" s="277">
        <v>4.5475155866238424E-2</v>
      </c>
      <c r="AQ69" s="277">
        <f t="shared" si="16"/>
        <v>0.34513077479355198</v>
      </c>
      <c r="AS69" s="267" t="s">
        <v>112</v>
      </c>
      <c r="AT69" s="277">
        <v>8.4519189305735237E-2</v>
      </c>
      <c r="AU69" s="277">
        <v>4.1916167664670656E-2</v>
      </c>
      <c r="AV69" s="277">
        <v>7.2372769332452083E-2</v>
      </c>
      <c r="AW69" s="277">
        <v>9.0329436769394256E-2</v>
      </c>
      <c r="AX69" s="277">
        <v>6.8005476951163851E-2</v>
      </c>
      <c r="AY69" s="277">
        <v>4.2924211938296444E-2</v>
      </c>
      <c r="AZ69" s="277">
        <v>8.9605734767025089E-2</v>
      </c>
      <c r="BA69" s="277">
        <v>2.9253530598520511E-2</v>
      </c>
      <c r="BB69" s="277">
        <v>9.7165991902834009E-2</v>
      </c>
      <c r="BC69" s="277">
        <v>5.935251798561151E-2</v>
      </c>
      <c r="BD69" s="277">
        <v>0.13029391344596158</v>
      </c>
      <c r="BE69" s="277">
        <v>6.7864271457085831E-2</v>
      </c>
      <c r="BF69" s="277">
        <v>0.12408325074331021</v>
      </c>
      <c r="BG69" s="277">
        <v>6.0483870967741937E-2</v>
      </c>
      <c r="BH69" s="38"/>
      <c r="BI69" s="38"/>
      <c r="BJ69" s="267" t="s">
        <v>111</v>
      </c>
      <c r="BK69" s="277">
        <v>6.5011820330969264E-2</v>
      </c>
      <c r="BL69" s="277">
        <v>2.1627188465499485E-2</v>
      </c>
      <c r="BM69" s="277">
        <v>5.1036682615629984E-2</v>
      </c>
      <c r="BN69" s="277">
        <v>2.0676691729323307E-2</v>
      </c>
      <c r="BO69" s="277">
        <v>6.8076668869795104E-2</v>
      </c>
      <c r="BP69" s="277">
        <v>0.10733262486716259</v>
      </c>
      <c r="BQ69" s="277">
        <v>2.1145374449339206E-2</v>
      </c>
      <c r="BR69" s="277">
        <v>2.9055690072639227E-2</v>
      </c>
      <c r="BS69" s="277">
        <v>4.9892060446150154E-2</v>
      </c>
      <c r="BT69" s="277">
        <v>1.4557670772676373E-2</v>
      </c>
      <c r="BU69" s="277">
        <v>0.12184873949579832</v>
      </c>
      <c r="BV69" s="277">
        <v>8.1081081081081086E-2</v>
      </c>
      <c r="BW69" s="277">
        <v>4.3906810035842292E-2</v>
      </c>
      <c r="BX69" s="277">
        <v>2.1856086079354405E-2</v>
      </c>
      <c r="BY69" s="277">
        <v>0.15108051252629565</v>
      </c>
      <c r="BZ69" s="277">
        <v>6.1594202898550728E-2</v>
      </c>
      <c r="CA69" s="277">
        <v>3.8130841121495326E-2</v>
      </c>
      <c r="CB69" s="277">
        <v>7.1428571428571425E-2</v>
      </c>
      <c r="CC69" s="277">
        <v>0.12311964822957648</v>
      </c>
      <c r="CD69" s="277">
        <v>4.8702594810379245E-2</v>
      </c>
      <c r="CE69" s="277">
        <v>9.2028985507246377E-2</v>
      </c>
      <c r="CF69" s="277">
        <v>9.3220338983050849E-2</v>
      </c>
      <c r="CG69" s="277">
        <v>0.10036363636363636</v>
      </c>
      <c r="CH69" s="277">
        <v>4.779411764705882E-2</v>
      </c>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row>
    <row r="70" spans="1:128" ht="12" customHeight="1">
      <c r="A70" s="679"/>
      <c r="B70" s="98" t="s">
        <v>530</v>
      </c>
      <c r="C70" s="99" t="s">
        <v>536</v>
      </c>
      <c r="F70" s="38"/>
      <c r="G70" s="38"/>
      <c r="H70" s="38"/>
      <c r="I70" s="38"/>
      <c r="J70" s="38"/>
      <c r="K70" s="38"/>
      <c r="L70" s="38"/>
      <c r="M70" s="267" t="s">
        <v>113</v>
      </c>
      <c r="N70" s="313">
        <v>0.2032967032967033</v>
      </c>
      <c r="O70" s="313">
        <v>0.11015175300889586</v>
      </c>
      <c r="P70" s="275">
        <v>0.25460045374338292</v>
      </c>
      <c r="Q70" s="313">
        <v>0.12384202827888835</v>
      </c>
      <c r="R70" s="313">
        <v>0.26562652364700146</v>
      </c>
      <c r="S70" s="313">
        <v>3.4812286689419797E-2</v>
      </c>
      <c r="T70" s="275">
        <v>0.51959277756434885</v>
      </c>
      <c r="U70" s="315">
        <v>8.9716312056737593E-2</v>
      </c>
      <c r="V70" s="316">
        <v>0.14787234042553191</v>
      </c>
      <c r="W70" s="313">
        <v>0.33826545561089949</v>
      </c>
      <c r="X70" s="315">
        <v>3.5392656968322944E-2</v>
      </c>
      <c r="Y70" s="316">
        <v>0.27822910762642483</v>
      </c>
      <c r="AC70" s="268" t="s">
        <v>114</v>
      </c>
      <c r="AD70" s="293">
        <f t="shared" si="14"/>
        <v>0.12419309220702375</v>
      </c>
      <c r="AE70" s="74">
        <f t="shared" si="15"/>
        <v>0.1883024794625969</v>
      </c>
      <c r="AF70" s="277">
        <f t="shared" si="17"/>
        <v>0.68750442833037928</v>
      </c>
      <c r="AI70" s="268" t="s">
        <v>114</v>
      </c>
      <c r="AJ70" s="278">
        <v>2.9670329670329672E-2</v>
      </c>
      <c r="AK70" s="278">
        <v>0.12672548525334004</v>
      </c>
      <c r="AL70" s="278">
        <v>6.8014627011214038E-2</v>
      </c>
      <c r="AM70" s="278">
        <v>4.870149827122551E-2</v>
      </c>
      <c r="AN70" s="278">
        <v>8.3540189125295514E-3</v>
      </c>
      <c r="AO70" s="278">
        <v>1.8154116612950483E-2</v>
      </c>
      <c r="AP70" s="278">
        <v>1.287549593803136E-2</v>
      </c>
      <c r="AQ70" s="277">
        <f t="shared" si="16"/>
        <v>0.68750442833037939</v>
      </c>
      <c r="AS70" s="267" t="s">
        <v>113</v>
      </c>
      <c r="AT70" s="277">
        <v>0.35230702889176368</v>
      </c>
      <c r="AU70" s="277">
        <v>0.25349301397205587</v>
      </c>
      <c r="AV70" s="277">
        <v>0.25214805023132847</v>
      </c>
      <c r="AW70" s="277">
        <v>0.26248671625929859</v>
      </c>
      <c r="AX70" s="277">
        <v>0.43130990415335463</v>
      </c>
      <c r="AY70" s="277">
        <v>0.38296445338698859</v>
      </c>
      <c r="AZ70" s="277">
        <v>0.66353046594982079</v>
      </c>
      <c r="BA70" s="277">
        <v>0.41156691324815065</v>
      </c>
      <c r="BB70" s="277">
        <v>0.23228744939271256</v>
      </c>
      <c r="BC70" s="277">
        <v>0.31294964028776978</v>
      </c>
      <c r="BD70" s="277">
        <v>0.34228187919463088</v>
      </c>
      <c r="BE70" s="277">
        <v>0.33133732534930138</v>
      </c>
      <c r="BF70" s="277">
        <v>0.31978856954079948</v>
      </c>
      <c r="BG70" s="277">
        <v>0.18817204301075269</v>
      </c>
      <c r="BH70" s="38"/>
      <c r="BI70" s="38"/>
      <c r="BJ70" s="267" t="s">
        <v>112</v>
      </c>
      <c r="BK70" s="277">
        <v>9.7517730496453903E-2</v>
      </c>
      <c r="BL70" s="277">
        <v>3.604531410916581E-2</v>
      </c>
      <c r="BM70" s="277">
        <v>4.9441786283891544E-2</v>
      </c>
      <c r="BN70" s="277">
        <v>5.2631578947368418E-2</v>
      </c>
      <c r="BO70" s="277">
        <v>7.2372769332452083E-2</v>
      </c>
      <c r="BP70" s="277">
        <v>9.0329436769394256E-2</v>
      </c>
      <c r="BQ70" s="277">
        <v>3.1424375917767991E-2</v>
      </c>
      <c r="BR70" s="277">
        <v>4.3583535108958835E-2</v>
      </c>
      <c r="BS70" s="277">
        <v>8.7071240105540904E-2</v>
      </c>
      <c r="BT70" s="277">
        <v>5.1511758118701005E-2</v>
      </c>
      <c r="BU70" s="277">
        <v>0.10588235294117647</v>
      </c>
      <c r="BV70" s="277">
        <v>0</v>
      </c>
      <c r="BW70" s="277">
        <v>8.9605734767025089E-2</v>
      </c>
      <c r="BX70" s="277">
        <v>2.9253530598520511E-2</v>
      </c>
      <c r="BY70" s="277">
        <v>0.11225855804169058</v>
      </c>
      <c r="BZ70" s="277">
        <v>6.1594202898550728E-2</v>
      </c>
      <c r="CA70" s="277">
        <v>6.7663551401869165E-2</v>
      </c>
      <c r="CB70" s="277">
        <v>5.7142857142857141E-2</v>
      </c>
      <c r="CC70" s="277">
        <v>0.13029391344596158</v>
      </c>
      <c r="CD70" s="277">
        <v>6.7864271457085831E-2</v>
      </c>
      <c r="CE70" s="277">
        <v>9.6376811594202902E-2</v>
      </c>
      <c r="CF70" s="277">
        <v>7.6271186440677971E-2</v>
      </c>
      <c r="CG70" s="277">
        <v>0.13026262626262627</v>
      </c>
      <c r="CH70" s="277">
        <v>3.3088235294117647E-2</v>
      </c>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row>
    <row r="71" spans="1:128" ht="12" customHeight="1">
      <c r="A71" s="679"/>
      <c r="B71" s="98" t="s">
        <v>531</v>
      </c>
      <c r="C71" s="99" t="s">
        <v>537</v>
      </c>
      <c r="F71" s="38"/>
      <c r="G71" s="38"/>
      <c r="H71" s="38"/>
      <c r="I71" s="38"/>
      <c r="J71" s="38"/>
      <c r="K71" s="38"/>
      <c r="L71" s="38"/>
      <c r="M71" s="268" t="s">
        <v>114</v>
      </c>
      <c r="N71" s="313">
        <v>0.28519099947671378</v>
      </c>
      <c r="O71" s="313">
        <v>0.13867085295656725</v>
      </c>
      <c r="P71" s="274">
        <v>0.39601714141668765</v>
      </c>
      <c r="Q71" s="313">
        <v>0.21462701121404193</v>
      </c>
      <c r="R71" s="313">
        <v>0.1273525109702584</v>
      </c>
      <c r="S71" s="313">
        <v>1.599219892735251E-2</v>
      </c>
      <c r="T71" s="275">
        <v>0.34786784479446792</v>
      </c>
      <c r="U71" s="315">
        <v>1.2884160756501182E-2</v>
      </c>
      <c r="V71" s="316">
        <v>0.13900709219858157</v>
      </c>
      <c r="W71" s="313">
        <v>0.22692645766188105</v>
      </c>
      <c r="X71" s="315">
        <v>2.2482524088418665E-2</v>
      </c>
      <c r="Y71" s="316">
        <v>6.6313999622142447E-2</v>
      </c>
      <c r="AC71" s="270" t="s">
        <v>71</v>
      </c>
      <c r="AD71" s="291">
        <f>SUM(AD64:AD70)</f>
        <v>0.39499999999999996</v>
      </c>
      <c r="AE71" s="75">
        <f>SUM(AE64:AE70)</f>
        <v>0.60499999999999998</v>
      </c>
      <c r="AF71" s="619">
        <f t="shared" si="17"/>
        <v>1</v>
      </c>
      <c r="AI71" s="269" t="s">
        <v>71</v>
      </c>
      <c r="AJ71" s="272">
        <v>7.0000000000000007E-2</v>
      </c>
      <c r="AK71" s="272">
        <v>0.32</v>
      </c>
      <c r="AL71" s="272">
        <v>0.19</v>
      </c>
      <c r="AM71" s="272">
        <v>0.14000000000000001</v>
      </c>
      <c r="AN71" s="272">
        <v>5.5E-2</v>
      </c>
      <c r="AO71" s="272">
        <v>0.08</v>
      </c>
      <c r="AP71" s="272">
        <v>0.14499999999999999</v>
      </c>
      <c r="AQ71" s="619">
        <f t="shared" si="16"/>
        <v>1</v>
      </c>
      <c r="AS71" s="268" t="s">
        <v>114</v>
      </c>
      <c r="AT71" s="278">
        <v>0.31349719706770157</v>
      </c>
      <c r="AU71" s="278">
        <v>0.5941450432468397</v>
      </c>
      <c r="AV71" s="278">
        <v>0.43357567746199605</v>
      </c>
      <c r="AW71" s="278">
        <v>0.27523910733262485</v>
      </c>
      <c r="AX71" s="278">
        <v>0.34835691465084434</v>
      </c>
      <c r="AY71" s="278">
        <v>0.41448692152917505</v>
      </c>
      <c r="AZ71" s="278">
        <v>0.13396057347670251</v>
      </c>
      <c r="BA71" s="278">
        <v>0.50840618695359785</v>
      </c>
      <c r="BB71" s="278">
        <v>0.15599696356275303</v>
      </c>
      <c r="BC71" s="278">
        <v>9.3525179856115109E-2</v>
      </c>
      <c r="BD71" s="278">
        <v>9.6505438555889847E-2</v>
      </c>
      <c r="BE71" s="278">
        <v>0.45189620758483035</v>
      </c>
      <c r="BF71" s="278">
        <v>8.7875784605219692E-2</v>
      </c>
      <c r="BG71" s="278">
        <v>0.10752688172043011</v>
      </c>
      <c r="BH71" s="38"/>
      <c r="BI71" s="38"/>
      <c r="BJ71" s="267" t="s">
        <v>113</v>
      </c>
      <c r="BK71" s="277">
        <v>0.32919621749408984</v>
      </c>
      <c r="BL71" s="277">
        <v>0.22657054582904224</v>
      </c>
      <c r="BM71" s="277">
        <v>0.41467304625199364</v>
      </c>
      <c r="BN71" s="277">
        <v>0.30263157894736842</v>
      </c>
      <c r="BO71" s="277">
        <v>0.25214805023132847</v>
      </c>
      <c r="BP71" s="277">
        <v>0.26248671625929859</v>
      </c>
      <c r="BQ71" s="277">
        <v>0.33421439060205582</v>
      </c>
      <c r="BR71" s="277">
        <v>0.31961259079903148</v>
      </c>
      <c r="BS71" s="277">
        <v>0.55169105301031418</v>
      </c>
      <c r="BT71" s="277">
        <v>0.47480403135498322</v>
      </c>
      <c r="BU71" s="277">
        <v>0.28739495798319326</v>
      </c>
      <c r="BV71" s="277">
        <v>8.1081081081081086E-2</v>
      </c>
      <c r="BW71" s="277">
        <v>0.66353046594982079</v>
      </c>
      <c r="BX71" s="277">
        <v>0.41156691324815065</v>
      </c>
      <c r="BY71" s="277">
        <v>0.13788487282463185</v>
      </c>
      <c r="BZ71" s="277">
        <v>0.13768115942028986</v>
      </c>
      <c r="CA71" s="277">
        <v>0.41682242990654206</v>
      </c>
      <c r="CB71" s="277">
        <v>0.48571428571428571</v>
      </c>
      <c r="CC71" s="277">
        <v>0.34228187919463088</v>
      </c>
      <c r="CD71" s="277">
        <v>0.33133732534930138</v>
      </c>
      <c r="CE71" s="277">
        <v>0.16702898550724637</v>
      </c>
      <c r="CF71" s="277">
        <v>0.21398305084745764</v>
      </c>
      <c r="CG71" s="277">
        <v>0.35385858585858587</v>
      </c>
      <c r="CH71" s="277">
        <v>0.14338235294117646</v>
      </c>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row>
    <row r="72" spans="1:128" ht="12" customHeight="1">
      <c r="A72" s="679"/>
      <c r="B72" s="98" t="s">
        <v>532</v>
      </c>
      <c r="C72" s="99" t="s">
        <v>538</v>
      </c>
      <c r="F72" s="38"/>
      <c r="G72" s="38"/>
      <c r="H72" s="38"/>
      <c r="I72" s="38"/>
      <c r="J72" s="38"/>
      <c r="K72" s="38"/>
      <c r="L72" s="38"/>
      <c r="M72" s="269" t="s">
        <v>71</v>
      </c>
      <c r="N72" s="318">
        <v>1</v>
      </c>
      <c r="O72" s="319"/>
      <c r="P72" s="317">
        <v>1</v>
      </c>
      <c r="Q72" s="318">
        <v>0.99999999999999989</v>
      </c>
      <c r="R72" s="320"/>
      <c r="S72" s="319"/>
      <c r="T72" s="317">
        <v>1</v>
      </c>
      <c r="U72" s="318">
        <v>1.0000000000000002</v>
      </c>
      <c r="V72" s="319"/>
      <c r="W72" s="318">
        <f>SUM(W65:W71)</f>
        <v>1</v>
      </c>
      <c r="X72" s="318">
        <f>SUM(X65:Y71)</f>
        <v>1</v>
      </c>
      <c r="Y72" s="319"/>
      <c r="AM72" s="49"/>
      <c r="AN72" s="49"/>
      <c r="AO72" s="49"/>
      <c r="AP72" s="49"/>
      <c r="AS72" s="269" t="s">
        <v>71</v>
      </c>
      <c r="AT72" s="272">
        <f t="shared" ref="AT72:BG72" si="18">SUM(AT65:AT71)</f>
        <v>1</v>
      </c>
      <c r="AU72" s="272">
        <f t="shared" si="18"/>
        <v>1</v>
      </c>
      <c r="AV72" s="272">
        <f t="shared" si="18"/>
        <v>1</v>
      </c>
      <c r="AW72" s="272">
        <f t="shared" si="18"/>
        <v>1</v>
      </c>
      <c r="AX72" s="272">
        <f t="shared" si="18"/>
        <v>1</v>
      </c>
      <c r="AY72" s="272">
        <f t="shared" si="18"/>
        <v>1</v>
      </c>
      <c r="AZ72" s="272">
        <f t="shared" si="18"/>
        <v>1</v>
      </c>
      <c r="BA72" s="272">
        <f t="shared" si="18"/>
        <v>1</v>
      </c>
      <c r="BB72" s="272">
        <f t="shared" si="18"/>
        <v>1</v>
      </c>
      <c r="BC72" s="272">
        <f t="shared" si="18"/>
        <v>0.99999999999999989</v>
      </c>
      <c r="BD72" s="272">
        <f t="shared" si="18"/>
        <v>1</v>
      </c>
      <c r="BE72" s="272">
        <f t="shared" si="18"/>
        <v>1</v>
      </c>
      <c r="BF72" s="272">
        <f t="shared" si="18"/>
        <v>1</v>
      </c>
      <c r="BG72" s="272">
        <f t="shared" si="18"/>
        <v>1</v>
      </c>
      <c r="BH72" s="38"/>
      <c r="BI72" s="38"/>
      <c r="BJ72" s="268" t="s">
        <v>114</v>
      </c>
      <c r="BK72" s="278">
        <v>0.30082742316784872</v>
      </c>
      <c r="BL72" s="278">
        <v>0.59835221421215246</v>
      </c>
      <c r="BM72" s="278">
        <v>0.34768740031897927</v>
      </c>
      <c r="BN72" s="278">
        <v>0.5864661654135338</v>
      </c>
      <c r="BO72" s="278">
        <v>0.43357567746199605</v>
      </c>
      <c r="BP72" s="278">
        <v>0.27523910733262485</v>
      </c>
      <c r="BQ72" s="278">
        <v>0.58120411160058738</v>
      </c>
      <c r="BR72" s="278">
        <v>0.53753026634382561</v>
      </c>
      <c r="BS72" s="278">
        <v>0.22259534660590069</v>
      </c>
      <c r="BT72" s="278">
        <v>0.42329227323628221</v>
      </c>
      <c r="BU72" s="278">
        <v>0.1226890756302521</v>
      </c>
      <c r="BV72" s="278">
        <v>9.7297297297297303E-2</v>
      </c>
      <c r="BW72" s="278">
        <v>0.13396057347670251</v>
      </c>
      <c r="BX72" s="278">
        <v>0.50840618695359785</v>
      </c>
      <c r="BY72" s="278">
        <v>1.969783897494741E-2</v>
      </c>
      <c r="BZ72" s="278">
        <v>2.1739130434782608E-2</v>
      </c>
      <c r="CA72" s="278">
        <v>0.42242990654205609</v>
      </c>
      <c r="CB72" s="278">
        <v>0.16428571428571428</v>
      </c>
      <c r="CC72" s="278">
        <v>9.6505438555889847E-2</v>
      </c>
      <c r="CD72" s="278">
        <v>0.45189620758483035</v>
      </c>
      <c r="CE72" s="278">
        <v>0.10833333333333334</v>
      </c>
      <c r="CF72" s="278">
        <v>0.1228813559322034</v>
      </c>
      <c r="CG72" s="278">
        <v>8.3313131313131311E-2</v>
      </c>
      <c r="CH72" s="278">
        <v>8.0882352941176475E-2</v>
      </c>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row>
    <row r="73" spans="1:128" ht="12" customHeight="1">
      <c r="A73" s="679"/>
      <c r="B73" s="98" t="s">
        <v>533</v>
      </c>
      <c r="C73" s="99" t="s">
        <v>539</v>
      </c>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X73" s="38"/>
      <c r="AY73" s="38"/>
      <c r="AZ73" s="38"/>
      <c r="BA73" s="38"/>
      <c r="BB73" s="38"/>
      <c r="BC73" s="38"/>
      <c r="BD73" s="38"/>
      <c r="BE73" s="38"/>
      <c r="BF73" s="38"/>
      <c r="BG73" s="38"/>
      <c r="BH73" s="38"/>
      <c r="BI73" s="38"/>
      <c r="BJ73" s="269" t="s">
        <v>71</v>
      </c>
      <c r="BK73" s="272">
        <f t="shared" ref="BK73:CH73" si="19">SUM(BK66:BK72)</f>
        <v>1</v>
      </c>
      <c r="BL73" s="272">
        <f t="shared" si="19"/>
        <v>1</v>
      </c>
      <c r="BM73" s="272">
        <f t="shared" si="19"/>
        <v>1</v>
      </c>
      <c r="BN73" s="272">
        <f t="shared" si="19"/>
        <v>1</v>
      </c>
      <c r="BO73" s="272">
        <f t="shared" si="19"/>
        <v>1</v>
      </c>
      <c r="BP73" s="272">
        <f t="shared" si="19"/>
        <v>1</v>
      </c>
      <c r="BQ73" s="272">
        <f t="shared" si="19"/>
        <v>1</v>
      </c>
      <c r="BR73" s="272">
        <f t="shared" si="19"/>
        <v>1</v>
      </c>
      <c r="BS73" s="272">
        <f t="shared" si="19"/>
        <v>1</v>
      </c>
      <c r="BT73" s="272">
        <f t="shared" si="19"/>
        <v>1</v>
      </c>
      <c r="BU73" s="272">
        <f t="shared" si="19"/>
        <v>0.99999999999999989</v>
      </c>
      <c r="BV73" s="272">
        <f t="shared" si="19"/>
        <v>1</v>
      </c>
      <c r="BW73" s="272">
        <f t="shared" si="19"/>
        <v>1</v>
      </c>
      <c r="BX73" s="272">
        <f t="shared" si="19"/>
        <v>1</v>
      </c>
      <c r="BY73" s="272">
        <f t="shared" si="19"/>
        <v>1</v>
      </c>
      <c r="BZ73" s="272">
        <f t="shared" si="19"/>
        <v>1.0000000000000002</v>
      </c>
      <c r="CA73" s="272">
        <f>SUM(CA66:CA72)</f>
        <v>1</v>
      </c>
      <c r="CB73" s="272">
        <f>SUM(CB66:CB72)</f>
        <v>0.99999999999999989</v>
      </c>
      <c r="CC73" s="272">
        <f t="shared" si="19"/>
        <v>1</v>
      </c>
      <c r="CD73" s="272">
        <f t="shared" si="19"/>
        <v>1</v>
      </c>
      <c r="CE73" s="272">
        <f t="shared" si="19"/>
        <v>1</v>
      </c>
      <c r="CF73" s="272">
        <f t="shared" si="19"/>
        <v>1</v>
      </c>
      <c r="CG73" s="272">
        <f t="shared" si="19"/>
        <v>1</v>
      </c>
      <c r="CH73" s="272">
        <f t="shared" si="19"/>
        <v>1</v>
      </c>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row>
    <row r="74" spans="1:128" ht="12" customHeight="1">
      <c r="A74" s="679"/>
      <c r="B74" s="98" t="s">
        <v>534</v>
      </c>
      <c r="C74" s="99" t="s">
        <v>540</v>
      </c>
      <c r="F74" s="38"/>
      <c r="G74" s="38"/>
      <c r="H74" s="38"/>
      <c r="I74" s="38"/>
      <c r="J74" s="38"/>
      <c r="K74" s="38"/>
      <c r="L74" s="38"/>
      <c r="AX74" s="38"/>
      <c r="AY74" s="38"/>
      <c r="AZ74" s="38"/>
      <c r="BA74" s="38"/>
      <c r="BB74" s="38"/>
      <c r="BC74" s="38"/>
      <c r="BD74" s="38"/>
      <c r="BE74" s="38"/>
      <c r="BF74" s="38"/>
      <c r="BG74" s="38"/>
      <c r="BH74" s="38"/>
      <c r="BI74" s="38"/>
      <c r="BJ74" s="38"/>
      <c r="BK74" s="38"/>
      <c r="BL74" s="38"/>
      <c r="BM74" s="38"/>
      <c r="BN74" s="38"/>
      <c r="BO74" s="38"/>
      <c r="BP74" s="38"/>
      <c r="BQ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row>
    <row r="75" spans="1:128" ht="12" customHeight="1" thickBot="1">
      <c r="A75" s="679"/>
      <c r="B75" s="254" t="s">
        <v>535</v>
      </c>
      <c r="C75" s="599" t="s">
        <v>541</v>
      </c>
      <c r="F75" s="38"/>
      <c r="G75" s="38"/>
      <c r="H75" s="38"/>
      <c r="I75" s="38"/>
      <c r="J75" s="38"/>
      <c r="K75" s="38"/>
      <c r="L75" s="38"/>
      <c r="M75" s="661" t="s">
        <v>411</v>
      </c>
      <c r="N75" s="661"/>
      <c r="O75" s="661"/>
      <c r="P75" s="661"/>
      <c r="Q75" s="661"/>
      <c r="R75" s="661"/>
      <c r="S75" s="661"/>
      <c r="T75" s="661"/>
      <c r="U75" s="661"/>
      <c r="V75" s="661"/>
      <c r="W75" s="661"/>
      <c r="X75" s="661"/>
      <c r="Y75" s="661"/>
      <c r="AC75" s="662" t="s">
        <v>417</v>
      </c>
      <c r="AD75" s="662"/>
      <c r="AE75" s="662"/>
      <c r="AF75" s="662"/>
      <c r="AI75" s="685" t="s">
        <v>421</v>
      </c>
      <c r="AJ75" s="685"/>
      <c r="AK75" s="685"/>
      <c r="AL75" s="685"/>
      <c r="AM75" s="685"/>
      <c r="AN75" s="685"/>
      <c r="AO75" s="685"/>
      <c r="AP75" s="685"/>
      <c r="AQ75" s="685"/>
      <c r="AS75" s="685" t="s">
        <v>424</v>
      </c>
      <c r="AT75" s="685"/>
      <c r="AU75" s="685"/>
      <c r="AV75" s="685"/>
      <c r="AW75" s="685"/>
      <c r="AX75" s="685"/>
      <c r="AY75" s="685"/>
      <c r="AZ75" s="685"/>
      <c r="BA75" s="685"/>
      <c r="BB75" s="685"/>
      <c r="BC75" s="685"/>
      <c r="BD75" s="685"/>
      <c r="BE75" s="685"/>
      <c r="BF75" s="685"/>
      <c r="BG75" s="685"/>
      <c r="BH75" s="38"/>
      <c r="BI75" s="38"/>
      <c r="BJ75" s="689" t="s">
        <v>625</v>
      </c>
      <c r="BK75" s="689"/>
      <c r="BL75" s="689"/>
      <c r="BM75" s="689"/>
      <c r="BN75" s="689"/>
      <c r="BO75" s="689"/>
      <c r="BP75" s="689"/>
      <c r="BQ75" s="689"/>
      <c r="BR75" s="689"/>
      <c r="BS75" s="689"/>
      <c r="BT75" s="689"/>
      <c r="BU75" s="689"/>
      <c r="BV75" s="689"/>
      <c r="BW75" s="689"/>
      <c r="BX75" s="689"/>
      <c r="BY75" s="689"/>
      <c r="BZ75" s="689"/>
      <c r="CA75" s="689"/>
      <c r="CB75" s="689"/>
      <c r="CC75" s="689"/>
      <c r="CD75" s="689"/>
      <c r="CE75" s="689"/>
      <c r="CF75" s="689"/>
      <c r="CG75" s="689"/>
      <c r="CH75" s="689"/>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row>
    <row r="76" spans="1:128" ht="12" customHeight="1">
      <c r="A76" s="678" t="s">
        <v>548</v>
      </c>
      <c r="B76" s="601" t="s">
        <v>203</v>
      </c>
      <c r="C76" s="600" t="s">
        <v>228</v>
      </c>
      <c r="F76" s="38"/>
      <c r="G76" s="38"/>
      <c r="H76" s="38"/>
      <c r="I76" s="38"/>
      <c r="J76" s="38"/>
      <c r="K76" s="38"/>
      <c r="L76" s="38"/>
      <c r="M76" s="418"/>
      <c r="N76" s="686" t="s">
        <v>383</v>
      </c>
      <c r="O76" s="686"/>
      <c r="P76" s="489" t="s">
        <v>384</v>
      </c>
      <c r="Q76" s="686" t="s">
        <v>29</v>
      </c>
      <c r="R76" s="686"/>
      <c r="S76" s="686"/>
      <c r="T76" s="623" t="s">
        <v>628</v>
      </c>
      <c r="U76" s="686" t="s">
        <v>83</v>
      </c>
      <c r="V76" s="686"/>
      <c r="W76" s="489" t="s">
        <v>32</v>
      </c>
      <c r="X76" s="686" t="s">
        <v>64</v>
      </c>
      <c r="Y76" s="686"/>
      <c r="AC76" s="310" t="s">
        <v>91</v>
      </c>
      <c r="AD76" s="288" t="s">
        <v>221</v>
      </c>
      <c r="AE76" s="310" t="s">
        <v>222</v>
      </c>
      <c r="AF76" s="497" t="s">
        <v>425</v>
      </c>
      <c r="AI76" s="418" t="s">
        <v>91</v>
      </c>
      <c r="AJ76" s="490" t="s">
        <v>383</v>
      </c>
      <c r="AK76" s="490" t="s">
        <v>384</v>
      </c>
      <c r="AL76" s="418" t="s">
        <v>29</v>
      </c>
      <c r="AM76" s="623" t="s">
        <v>628</v>
      </c>
      <c r="AN76" s="418" t="s">
        <v>31</v>
      </c>
      <c r="AO76" s="310" t="s">
        <v>32</v>
      </c>
      <c r="AP76" s="623" t="s">
        <v>627</v>
      </c>
      <c r="AQ76" s="497" t="s">
        <v>425</v>
      </c>
      <c r="AS76" s="418" t="s">
        <v>91</v>
      </c>
      <c r="AT76" s="686" t="s">
        <v>383</v>
      </c>
      <c r="AU76" s="686"/>
      <c r="AV76" s="686" t="s">
        <v>384</v>
      </c>
      <c r="AW76" s="686"/>
      <c r="AX76" s="686" t="s">
        <v>29</v>
      </c>
      <c r="AY76" s="686"/>
      <c r="AZ76" s="686" t="s">
        <v>30</v>
      </c>
      <c r="BA76" s="686"/>
      <c r="BB76" s="686" t="s">
        <v>83</v>
      </c>
      <c r="BC76" s="686"/>
      <c r="BD76" s="686" t="s">
        <v>32</v>
      </c>
      <c r="BE76" s="686"/>
      <c r="BF76" s="686" t="s">
        <v>627</v>
      </c>
      <c r="BG76" s="686"/>
      <c r="BH76" s="38"/>
      <c r="BI76" s="38"/>
      <c r="BJ76" s="683" t="s">
        <v>91</v>
      </c>
      <c r="BK76" s="683" t="s">
        <v>398</v>
      </c>
      <c r="BL76" s="683"/>
      <c r="BM76" s="683"/>
      <c r="BN76" s="683"/>
      <c r="BO76" s="683" t="s">
        <v>384</v>
      </c>
      <c r="BP76" s="683"/>
      <c r="BQ76" s="683" t="s">
        <v>29</v>
      </c>
      <c r="BR76" s="683"/>
      <c r="BS76" s="683"/>
      <c r="BT76" s="683"/>
      <c r="BU76" s="683"/>
      <c r="BV76" s="683"/>
      <c r="BW76" s="683" t="s">
        <v>30</v>
      </c>
      <c r="BX76" s="683"/>
      <c r="BY76" s="683" t="s">
        <v>83</v>
      </c>
      <c r="BZ76" s="683"/>
      <c r="CA76" s="683"/>
      <c r="CB76" s="683"/>
      <c r="CC76" s="683" t="s">
        <v>32</v>
      </c>
      <c r="CD76" s="683"/>
      <c r="CE76" s="683" t="s">
        <v>64</v>
      </c>
      <c r="CF76" s="683"/>
      <c r="CG76" s="683"/>
      <c r="CH76" s="683"/>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row>
    <row r="77" spans="1:128" ht="12" customHeight="1">
      <c r="A77" s="679"/>
      <c r="B77" s="602" t="s">
        <v>1</v>
      </c>
      <c r="C77" s="102" t="s">
        <v>251</v>
      </c>
      <c r="F77" s="38"/>
      <c r="G77" s="38"/>
      <c r="H77" s="38"/>
      <c r="I77" s="38"/>
      <c r="J77" s="38"/>
      <c r="K77" s="38"/>
      <c r="L77" s="38"/>
      <c r="M77" s="43" t="s">
        <v>91</v>
      </c>
      <c r="N77" s="283" t="s">
        <v>211</v>
      </c>
      <c r="O77" s="55" t="s">
        <v>212</v>
      </c>
      <c r="P77" s="43" t="s">
        <v>213</v>
      </c>
      <c r="Q77" s="53" t="s">
        <v>214</v>
      </c>
      <c r="R77" s="54" t="s">
        <v>588</v>
      </c>
      <c r="S77" s="54" t="s">
        <v>215</v>
      </c>
      <c r="T77" s="43" t="s">
        <v>216</v>
      </c>
      <c r="U77" s="53" t="s">
        <v>194</v>
      </c>
      <c r="V77" s="55" t="s">
        <v>217</v>
      </c>
      <c r="W77" s="53" t="s">
        <v>220</v>
      </c>
      <c r="X77" s="53" t="s">
        <v>218</v>
      </c>
      <c r="Y77" s="55" t="s">
        <v>219</v>
      </c>
      <c r="AC77" s="266" t="s">
        <v>115</v>
      </c>
      <c r="AD77" s="289">
        <f>AJ77+AL77+AN77+AO77</f>
        <v>7.0184878682272286E-2</v>
      </c>
      <c r="AE77" s="71">
        <f>AK77+AM77+AP77</f>
        <v>1.8150715260241052E-2</v>
      </c>
      <c r="AF77" s="276">
        <v>0</v>
      </c>
      <c r="AI77" s="266" t="s">
        <v>115</v>
      </c>
      <c r="AJ77" s="276">
        <v>3.1496062992125983E-4</v>
      </c>
      <c r="AK77" s="276">
        <v>1.0535763601215133E-2</v>
      </c>
      <c r="AL77" s="276">
        <v>6.9869918052351029E-2</v>
      </c>
      <c r="AM77" s="276">
        <v>7.6149516590259181E-3</v>
      </c>
      <c r="AN77" s="491">
        <v>0</v>
      </c>
      <c r="AO77" s="276">
        <v>0</v>
      </c>
      <c r="AP77" s="276">
        <v>0</v>
      </c>
      <c r="AQ77" s="276">
        <v>0</v>
      </c>
      <c r="AS77" s="431"/>
      <c r="AT77" s="283" t="s">
        <v>362</v>
      </c>
      <c r="AU77" s="55" t="s">
        <v>363</v>
      </c>
      <c r="AV77" s="283" t="s">
        <v>362</v>
      </c>
      <c r="AW77" s="55" t="s">
        <v>363</v>
      </c>
      <c r="AX77" s="283" t="s">
        <v>362</v>
      </c>
      <c r="AY77" s="55" t="s">
        <v>363</v>
      </c>
      <c r="AZ77" s="283" t="s">
        <v>362</v>
      </c>
      <c r="BA77" s="55" t="s">
        <v>363</v>
      </c>
      <c r="BB77" s="283" t="s">
        <v>362</v>
      </c>
      <c r="BC77" s="55" t="s">
        <v>363</v>
      </c>
      <c r="BD77" s="283" t="s">
        <v>362</v>
      </c>
      <c r="BE77" s="55" t="s">
        <v>363</v>
      </c>
      <c r="BF77" s="283" t="s">
        <v>362</v>
      </c>
      <c r="BG77" s="55" t="s">
        <v>363</v>
      </c>
      <c r="BH77" s="38"/>
      <c r="BI77" s="38"/>
      <c r="BJ77" s="683"/>
      <c r="BK77" s="695" t="s">
        <v>211</v>
      </c>
      <c r="BL77" s="696"/>
      <c r="BM77" s="697" t="s">
        <v>212</v>
      </c>
      <c r="BN77" s="698"/>
      <c r="BO77" s="699" t="s">
        <v>213</v>
      </c>
      <c r="BP77" s="698"/>
      <c r="BQ77" s="699" t="s">
        <v>214</v>
      </c>
      <c r="BR77" s="697"/>
      <c r="BS77" s="697" t="s">
        <v>588</v>
      </c>
      <c r="BT77" s="697"/>
      <c r="BU77" s="697" t="s">
        <v>215</v>
      </c>
      <c r="BV77" s="698"/>
      <c r="BW77" s="699" t="s">
        <v>216</v>
      </c>
      <c r="BX77" s="698"/>
      <c r="BY77" s="699" t="s">
        <v>194</v>
      </c>
      <c r="BZ77" s="697"/>
      <c r="CA77" s="697" t="s">
        <v>217</v>
      </c>
      <c r="CB77" s="698"/>
      <c r="CC77" s="699" t="s">
        <v>220</v>
      </c>
      <c r="CD77" s="698"/>
      <c r="CE77" s="699" t="s">
        <v>218</v>
      </c>
      <c r="CF77" s="697"/>
      <c r="CG77" s="697" t="s">
        <v>219</v>
      </c>
      <c r="CH77" s="69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row>
    <row r="78" spans="1:128" ht="12" customHeight="1">
      <c r="A78" s="679"/>
      <c r="B78" s="602" t="s">
        <v>2</v>
      </c>
      <c r="C78" s="102" t="s">
        <v>252</v>
      </c>
      <c r="F78" s="38"/>
      <c r="G78" s="38"/>
      <c r="H78" s="38"/>
      <c r="I78" s="38"/>
      <c r="J78" s="38"/>
      <c r="K78" s="38"/>
      <c r="L78" s="38"/>
      <c r="M78" s="266" t="s">
        <v>115</v>
      </c>
      <c r="N78" s="313">
        <v>0</v>
      </c>
      <c r="O78" s="313">
        <v>3.1496062992125984E-2</v>
      </c>
      <c r="P78" s="314">
        <v>6.0204363435515051E-2</v>
      </c>
      <c r="Q78" s="313">
        <v>2.5061659638793859E-3</v>
      </c>
      <c r="R78" s="313">
        <v>0</v>
      </c>
      <c r="S78" s="313">
        <v>0.18633145039382609</v>
      </c>
      <c r="T78" s="275">
        <v>1.7112250919159366E-2</v>
      </c>
      <c r="U78" s="315">
        <v>0</v>
      </c>
      <c r="V78" s="316">
        <v>0</v>
      </c>
      <c r="W78" s="313">
        <v>0</v>
      </c>
      <c r="X78" s="315">
        <v>0</v>
      </c>
      <c r="Y78" s="316">
        <v>0</v>
      </c>
      <c r="AC78" s="267" t="s">
        <v>132</v>
      </c>
      <c r="AD78" s="290">
        <f t="shared" ref="AD78:AD83" si="20">AJ78+AL78+AN78+AO78</f>
        <v>1.699076687237629E-2</v>
      </c>
      <c r="AE78" s="73">
        <f t="shared" ref="AE78:AE83" si="21">AK78+AM78+AP78</f>
        <v>1.1852591132444478E-2</v>
      </c>
      <c r="AF78" s="277">
        <f>SUM(AD77:AE77)</f>
        <v>8.8335593942513335E-2</v>
      </c>
      <c r="AI78" s="267" t="s">
        <v>132</v>
      </c>
      <c r="AJ78" s="277">
        <v>1.3779527559055118E-4</v>
      </c>
      <c r="AK78" s="277">
        <v>6.6210991438829048E-3</v>
      </c>
      <c r="AL78" s="277">
        <v>1.685297159678574E-2</v>
      </c>
      <c r="AM78" s="277">
        <v>5.2314919885615725E-3</v>
      </c>
      <c r="AN78" s="277">
        <v>0</v>
      </c>
      <c r="AO78" s="277">
        <v>0</v>
      </c>
      <c r="AP78" s="277">
        <v>0</v>
      </c>
      <c r="AQ78" s="277">
        <f>SUM(AJ77:AP77)</f>
        <v>8.8335593942513335E-2</v>
      </c>
      <c r="AS78" s="266" t="s">
        <v>115</v>
      </c>
      <c r="AT78" s="276">
        <v>5.2631578947368418E-2</v>
      </c>
      <c r="AU78" s="276">
        <v>2.0771513353115726E-2</v>
      </c>
      <c r="AV78" s="276">
        <v>0</v>
      </c>
      <c r="AW78" s="276">
        <v>6.0204363435515051E-2</v>
      </c>
      <c r="AX78" s="276">
        <v>0.20808333333333334</v>
      </c>
      <c r="AY78" s="276">
        <v>0.17125894352260618</v>
      </c>
      <c r="AZ78" s="276">
        <v>1.9937586685159502E-2</v>
      </c>
      <c r="BA78" s="276">
        <v>1.6110188772059275E-2</v>
      </c>
      <c r="BB78" s="276">
        <v>0</v>
      </c>
      <c r="BC78" s="276">
        <v>0</v>
      </c>
      <c r="BD78" s="276">
        <v>0</v>
      </c>
      <c r="BE78" s="276">
        <v>0</v>
      </c>
      <c r="BF78" s="276">
        <v>0</v>
      </c>
      <c r="BG78" s="276">
        <v>0</v>
      </c>
      <c r="BH78" s="38"/>
      <c r="BI78" s="38"/>
      <c r="BJ78" s="686"/>
      <c r="BK78" s="283" t="s">
        <v>362</v>
      </c>
      <c r="BL78" s="55" t="s">
        <v>363</v>
      </c>
      <c r="BM78" s="283" t="s">
        <v>362</v>
      </c>
      <c r="BN78" s="55" t="s">
        <v>363</v>
      </c>
      <c r="BO78" s="283" t="s">
        <v>362</v>
      </c>
      <c r="BP78" s="55" t="s">
        <v>363</v>
      </c>
      <c r="BQ78" s="283" t="s">
        <v>362</v>
      </c>
      <c r="BR78" s="55" t="s">
        <v>363</v>
      </c>
      <c r="BS78" s="283" t="s">
        <v>362</v>
      </c>
      <c r="BT78" s="55" t="s">
        <v>363</v>
      </c>
      <c r="BU78" s="283" t="s">
        <v>362</v>
      </c>
      <c r="BV78" s="55" t="s">
        <v>363</v>
      </c>
      <c r="BW78" s="283" t="s">
        <v>362</v>
      </c>
      <c r="BX78" s="55" t="s">
        <v>363</v>
      </c>
      <c r="BY78" s="283" t="s">
        <v>362</v>
      </c>
      <c r="BZ78" s="55" t="s">
        <v>363</v>
      </c>
      <c r="CA78" s="283" t="s">
        <v>362</v>
      </c>
      <c r="CB78" s="55" t="s">
        <v>363</v>
      </c>
      <c r="CC78" s="283" t="s">
        <v>362</v>
      </c>
      <c r="CD78" s="55" t="s">
        <v>363</v>
      </c>
      <c r="CE78" s="283" t="s">
        <v>362</v>
      </c>
      <c r="CF78" s="55" t="s">
        <v>363</v>
      </c>
      <c r="CG78" s="283" t="s">
        <v>362</v>
      </c>
      <c r="CH78" s="55" t="s">
        <v>363</v>
      </c>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row>
    <row r="79" spans="1:128" ht="12" customHeight="1">
      <c r="A79" s="679"/>
      <c r="B79" s="602" t="s">
        <v>3</v>
      </c>
      <c r="C79" s="102" t="s">
        <v>253</v>
      </c>
      <c r="F79" s="38"/>
      <c r="G79" s="38"/>
      <c r="H79" s="38"/>
      <c r="I79" s="38"/>
      <c r="J79" s="38"/>
      <c r="K79" s="38"/>
      <c r="L79" s="38"/>
      <c r="M79" s="267" t="s">
        <v>132</v>
      </c>
      <c r="N79" s="313">
        <v>0</v>
      </c>
      <c r="O79" s="313">
        <v>1.3779527559055118E-2</v>
      </c>
      <c r="P79" s="275">
        <v>3.7834852250759457E-2</v>
      </c>
      <c r="Q79" s="313">
        <v>9.5472989100167075E-4</v>
      </c>
      <c r="R79" s="313">
        <v>0</v>
      </c>
      <c r="S79" s="313">
        <v>4.4593841992203037E-2</v>
      </c>
      <c r="T79" s="275">
        <v>1.1756161772048477E-2</v>
      </c>
      <c r="U79" s="315">
        <v>0</v>
      </c>
      <c r="V79" s="316">
        <v>0</v>
      </c>
      <c r="W79" s="313">
        <v>0</v>
      </c>
      <c r="X79" s="315">
        <v>0</v>
      </c>
      <c r="Y79" s="316">
        <v>0</v>
      </c>
      <c r="AC79" s="267" t="s">
        <v>110</v>
      </c>
      <c r="AD79" s="290">
        <f t="shared" si="20"/>
        <v>2.1926875458492742E-2</v>
      </c>
      <c r="AE79" s="73">
        <f t="shared" si="21"/>
        <v>1.9827319531962762E-2</v>
      </c>
      <c r="AF79" s="277">
        <f>AF78+SUM(AD78:AE78)</f>
        <v>0.1171789519473341</v>
      </c>
      <c r="AI79" s="267" t="s">
        <v>110</v>
      </c>
      <c r="AJ79" s="277">
        <v>2.7559055118110237E-4</v>
      </c>
      <c r="AK79" s="277">
        <v>9.182546257939796E-3</v>
      </c>
      <c r="AL79" s="277">
        <v>2.1651284907311639E-2</v>
      </c>
      <c r="AM79" s="277">
        <v>1.0644773274022967E-2</v>
      </c>
      <c r="AN79" s="277">
        <v>0</v>
      </c>
      <c r="AO79" s="277">
        <v>0</v>
      </c>
      <c r="AP79" s="277">
        <v>0</v>
      </c>
      <c r="AQ79" s="277">
        <f t="shared" ref="AQ79:AQ84" si="22">AQ78+SUM(AJ78:AP78)</f>
        <v>0.1171789519473341</v>
      </c>
      <c r="AS79" s="267" t="s">
        <v>132</v>
      </c>
      <c r="AT79" s="277">
        <v>1.1695906432748537E-2</v>
      </c>
      <c r="AU79" s="277">
        <v>1.483679525222552E-2</v>
      </c>
      <c r="AV79" s="277">
        <v>0</v>
      </c>
      <c r="AW79" s="277">
        <v>3.7834852250759457E-2</v>
      </c>
      <c r="AX79" s="277">
        <v>5.6750000000000002E-2</v>
      </c>
      <c r="AY79" s="277">
        <v>3.5317399908661895E-2</v>
      </c>
      <c r="AZ79" s="277">
        <v>1.3176144244105409E-2</v>
      </c>
      <c r="BA79" s="277">
        <v>1.1252536432392548E-2</v>
      </c>
      <c r="BB79" s="277">
        <v>0</v>
      </c>
      <c r="BC79" s="277">
        <v>0</v>
      </c>
      <c r="BD79" s="277">
        <v>0</v>
      </c>
      <c r="BE79" s="277">
        <v>0</v>
      </c>
      <c r="BF79" s="277">
        <v>0</v>
      </c>
      <c r="BG79" s="277">
        <v>0</v>
      </c>
      <c r="BH79" s="38"/>
      <c r="BI79" s="38"/>
      <c r="BJ79" s="266" t="s">
        <v>115</v>
      </c>
      <c r="BK79" s="276">
        <v>0</v>
      </c>
      <c r="BL79" s="276">
        <v>0</v>
      </c>
      <c r="BM79" s="276">
        <v>5.2631578947368418E-2</v>
      </c>
      <c r="BN79" s="276">
        <v>2.0771513353115726E-2</v>
      </c>
      <c r="BO79" s="276">
        <v>0</v>
      </c>
      <c r="BP79" s="276">
        <v>6.0204363435515051E-2</v>
      </c>
      <c r="BQ79" s="276">
        <v>1.8673535093367676E-2</v>
      </c>
      <c r="BR79" s="276">
        <v>1.1451667228022903E-2</v>
      </c>
      <c r="BS79" s="276">
        <v>0</v>
      </c>
      <c r="BT79" s="276">
        <v>0</v>
      </c>
      <c r="BU79" s="276">
        <v>0.23624006891930699</v>
      </c>
      <c r="BV79" s="276">
        <v>0.21791719933130102</v>
      </c>
      <c r="BW79" s="276">
        <v>1.9937586685159502E-2</v>
      </c>
      <c r="BX79" s="276">
        <v>1.6110188772059275E-2</v>
      </c>
      <c r="BY79" s="276">
        <v>0</v>
      </c>
      <c r="BZ79" s="276">
        <v>0</v>
      </c>
      <c r="CA79" s="276">
        <v>0</v>
      </c>
      <c r="CB79" s="276">
        <v>0</v>
      </c>
      <c r="CC79" s="276">
        <v>0</v>
      </c>
      <c r="CD79" s="276">
        <v>0</v>
      </c>
      <c r="CE79" s="276">
        <v>0</v>
      </c>
      <c r="CF79" s="276">
        <v>0</v>
      </c>
      <c r="CG79" s="276">
        <v>0</v>
      </c>
      <c r="CH79" s="276">
        <v>0</v>
      </c>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row>
    <row r="80" spans="1:128" ht="12" customHeight="1">
      <c r="A80" s="679"/>
      <c r="B80" s="602" t="s">
        <v>371</v>
      </c>
      <c r="C80" s="102" t="s">
        <v>542</v>
      </c>
      <c r="F80" s="38"/>
      <c r="G80" s="38"/>
      <c r="H80" s="38"/>
      <c r="I80" s="38"/>
      <c r="J80" s="38"/>
      <c r="K80" s="38"/>
      <c r="L80" s="38"/>
      <c r="M80" s="267" t="s">
        <v>110</v>
      </c>
      <c r="N80" s="313">
        <v>0</v>
      </c>
      <c r="O80" s="313">
        <v>2.7559055118110236E-2</v>
      </c>
      <c r="P80" s="275">
        <v>5.247169290251312E-2</v>
      </c>
      <c r="Q80" s="313">
        <v>2.3470443153791073E-3</v>
      </c>
      <c r="R80" s="313">
        <v>0</v>
      </c>
      <c r="S80" s="313">
        <v>5.61699419205983E-2</v>
      </c>
      <c r="T80" s="275">
        <v>2.3920838818029141E-2</v>
      </c>
      <c r="U80" s="315">
        <v>0</v>
      </c>
      <c r="V80" s="316">
        <v>0</v>
      </c>
      <c r="W80" s="313">
        <v>0</v>
      </c>
      <c r="X80" s="315">
        <v>0</v>
      </c>
      <c r="Y80" s="316">
        <v>0</v>
      </c>
      <c r="AC80" s="267" t="s">
        <v>111</v>
      </c>
      <c r="AD80" s="290">
        <f t="shared" si="20"/>
        <v>2.8756916936620094E-2</v>
      </c>
      <c r="AE80" s="73">
        <f t="shared" si="21"/>
        <v>3.1951372504895097E-2</v>
      </c>
      <c r="AF80" s="277">
        <f t="shared" ref="AF80:AF84" si="23">AF79+SUM(AD79:AE79)</f>
        <v>0.15893314693778959</v>
      </c>
      <c r="AI80" s="267" t="s">
        <v>111</v>
      </c>
      <c r="AJ80" s="277">
        <v>4.5275590551181104E-4</v>
      </c>
      <c r="AK80" s="277">
        <v>1.2903893951946976E-2</v>
      </c>
      <c r="AL80" s="277">
        <v>2.8304161031108284E-2</v>
      </c>
      <c r="AM80" s="277">
        <v>1.9047478552948121E-2</v>
      </c>
      <c r="AN80" s="277">
        <v>0</v>
      </c>
      <c r="AO80" s="277">
        <v>0</v>
      </c>
      <c r="AP80" s="277">
        <v>0</v>
      </c>
      <c r="AQ80" s="277">
        <f t="shared" si="22"/>
        <v>0.15893314693778959</v>
      </c>
      <c r="AS80" s="267" t="s">
        <v>110</v>
      </c>
      <c r="AT80" s="277">
        <v>2.9239766081871343E-2</v>
      </c>
      <c r="AU80" s="277">
        <v>2.6706231454005934E-2</v>
      </c>
      <c r="AV80" s="277">
        <v>0</v>
      </c>
      <c r="AW80" s="277">
        <v>5.247169290251312E-2</v>
      </c>
      <c r="AX80" s="277">
        <v>8.1583333333333327E-2</v>
      </c>
      <c r="AY80" s="277">
        <v>3.7448622316943216E-2</v>
      </c>
      <c r="AZ80" s="277">
        <v>2.5832177531206656E-2</v>
      </c>
      <c r="BA80" s="277">
        <v>2.3242944106253459E-2</v>
      </c>
      <c r="BB80" s="277">
        <v>0</v>
      </c>
      <c r="BC80" s="277">
        <v>0</v>
      </c>
      <c r="BD80" s="277">
        <v>0</v>
      </c>
      <c r="BE80" s="277">
        <v>0</v>
      </c>
      <c r="BF80" s="277">
        <v>0</v>
      </c>
      <c r="BG80" s="277">
        <v>0</v>
      </c>
      <c r="BH80" s="38"/>
      <c r="BI80" s="38"/>
      <c r="BJ80" s="267" t="s">
        <v>132</v>
      </c>
      <c r="BK80" s="277">
        <v>0</v>
      </c>
      <c r="BL80" s="277">
        <v>0</v>
      </c>
      <c r="BM80" s="277">
        <v>1.1695906432748537E-2</v>
      </c>
      <c r="BN80" s="277">
        <v>1.483679525222552E-2</v>
      </c>
      <c r="BO80" s="277">
        <v>0</v>
      </c>
      <c r="BP80" s="277">
        <v>3.7834852250759457E-2</v>
      </c>
      <c r="BQ80" s="277">
        <v>8.3708950418544745E-3</v>
      </c>
      <c r="BR80" s="277">
        <v>3.7049511620074098E-3</v>
      </c>
      <c r="BS80" s="277">
        <v>0</v>
      </c>
      <c r="BT80" s="277">
        <v>0</v>
      </c>
      <c r="BU80" s="277">
        <v>6.3941801474107399E-2</v>
      </c>
      <c r="BV80" s="277">
        <v>4.4547153112400435E-2</v>
      </c>
      <c r="BW80" s="277">
        <v>1.3176144244105409E-2</v>
      </c>
      <c r="BX80" s="277">
        <v>1.1252536432392548E-2</v>
      </c>
      <c r="BY80" s="277">
        <v>0</v>
      </c>
      <c r="BZ80" s="277">
        <v>0</v>
      </c>
      <c r="CA80" s="277">
        <v>0</v>
      </c>
      <c r="CB80" s="277">
        <v>0</v>
      </c>
      <c r="CC80" s="277">
        <v>0</v>
      </c>
      <c r="CD80" s="277">
        <v>0</v>
      </c>
      <c r="CE80" s="277">
        <v>0</v>
      </c>
      <c r="CF80" s="277">
        <v>0</v>
      </c>
      <c r="CG80" s="277">
        <v>0</v>
      </c>
      <c r="CH80" s="277">
        <v>0</v>
      </c>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row>
    <row r="81" spans="1:128" ht="12" customHeight="1">
      <c r="A81" s="679"/>
      <c r="B81" s="602" t="s">
        <v>372</v>
      </c>
      <c r="C81" s="102" t="s">
        <v>543</v>
      </c>
      <c r="F81" s="38"/>
      <c r="G81" s="38"/>
      <c r="H81" s="38"/>
      <c r="I81" s="38"/>
      <c r="J81" s="38"/>
      <c r="K81" s="38"/>
      <c r="L81" s="38"/>
      <c r="M81" s="267" t="s">
        <v>111</v>
      </c>
      <c r="N81" s="313">
        <v>0</v>
      </c>
      <c r="O81" s="313">
        <v>4.5275590551181105E-2</v>
      </c>
      <c r="P81" s="275">
        <v>7.3736536868268435E-2</v>
      </c>
      <c r="Q81" s="313">
        <v>4.6543082186331448E-3</v>
      </c>
      <c r="R81" s="313">
        <v>0</v>
      </c>
      <c r="S81" s="313">
        <v>7.1843424297875727E-2</v>
      </c>
      <c r="T81" s="275">
        <v>4.280332259089465E-2</v>
      </c>
      <c r="U81" s="315">
        <v>0</v>
      </c>
      <c r="V81" s="316">
        <v>0</v>
      </c>
      <c r="W81" s="313">
        <v>0</v>
      </c>
      <c r="X81" s="315">
        <v>0</v>
      </c>
      <c r="Y81" s="316">
        <v>0</v>
      </c>
      <c r="AC81" s="267" t="s">
        <v>112</v>
      </c>
      <c r="AD81" s="290">
        <f t="shared" si="20"/>
        <v>3.8540101161274799E-2</v>
      </c>
      <c r="AE81" s="73">
        <f t="shared" si="21"/>
        <v>4.3401345065590152E-2</v>
      </c>
      <c r="AF81" s="277">
        <f t="shared" si="23"/>
        <v>0.21964143637930478</v>
      </c>
      <c r="AI81" s="267" t="s">
        <v>112</v>
      </c>
      <c r="AJ81" s="277">
        <v>4.921259842519685E-4</v>
      </c>
      <c r="AK81" s="277">
        <v>1.1164043082021539E-2</v>
      </c>
      <c r="AL81" s="277">
        <v>3.8047975177022832E-2</v>
      </c>
      <c r="AM81" s="277">
        <v>3.2237301983568611E-2</v>
      </c>
      <c r="AN81" s="277">
        <v>0</v>
      </c>
      <c r="AO81" s="277">
        <v>0</v>
      </c>
      <c r="AP81" s="277">
        <v>0</v>
      </c>
      <c r="AQ81" s="277">
        <f t="shared" si="22"/>
        <v>0.21964143637930478</v>
      </c>
      <c r="AS81" s="267" t="s">
        <v>111</v>
      </c>
      <c r="AT81" s="277">
        <v>7.0175438596491224E-2</v>
      </c>
      <c r="AU81" s="277">
        <v>3.2640949554896145E-2</v>
      </c>
      <c r="AV81" s="277">
        <v>0</v>
      </c>
      <c r="AW81" s="277">
        <v>7.3736536868268435E-2</v>
      </c>
      <c r="AX81" s="277">
        <v>8.5583333333333331E-2</v>
      </c>
      <c r="AY81" s="277">
        <v>6.8199117065002285E-2</v>
      </c>
      <c r="AZ81" s="277">
        <v>3.2073509015256588E-2</v>
      </c>
      <c r="BA81" s="277">
        <v>4.6608866752751645E-2</v>
      </c>
      <c r="BB81" s="277">
        <v>0</v>
      </c>
      <c r="BC81" s="277">
        <v>0</v>
      </c>
      <c r="BD81" s="277">
        <v>0</v>
      </c>
      <c r="BE81" s="277">
        <v>0</v>
      </c>
      <c r="BF81" s="277">
        <v>0</v>
      </c>
      <c r="BG81" s="277">
        <v>0</v>
      </c>
      <c r="BH81" s="38"/>
      <c r="BI81" s="38"/>
      <c r="BJ81" s="267" t="s">
        <v>110</v>
      </c>
      <c r="BK81" s="277">
        <v>0</v>
      </c>
      <c r="BL81" s="277">
        <v>0</v>
      </c>
      <c r="BM81" s="277">
        <v>2.9239766081871343E-2</v>
      </c>
      <c r="BN81" s="277">
        <v>2.6706231454005934E-2</v>
      </c>
      <c r="BO81" s="277">
        <v>0</v>
      </c>
      <c r="BP81" s="277">
        <v>5.247169290251312E-2</v>
      </c>
      <c r="BQ81" s="277">
        <v>1.4166130070830651E-2</v>
      </c>
      <c r="BR81" s="277">
        <v>1.2462108454024925E-2</v>
      </c>
      <c r="BS81" s="277">
        <v>0</v>
      </c>
      <c r="BT81" s="277">
        <v>0</v>
      </c>
      <c r="BU81" s="277">
        <v>9.1605245525031104E-2</v>
      </c>
      <c r="BV81" s="277">
        <v>4.474382928508211E-2</v>
      </c>
      <c r="BW81" s="277">
        <v>2.5832177531206656E-2</v>
      </c>
      <c r="BX81" s="277">
        <v>2.3242944106253459E-2</v>
      </c>
      <c r="BY81" s="277">
        <v>0</v>
      </c>
      <c r="BZ81" s="277">
        <v>0</v>
      </c>
      <c r="CA81" s="277">
        <v>0</v>
      </c>
      <c r="CB81" s="277">
        <v>0</v>
      </c>
      <c r="CC81" s="277">
        <v>0</v>
      </c>
      <c r="CD81" s="277">
        <v>0</v>
      </c>
      <c r="CE81" s="277">
        <v>0</v>
      </c>
      <c r="CF81" s="277">
        <v>0</v>
      </c>
      <c r="CG81" s="277">
        <v>0</v>
      </c>
      <c r="CH81" s="277">
        <v>0</v>
      </c>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row>
    <row r="82" spans="1:128" ht="12" customHeight="1">
      <c r="A82" s="679"/>
      <c r="B82" s="602" t="s">
        <v>254</v>
      </c>
      <c r="C82" s="102" t="s">
        <v>255</v>
      </c>
      <c r="F82" s="38"/>
      <c r="G82" s="38"/>
      <c r="H82" s="38"/>
      <c r="I82" s="38"/>
      <c r="J82" s="38"/>
      <c r="K82" s="38"/>
      <c r="L82" s="38"/>
      <c r="M82" s="267" t="s">
        <v>112</v>
      </c>
      <c r="N82" s="313">
        <v>0</v>
      </c>
      <c r="O82" s="313">
        <v>4.9212598425196853E-2</v>
      </c>
      <c r="P82" s="275">
        <v>6.3794531897265944E-2</v>
      </c>
      <c r="Q82" s="313">
        <v>5.1714535762590504E-3</v>
      </c>
      <c r="R82" s="313">
        <v>0</v>
      </c>
      <c r="S82" s="313">
        <v>9.7660911767045902E-2</v>
      </c>
      <c r="T82" s="275">
        <v>7.2443375243974401E-2</v>
      </c>
      <c r="U82" s="315">
        <v>0</v>
      </c>
      <c r="V82" s="316">
        <v>0</v>
      </c>
      <c r="W82" s="313">
        <v>0</v>
      </c>
      <c r="X82" s="315">
        <v>0</v>
      </c>
      <c r="Y82" s="316">
        <v>0</v>
      </c>
      <c r="AC82" s="267" t="s">
        <v>113</v>
      </c>
      <c r="AD82" s="290">
        <f t="shared" si="20"/>
        <v>0.10374224360271458</v>
      </c>
      <c r="AE82" s="73">
        <f t="shared" si="21"/>
        <v>0.30125635801958206</v>
      </c>
      <c r="AF82" s="277">
        <f t="shared" si="23"/>
        <v>0.30158288260616972</v>
      </c>
      <c r="AI82" s="267" t="s">
        <v>113</v>
      </c>
      <c r="AJ82" s="277">
        <v>4.6850393700787404E-3</v>
      </c>
      <c r="AK82" s="277">
        <v>4.1176470588235294E-2</v>
      </c>
      <c r="AL82" s="277">
        <v>9.9057204232635851E-2</v>
      </c>
      <c r="AM82" s="277">
        <v>0.26007988743134675</v>
      </c>
      <c r="AN82" s="277">
        <v>0</v>
      </c>
      <c r="AO82" s="277">
        <v>0</v>
      </c>
      <c r="AP82" s="277">
        <v>0</v>
      </c>
      <c r="AQ82" s="277">
        <f t="shared" si="22"/>
        <v>0.30158288260616972</v>
      </c>
      <c r="AS82" s="267" t="s">
        <v>112</v>
      </c>
      <c r="AT82" s="277">
        <v>5.8479532163742687E-2</v>
      </c>
      <c r="AU82" s="277">
        <v>4.4510385756676561E-2</v>
      </c>
      <c r="AV82" s="277">
        <v>0</v>
      </c>
      <c r="AW82" s="277">
        <v>6.3794531897265944E-2</v>
      </c>
      <c r="AX82" s="277">
        <v>0.12766666666666668</v>
      </c>
      <c r="AY82" s="277">
        <v>8.0149185568579695E-2</v>
      </c>
      <c r="AZ82" s="277">
        <v>8.1830790568654652E-2</v>
      </c>
      <c r="BA82" s="277">
        <v>6.9113939617536743E-2</v>
      </c>
      <c r="BB82" s="277">
        <v>0</v>
      </c>
      <c r="BC82" s="277">
        <v>0</v>
      </c>
      <c r="BD82" s="277">
        <v>0</v>
      </c>
      <c r="BE82" s="277">
        <v>0</v>
      </c>
      <c r="BF82" s="277">
        <v>0</v>
      </c>
      <c r="BG82" s="277">
        <v>0</v>
      </c>
      <c r="BH82" s="38"/>
      <c r="BI82" s="38"/>
      <c r="BJ82" s="267" t="s">
        <v>111</v>
      </c>
      <c r="BK82" s="277">
        <v>0</v>
      </c>
      <c r="BL82" s="277">
        <v>0</v>
      </c>
      <c r="BM82" s="277">
        <v>7.0175438596491224E-2</v>
      </c>
      <c r="BN82" s="277">
        <v>3.2640949554896145E-2</v>
      </c>
      <c r="BO82" s="277">
        <v>0</v>
      </c>
      <c r="BP82" s="277">
        <v>7.3736536868268435E-2</v>
      </c>
      <c r="BQ82" s="277">
        <v>3.1551835157759174E-2</v>
      </c>
      <c r="BR82" s="277">
        <v>2.2903334456045806E-2</v>
      </c>
      <c r="BS82" s="277">
        <v>0</v>
      </c>
      <c r="BT82" s="277">
        <v>0</v>
      </c>
      <c r="BU82" s="277">
        <v>9.3615391978558435E-2</v>
      </c>
      <c r="BV82" s="277">
        <v>8.1423935490215357E-2</v>
      </c>
      <c r="BW82" s="277">
        <v>3.2073509015256588E-2</v>
      </c>
      <c r="BX82" s="277">
        <v>4.6608866752751645E-2</v>
      </c>
      <c r="BY82" s="277">
        <v>0</v>
      </c>
      <c r="BZ82" s="277">
        <v>0</v>
      </c>
      <c r="CA82" s="277">
        <v>0</v>
      </c>
      <c r="CB82" s="277">
        <v>0</v>
      </c>
      <c r="CC82" s="277">
        <v>0</v>
      </c>
      <c r="CD82" s="277">
        <v>0</v>
      </c>
      <c r="CE82" s="277">
        <v>0</v>
      </c>
      <c r="CF82" s="277">
        <v>0</v>
      </c>
      <c r="CG82" s="277">
        <v>0</v>
      </c>
      <c r="CH82" s="277">
        <v>0</v>
      </c>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row>
    <row r="83" spans="1:128" ht="12" customHeight="1">
      <c r="A83" s="679"/>
      <c r="B83" s="602">
        <v>0.25</v>
      </c>
      <c r="C83" s="102" t="s">
        <v>569</v>
      </c>
      <c r="F83" s="38"/>
      <c r="G83" s="38"/>
      <c r="H83" s="38"/>
      <c r="I83" s="38"/>
      <c r="J83" s="38"/>
      <c r="K83" s="38"/>
      <c r="L83" s="38"/>
      <c r="M83" s="267" t="s">
        <v>113</v>
      </c>
      <c r="N83" s="313">
        <v>0</v>
      </c>
      <c r="O83" s="313">
        <v>0.46850393700787402</v>
      </c>
      <c r="P83" s="275">
        <v>0.23529411764705882</v>
      </c>
      <c r="Q83" s="313">
        <v>4.0615800779696079E-2</v>
      </c>
      <c r="R83" s="313">
        <v>0</v>
      </c>
      <c r="S83" s="313">
        <v>0.22710637282202242</v>
      </c>
      <c r="T83" s="275">
        <v>0.58444918523898148</v>
      </c>
      <c r="U83" s="315">
        <v>0</v>
      </c>
      <c r="V83" s="316">
        <v>0</v>
      </c>
      <c r="W83" s="313">
        <v>0</v>
      </c>
      <c r="X83" s="315">
        <v>0</v>
      </c>
      <c r="Y83" s="316">
        <v>0</v>
      </c>
      <c r="AC83" s="268" t="s">
        <v>114</v>
      </c>
      <c r="AD83" s="293">
        <f t="shared" si="20"/>
        <v>9.985821728624919E-2</v>
      </c>
      <c r="AE83" s="74">
        <f t="shared" si="21"/>
        <v>0.19356029848528444</v>
      </c>
      <c r="AF83" s="277">
        <f t="shared" si="23"/>
        <v>0.70658148422846634</v>
      </c>
      <c r="AI83" s="268" t="s">
        <v>114</v>
      </c>
      <c r="AJ83" s="278">
        <v>3.6417322834645673E-3</v>
      </c>
      <c r="AK83" s="278">
        <v>8.3416183374758354E-2</v>
      </c>
      <c r="AL83" s="278">
        <v>9.6216485002784624E-2</v>
      </c>
      <c r="AM83" s="278">
        <v>0.11014411511052608</v>
      </c>
      <c r="AN83" s="278">
        <v>0</v>
      </c>
      <c r="AO83" s="278">
        <v>0</v>
      </c>
      <c r="AP83" s="278">
        <v>0</v>
      </c>
      <c r="AQ83" s="277">
        <f t="shared" si="22"/>
        <v>0.70658148422846634</v>
      </c>
      <c r="AS83" s="267" t="s">
        <v>113</v>
      </c>
      <c r="AT83" s="277">
        <v>0.52631578947368418</v>
      </c>
      <c r="AU83" s="277">
        <v>0.43916913946587538</v>
      </c>
      <c r="AV83" s="277">
        <v>0</v>
      </c>
      <c r="AW83" s="277">
        <v>0.23529411764705882</v>
      </c>
      <c r="AX83" s="277">
        <v>0.26533333333333331</v>
      </c>
      <c r="AY83" s="277">
        <v>0.26990409499162732</v>
      </c>
      <c r="AZ83" s="277">
        <v>0.65481969486823854</v>
      </c>
      <c r="BA83" s="277">
        <v>0.55949086884338683</v>
      </c>
      <c r="BB83" s="277">
        <v>0</v>
      </c>
      <c r="BC83" s="277">
        <v>0</v>
      </c>
      <c r="BD83" s="277">
        <v>0</v>
      </c>
      <c r="BE83" s="277">
        <v>0</v>
      </c>
      <c r="BF83" s="277">
        <v>0</v>
      </c>
      <c r="BG83" s="277">
        <v>0</v>
      </c>
      <c r="BJ83" s="267" t="s">
        <v>112</v>
      </c>
      <c r="BK83" s="277">
        <v>0</v>
      </c>
      <c r="BL83" s="277">
        <v>0</v>
      </c>
      <c r="BM83" s="277">
        <v>5.8479532163742687E-2</v>
      </c>
      <c r="BN83" s="277">
        <v>4.4510385756676561E-2</v>
      </c>
      <c r="BO83" s="277">
        <v>0</v>
      </c>
      <c r="BP83" s="277">
        <v>6.3794531897265944E-2</v>
      </c>
      <c r="BQ83" s="277">
        <v>3.6703155183515773E-2</v>
      </c>
      <c r="BR83" s="277">
        <v>2.4587403166049175E-2</v>
      </c>
      <c r="BS83" s="277">
        <v>0</v>
      </c>
      <c r="BT83" s="277">
        <v>0</v>
      </c>
      <c r="BU83" s="277">
        <v>0.14118885804537187</v>
      </c>
      <c r="BV83" s="277">
        <v>9.6371324614023007E-2</v>
      </c>
      <c r="BW83" s="277">
        <v>8.1830790568654652E-2</v>
      </c>
      <c r="BX83" s="277">
        <v>6.9113939617536743E-2</v>
      </c>
      <c r="BY83" s="277">
        <v>0</v>
      </c>
      <c r="BZ83" s="277">
        <v>0</v>
      </c>
      <c r="CA83" s="277">
        <v>0</v>
      </c>
      <c r="CB83" s="277">
        <v>0</v>
      </c>
      <c r="CC83" s="277">
        <v>0</v>
      </c>
      <c r="CD83" s="277">
        <v>0</v>
      </c>
      <c r="CE83" s="277">
        <v>0</v>
      </c>
      <c r="CF83" s="277">
        <v>0</v>
      </c>
      <c r="CG83" s="277">
        <v>0</v>
      </c>
      <c r="CH83" s="277">
        <v>0</v>
      </c>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row>
    <row r="84" spans="1:128" ht="12" customHeight="1">
      <c r="A84" s="679"/>
      <c r="B84" s="602">
        <v>0.5</v>
      </c>
      <c r="C84" s="102" t="s">
        <v>570</v>
      </c>
      <c r="F84" s="38"/>
      <c r="G84" s="38"/>
      <c r="H84" s="38"/>
      <c r="I84" s="38"/>
      <c r="J84" s="38"/>
      <c r="K84" s="38"/>
      <c r="L84" s="38"/>
      <c r="M84" s="268" t="s">
        <v>114</v>
      </c>
      <c r="N84" s="313">
        <v>0</v>
      </c>
      <c r="O84" s="313">
        <v>0.36417322834645671</v>
      </c>
      <c r="P84" s="274">
        <v>0.47666390499861916</v>
      </c>
      <c r="Q84" s="313">
        <v>0.12363752088471637</v>
      </c>
      <c r="R84" s="313">
        <v>0</v>
      </c>
      <c r="S84" s="313">
        <v>0.1364070331768637</v>
      </c>
      <c r="T84" s="275">
        <v>0.24751486541691253</v>
      </c>
      <c r="U84" s="315">
        <v>0</v>
      </c>
      <c r="V84" s="316">
        <v>0</v>
      </c>
      <c r="W84" s="313">
        <v>0</v>
      </c>
      <c r="X84" s="315">
        <v>0</v>
      </c>
      <c r="Y84" s="316">
        <v>0</v>
      </c>
      <c r="AC84" s="270" t="s">
        <v>71</v>
      </c>
      <c r="AD84" s="291">
        <f>SUM(AD77:AD83)</f>
        <v>0.38</v>
      </c>
      <c r="AE84" s="75">
        <f>SUM(AE77:AE83)</f>
        <v>0.62000000000000011</v>
      </c>
      <c r="AF84" s="619">
        <f t="shared" si="23"/>
        <v>1</v>
      </c>
      <c r="AI84" s="269" t="s">
        <v>71</v>
      </c>
      <c r="AJ84" s="272">
        <v>0.01</v>
      </c>
      <c r="AK84" s="272">
        <v>0.17499999999999999</v>
      </c>
      <c r="AL84" s="272">
        <v>0.37</v>
      </c>
      <c r="AM84" s="272">
        <v>0.44500000000000001</v>
      </c>
      <c r="AN84" s="272">
        <v>0</v>
      </c>
      <c r="AO84" s="272">
        <f>SUM(AO77:AO83)</f>
        <v>0</v>
      </c>
      <c r="AP84" s="272">
        <f>SUM(AP77:AP83)</f>
        <v>0</v>
      </c>
      <c r="AQ84" s="619">
        <f t="shared" si="22"/>
        <v>1</v>
      </c>
      <c r="AS84" s="268" t="s">
        <v>114</v>
      </c>
      <c r="AT84" s="278">
        <v>0.25146198830409355</v>
      </c>
      <c r="AU84" s="278">
        <v>0.42136498516320475</v>
      </c>
      <c r="AV84" s="278">
        <v>0</v>
      </c>
      <c r="AW84" s="278">
        <v>0.47666390499861916</v>
      </c>
      <c r="AX84" s="278">
        <v>0.17499999999999999</v>
      </c>
      <c r="AY84" s="278">
        <v>0.33772263662657936</v>
      </c>
      <c r="AZ84" s="278">
        <v>0.17233009708737865</v>
      </c>
      <c r="BA84" s="278">
        <v>0.27418065547561948</v>
      </c>
      <c r="BB84" s="278">
        <v>0</v>
      </c>
      <c r="BC84" s="278">
        <v>0</v>
      </c>
      <c r="BD84" s="278">
        <v>0</v>
      </c>
      <c r="BE84" s="278">
        <v>0</v>
      </c>
      <c r="BF84" s="278">
        <v>0</v>
      </c>
      <c r="BG84" s="278">
        <v>0</v>
      </c>
      <c r="BJ84" s="267" t="s">
        <v>113</v>
      </c>
      <c r="BK84" s="277">
        <v>0</v>
      </c>
      <c r="BL84" s="277">
        <v>0</v>
      </c>
      <c r="BM84" s="277">
        <v>0.52631578947368418</v>
      </c>
      <c r="BN84" s="277">
        <v>0.43916913946587538</v>
      </c>
      <c r="BO84" s="277">
        <v>0</v>
      </c>
      <c r="BP84" s="277">
        <v>0.23529411764705882</v>
      </c>
      <c r="BQ84" s="277">
        <v>0.30907920154539603</v>
      </c>
      <c r="BR84" s="277">
        <v>0.18221623442236443</v>
      </c>
      <c r="BS84" s="277">
        <v>0</v>
      </c>
      <c r="BT84" s="277">
        <v>0</v>
      </c>
      <c r="BU84" s="277">
        <v>0.25883028620656645</v>
      </c>
      <c r="BV84" s="277">
        <v>0.29550594945422359</v>
      </c>
      <c r="BW84" s="277">
        <v>0.65481969486823854</v>
      </c>
      <c r="BX84" s="277">
        <v>0.55949086884338683</v>
      </c>
      <c r="BY84" s="277">
        <v>0</v>
      </c>
      <c r="BZ84" s="277">
        <v>0</v>
      </c>
      <c r="CA84" s="277">
        <v>0</v>
      </c>
      <c r="CB84" s="277">
        <v>0</v>
      </c>
      <c r="CC84" s="277">
        <v>0</v>
      </c>
      <c r="CD84" s="277">
        <v>0</v>
      </c>
      <c r="CE84" s="277">
        <v>0</v>
      </c>
      <c r="CF84" s="277">
        <v>0</v>
      </c>
      <c r="CG84" s="277">
        <v>0</v>
      </c>
      <c r="CH84" s="277">
        <v>0</v>
      </c>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row>
    <row r="85" spans="1:128" ht="12" customHeight="1">
      <c r="A85" s="679"/>
      <c r="B85" s="602">
        <v>0.75</v>
      </c>
      <c r="C85" s="102" t="s">
        <v>571</v>
      </c>
      <c r="F85" s="38"/>
      <c r="G85" s="38"/>
      <c r="H85" s="38"/>
      <c r="I85" s="38"/>
      <c r="J85" s="38"/>
      <c r="K85" s="38"/>
      <c r="L85" s="38"/>
      <c r="M85" s="269" t="s">
        <v>71</v>
      </c>
      <c r="N85" s="318">
        <v>1</v>
      </c>
      <c r="O85" s="319"/>
      <c r="P85" s="317">
        <v>1</v>
      </c>
      <c r="Q85" s="318">
        <v>0.99999999999999989</v>
      </c>
      <c r="R85" s="320"/>
      <c r="S85" s="319"/>
      <c r="T85" s="317">
        <v>1</v>
      </c>
      <c r="U85" s="318">
        <v>1.0000000000000002</v>
      </c>
      <c r="V85" s="319"/>
      <c r="W85" s="318">
        <f>SUM(W78:W84)</f>
        <v>0</v>
      </c>
      <c r="X85" s="318">
        <f>SUM(X78:Y84)</f>
        <v>0</v>
      </c>
      <c r="Y85" s="319"/>
      <c r="AM85" s="49"/>
      <c r="AN85" s="49"/>
      <c r="AO85" s="49"/>
      <c r="AP85" s="49"/>
      <c r="AS85" s="269" t="s">
        <v>71</v>
      </c>
      <c r="AT85" s="272">
        <f t="shared" ref="AT85:BG85" si="24">SUM(AT78:AT84)</f>
        <v>1</v>
      </c>
      <c r="AU85" s="272">
        <f t="shared" si="24"/>
        <v>1</v>
      </c>
      <c r="AV85" s="272">
        <f t="shared" si="24"/>
        <v>0</v>
      </c>
      <c r="AW85" s="272">
        <f t="shared" si="24"/>
        <v>1</v>
      </c>
      <c r="AX85" s="272">
        <f t="shared" si="24"/>
        <v>1</v>
      </c>
      <c r="AY85" s="272">
        <f t="shared" si="24"/>
        <v>1</v>
      </c>
      <c r="AZ85" s="272">
        <f t="shared" si="24"/>
        <v>1</v>
      </c>
      <c r="BA85" s="272">
        <f t="shared" si="24"/>
        <v>1</v>
      </c>
      <c r="BB85" s="272">
        <f t="shared" si="24"/>
        <v>0</v>
      </c>
      <c r="BC85" s="272">
        <f t="shared" si="24"/>
        <v>0</v>
      </c>
      <c r="BD85" s="272">
        <f t="shared" si="24"/>
        <v>0</v>
      </c>
      <c r="BE85" s="272">
        <f t="shared" si="24"/>
        <v>0</v>
      </c>
      <c r="BF85" s="272">
        <f t="shared" si="24"/>
        <v>0</v>
      </c>
      <c r="BG85" s="272">
        <f t="shared" si="24"/>
        <v>0</v>
      </c>
      <c r="BJ85" s="268" t="s">
        <v>114</v>
      </c>
      <c r="BK85" s="278">
        <v>0</v>
      </c>
      <c r="BL85" s="278">
        <v>0</v>
      </c>
      <c r="BM85" s="278">
        <v>0.25146198830409355</v>
      </c>
      <c r="BN85" s="278">
        <v>0.42136498516320475</v>
      </c>
      <c r="BO85" s="278">
        <v>0</v>
      </c>
      <c r="BP85" s="278">
        <v>0.47666390499861916</v>
      </c>
      <c r="BQ85" s="278">
        <v>0.58145524790727621</v>
      </c>
      <c r="BR85" s="278">
        <v>0.74267430111148536</v>
      </c>
      <c r="BS85" s="278">
        <v>0</v>
      </c>
      <c r="BT85" s="278">
        <v>0</v>
      </c>
      <c r="BU85" s="278">
        <v>0.11457834785105772</v>
      </c>
      <c r="BV85" s="278">
        <v>0.21949060871275444</v>
      </c>
      <c r="BW85" s="278">
        <v>0.17233009708737865</v>
      </c>
      <c r="BX85" s="278">
        <v>0.27418065547561948</v>
      </c>
      <c r="BY85" s="278">
        <v>0</v>
      </c>
      <c r="BZ85" s="278">
        <v>0</v>
      </c>
      <c r="CA85" s="278">
        <v>0</v>
      </c>
      <c r="CB85" s="278">
        <v>0</v>
      </c>
      <c r="CC85" s="278">
        <v>0</v>
      </c>
      <c r="CD85" s="278">
        <v>0</v>
      </c>
      <c r="CE85" s="278">
        <v>0</v>
      </c>
      <c r="CF85" s="278">
        <v>0</v>
      </c>
      <c r="CG85" s="278">
        <v>0</v>
      </c>
      <c r="CH85" s="278">
        <v>0</v>
      </c>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row>
    <row r="86" spans="1:128" ht="12" customHeight="1">
      <c r="A86" s="679"/>
      <c r="B86" s="602">
        <v>1</v>
      </c>
      <c r="C86" s="102" t="s">
        <v>572</v>
      </c>
      <c r="F86" s="38"/>
      <c r="G86" s="38"/>
      <c r="H86" s="38"/>
      <c r="I86" s="38"/>
      <c r="J86" s="38"/>
      <c r="K86" s="38"/>
      <c r="L86" s="38"/>
      <c r="M86" s="49" t="s">
        <v>474</v>
      </c>
      <c r="AU86" s="40"/>
      <c r="AV86" s="40"/>
      <c r="AW86" s="40"/>
      <c r="BJ86" s="269" t="s">
        <v>71</v>
      </c>
      <c r="BK86" s="272">
        <f t="shared" ref="BK86:CH86" si="25">SUM(BK79:BK85)</f>
        <v>0</v>
      </c>
      <c r="BL86" s="272">
        <f t="shared" si="25"/>
        <v>0</v>
      </c>
      <c r="BM86" s="272">
        <f t="shared" si="25"/>
        <v>1</v>
      </c>
      <c r="BN86" s="272">
        <f t="shared" si="25"/>
        <v>1</v>
      </c>
      <c r="BO86" s="272">
        <f t="shared" si="25"/>
        <v>0</v>
      </c>
      <c r="BP86" s="272">
        <f t="shared" si="25"/>
        <v>1</v>
      </c>
      <c r="BQ86" s="272">
        <f t="shared" si="25"/>
        <v>1</v>
      </c>
      <c r="BR86" s="272">
        <f t="shared" si="25"/>
        <v>1</v>
      </c>
      <c r="BS86" s="272">
        <f t="shared" si="25"/>
        <v>0</v>
      </c>
      <c r="BT86" s="272">
        <f t="shared" si="25"/>
        <v>0</v>
      </c>
      <c r="BU86" s="272">
        <f t="shared" si="25"/>
        <v>1</v>
      </c>
      <c r="BV86" s="272">
        <f t="shared" si="25"/>
        <v>1</v>
      </c>
      <c r="BW86" s="272">
        <f t="shared" si="25"/>
        <v>1</v>
      </c>
      <c r="BX86" s="272">
        <f t="shared" si="25"/>
        <v>1</v>
      </c>
      <c r="BY86" s="272">
        <f t="shared" si="25"/>
        <v>0</v>
      </c>
      <c r="BZ86" s="272">
        <f t="shared" si="25"/>
        <v>0</v>
      </c>
      <c r="CA86" s="272">
        <f t="shared" si="25"/>
        <v>0</v>
      </c>
      <c r="CB86" s="272">
        <f t="shared" si="25"/>
        <v>0</v>
      </c>
      <c r="CC86" s="272">
        <f t="shared" si="25"/>
        <v>0</v>
      </c>
      <c r="CD86" s="272">
        <f t="shared" si="25"/>
        <v>0</v>
      </c>
      <c r="CE86" s="272">
        <f t="shared" si="25"/>
        <v>0</v>
      </c>
      <c r="CF86" s="272">
        <f t="shared" si="25"/>
        <v>0</v>
      </c>
      <c r="CG86" s="272">
        <f t="shared" si="25"/>
        <v>0</v>
      </c>
      <c r="CH86" s="272">
        <f t="shared" si="25"/>
        <v>0</v>
      </c>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row>
    <row r="87" spans="1:128" ht="12" customHeight="1">
      <c r="A87" s="679"/>
      <c r="B87" s="602" t="s">
        <v>4</v>
      </c>
      <c r="C87" s="102" t="s">
        <v>256</v>
      </c>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X87" s="38"/>
      <c r="AY87" s="38"/>
      <c r="AZ87" s="38"/>
      <c r="BA87" s="38"/>
      <c r="BB87" s="38"/>
      <c r="BC87" s="38"/>
      <c r="BD87" s="38"/>
      <c r="BE87" s="38"/>
      <c r="BF87" s="38"/>
      <c r="BG87" s="38"/>
      <c r="BH87" s="38"/>
      <c r="BI87" s="38"/>
      <c r="BJ87" s="40" t="s">
        <v>474</v>
      </c>
      <c r="BR87" s="40"/>
      <c r="BS87" s="40"/>
      <c r="BT87" s="40"/>
      <c r="BU87" s="40"/>
      <c r="BV87" s="40"/>
      <c r="BW87" s="40"/>
      <c r="BX87" s="40"/>
      <c r="DE87" s="38"/>
      <c r="DF87" s="38"/>
      <c r="DG87" s="38"/>
      <c r="DH87" s="38"/>
      <c r="DI87" s="38"/>
      <c r="DJ87" s="38"/>
      <c r="DK87" s="38"/>
      <c r="DL87" s="38"/>
      <c r="DM87" s="38"/>
      <c r="DN87" s="38"/>
      <c r="DO87" s="38"/>
      <c r="DP87" s="38"/>
      <c r="DQ87" s="38"/>
      <c r="DR87" s="38"/>
      <c r="DS87" s="38"/>
      <c r="DT87" s="38"/>
      <c r="DU87" s="38"/>
      <c r="DV87" s="38"/>
      <c r="DW87" s="38"/>
      <c r="DX87" s="38"/>
    </row>
    <row r="88" spans="1:128" ht="12" customHeight="1" thickBot="1">
      <c r="A88" s="680"/>
      <c r="B88" s="603" t="s">
        <v>149</v>
      </c>
      <c r="C88" s="240" t="s">
        <v>322</v>
      </c>
      <c r="F88" s="38"/>
      <c r="G88" s="38"/>
      <c r="H88" s="38"/>
      <c r="I88" s="38"/>
      <c r="J88" s="38"/>
      <c r="K88" s="38"/>
      <c r="L88" s="38"/>
      <c r="M88" s="77" t="s">
        <v>469</v>
      </c>
      <c r="N88" s="281"/>
      <c r="O88" s="77"/>
      <c r="P88" s="77"/>
      <c r="Q88" s="77"/>
      <c r="R88" s="77"/>
      <c r="S88" s="77"/>
      <c r="T88" s="77"/>
      <c r="U88" s="77"/>
      <c r="V88" s="77"/>
      <c r="W88" s="77"/>
      <c r="X88" s="77"/>
      <c r="Y88" s="77"/>
      <c r="Z88" s="77"/>
      <c r="AA88" s="77"/>
      <c r="AB88" s="77"/>
      <c r="AC88" s="77"/>
      <c r="AD88" s="287"/>
      <c r="AE88" s="77"/>
      <c r="AF88" s="77"/>
      <c r="AG88" s="77"/>
      <c r="AH88" s="77"/>
      <c r="AI88" s="77"/>
      <c r="AJ88" s="77"/>
      <c r="AK88" s="77"/>
      <c r="AL88" s="77"/>
      <c r="AM88" s="77"/>
      <c r="AN88" s="77"/>
      <c r="AO88" s="77"/>
      <c r="AP88" s="77"/>
      <c r="AQ88" s="245"/>
      <c r="AR88" s="245"/>
      <c r="AS88" s="245"/>
      <c r="AT88" s="245"/>
      <c r="AU88" s="245"/>
      <c r="AV88" s="245"/>
      <c r="AW88" s="245"/>
      <c r="AX88" s="245"/>
      <c r="AY88" s="245"/>
      <c r="AZ88" s="245"/>
      <c r="BA88" s="245"/>
      <c r="BB88" s="245"/>
      <c r="BC88" s="245"/>
      <c r="BD88" s="245"/>
      <c r="BE88" s="245"/>
      <c r="BF88" s="245"/>
      <c r="BG88" s="245"/>
      <c r="BH88" s="245"/>
      <c r="BI88" s="245"/>
      <c r="BJ88" s="245"/>
      <c r="BK88" s="245"/>
      <c r="BL88" s="245"/>
      <c r="BM88" s="245"/>
      <c r="BN88" s="245"/>
      <c r="BO88" s="245"/>
      <c r="BP88" s="245"/>
      <c r="BQ88" s="245"/>
      <c r="BR88" s="245"/>
      <c r="BS88" s="245"/>
      <c r="BT88" s="245"/>
      <c r="BU88" s="245"/>
      <c r="BV88" s="245"/>
      <c r="BW88" s="245"/>
      <c r="BX88" s="245"/>
      <c r="BY88" s="245"/>
      <c r="BZ88" s="245"/>
      <c r="CA88" s="245"/>
      <c r="CB88" s="245"/>
      <c r="CC88" s="245"/>
      <c r="CD88" s="245"/>
      <c r="CE88" s="245"/>
      <c r="CF88" s="245"/>
      <c r="CG88" s="245"/>
      <c r="CH88" s="245"/>
      <c r="DE88" s="38"/>
      <c r="DF88" s="38"/>
      <c r="DG88" s="38"/>
      <c r="DH88" s="38"/>
      <c r="DI88" s="38"/>
      <c r="DJ88" s="38"/>
      <c r="DK88" s="38"/>
      <c r="DL88" s="38"/>
      <c r="DM88" s="38"/>
      <c r="DN88" s="38"/>
      <c r="DO88" s="38"/>
      <c r="DP88" s="38"/>
      <c r="DQ88" s="38"/>
      <c r="DR88" s="38"/>
      <c r="DS88" s="38"/>
      <c r="DT88" s="38"/>
      <c r="DU88" s="38"/>
      <c r="DV88" s="38"/>
      <c r="DW88" s="38"/>
      <c r="DX88" s="38"/>
    </row>
    <row r="89" spans="1:128" ht="12" customHeight="1">
      <c r="A89" s="678" t="s">
        <v>547</v>
      </c>
      <c r="B89" s="246" t="s">
        <v>261</v>
      </c>
      <c r="C89" s="259" t="s">
        <v>262</v>
      </c>
      <c r="F89" s="38"/>
      <c r="G89" s="38"/>
      <c r="H89" s="38"/>
      <c r="I89" s="38"/>
      <c r="J89" s="38"/>
      <c r="K89" s="38"/>
      <c r="L89" s="38"/>
      <c r="M89" s="38"/>
      <c r="N89" s="271"/>
      <c r="O89" s="38"/>
      <c r="P89" s="38"/>
      <c r="Q89" s="38"/>
      <c r="R89" s="38"/>
      <c r="S89" s="38"/>
      <c r="T89" s="38"/>
      <c r="U89" s="38"/>
      <c r="V89" s="38"/>
      <c r="W89" s="38"/>
      <c r="X89" s="38"/>
      <c r="Y89" s="38"/>
      <c r="Z89" s="38"/>
      <c r="AA89" s="38"/>
      <c r="AB89" s="38"/>
      <c r="AC89" s="38"/>
      <c r="AD89" s="292"/>
      <c r="AH89" s="38"/>
      <c r="AI89" s="38"/>
      <c r="AJ89" s="38"/>
      <c r="AK89" s="38"/>
      <c r="AL89" s="38"/>
      <c r="AU89" s="40"/>
      <c r="AV89" s="40"/>
      <c r="AW89" s="40"/>
      <c r="DE89" s="38"/>
      <c r="DF89" s="38"/>
      <c r="DG89" s="38"/>
      <c r="DH89" s="38"/>
      <c r="DI89" s="38"/>
      <c r="DJ89" s="38"/>
      <c r="DK89" s="38"/>
      <c r="DL89" s="38"/>
      <c r="DM89" s="38"/>
      <c r="DN89" s="38"/>
      <c r="DO89" s="38"/>
      <c r="DP89" s="38"/>
      <c r="DQ89" s="38"/>
      <c r="DR89" s="38"/>
      <c r="DS89" s="38"/>
      <c r="DT89" s="38"/>
      <c r="DU89" s="38"/>
      <c r="DV89" s="38"/>
      <c r="DW89" s="38"/>
      <c r="DX89" s="38"/>
    </row>
    <row r="90" spans="1:128" ht="12" customHeight="1">
      <c r="A90" s="679"/>
      <c r="B90" s="98" t="s">
        <v>263</v>
      </c>
      <c r="C90" s="102" t="s">
        <v>262</v>
      </c>
      <c r="F90" s="38"/>
      <c r="G90" s="38"/>
      <c r="H90" s="38"/>
      <c r="I90" s="38"/>
      <c r="J90" s="38"/>
      <c r="K90" s="38"/>
      <c r="L90" s="38"/>
      <c r="M90" s="661" t="s">
        <v>621</v>
      </c>
      <c r="N90" s="661"/>
      <c r="O90" s="661"/>
      <c r="P90" s="661"/>
      <c r="Q90" s="661"/>
      <c r="R90" s="661"/>
      <c r="S90" s="661"/>
      <c r="T90" s="661"/>
      <c r="U90" s="661"/>
      <c r="V90" s="661"/>
      <c r="W90" s="661"/>
      <c r="X90" s="661"/>
      <c r="Y90" s="661"/>
      <c r="Z90" s="661"/>
      <c r="AA90" s="661"/>
      <c r="AC90" s="38"/>
      <c r="AD90" s="292"/>
      <c r="AM90" s="49"/>
      <c r="AN90" s="49"/>
      <c r="AO90" s="49"/>
      <c r="AP90" s="49"/>
      <c r="DE90" s="38"/>
      <c r="DF90" s="38"/>
      <c r="DG90" s="38"/>
      <c r="DH90" s="38"/>
      <c r="DI90" s="38"/>
      <c r="DJ90" s="38"/>
      <c r="DK90" s="38"/>
      <c r="DL90" s="38"/>
      <c r="DM90" s="38"/>
      <c r="DN90" s="38"/>
      <c r="DO90" s="38"/>
      <c r="DP90" s="38"/>
      <c r="DQ90" s="38"/>
      <c r="DR90" s="38"/>
      <c r="DS90" s="38"/>
      <c r="DT90" s="38"/>
      <c r="DU90" s="38"/>
      <c r="DV90" s="38"/>
      <c r="DW90" s="38"/>
      <c r="DX90" s="38"/>
    </row>
    <row r="91" spans="1:128" ht="12" customHeight="1">
      <c r="A91" s="679"/>
      <c r="B91" s="98" t="s">
        <v>264</v>
      </c>
      <c r="C91" s="102" t="s">
        <v>262</v>
      </c>
      <c r="F91" s="38"/>
      <c r="G91" s="38"/>
      <c r="H91" s="38"/>
      <c r="I91" s="38"/>
      <c r="J91" s="38"/>
      <c r="K91" s="38"/>
      <c r="L91" s="38"/>
      <c r="M91" s="46"/>
      <c r="N91" s="686" t="s">
        <v>383</v>
      </c>
      <c r="O91" s="686"/>
      <c r="P91" s="686" t="s">
        <v>384</v>
      </c>
      <c r="Q91" s="686"/>
      <c r="R91" s="686" t="s">
        <v>29</v>
      </c>
      <c r="S91" s="686"/>
      <c r="T91" s="686" t="s">
        <v>30</v>
      </c>
      <c r="U91" s="686"/>
      <c r="V91" s="686" t="s">
        <v>83</v>
      </c>
      <c r="W91" s="686"/>
      <c r="X91" s="686" t="s">
        <v>32</v>
      </c>
      <c r="Y91" s="686"/>
      <c r="Z91" s="686" t="s">
        <v>64</v>
      </c>
      <c r="AA91" s="686"/>
      <c r="AC91" s="38"/>
      <c r="AD91" s="292"/>
      <c r="AM91" s="49"/>
      <c r="AN91" s="49"/>
      <c r="AO91" s="49"/>
      <c r="AP91" s="49"/>
    </row>
    <row r="92" spans="1:128" ht="12" customHeight="1">
      <c r="A92" s="679"/>
      <c r="B92" s="98" t="s">
        <v>265</v>
      </c>
      <c r="C92" s="102" t="s">
        <v>262</v>
      </c>
      <c r="F92" s="38"/>
      <c r="G92" s="38"/>
      <c r="H92" s="38"/>
      <c r="I92" s="38"/>
      <c r="J92" s="38"/>
      <c r="K92" s="38"/>
      <c r="L92" s="38"/>
      <c r="M92" s="43" t="s">
        <v>0</v>
      </c>
      <c r="N92" s="283" t="s">
        <v>362</v>
      </c>
      <c r="O92" s="55" t="s">
        <v>363</v>
      </c>
      <c r="P92" s="283" t="s">
        <v>362</v>
      </c>
      <c r="Q92" s="55" t="s">
        <v>363</v>
      </c>
      <c r="R92" s="283" t="s">
        <v>362</v>
      </c>
      <c r="S92" s="55" t="s">
        <v>363</v>
      </c>
      <c r="T92" s="283" t="s">
        <v>362</v>
      </c>
      <c r="U92" s="55" t="s">
        <v>363</v>
      </c>
      <c r="V92" s="283" t="s">
        <v>362</v>
      </c>
      <c r="W92" s="55" t="s">
        <v>363</v>
      </c>
      <c r="X92" s="283" t="s">
        <v>362</v>
      </c>
      <c r="Y92" s="55" t="s">
        <v>363</v>
      </c>
      <c r="Z92" s="283" t="s">
        <v>362</v>
      </c>
      <c r="AA92" s="55" t="s">
        <v>363</v>
      </c>
      <c r="AC92" s="38"/>
      <c r="AD92" s="292"/>
      <c r="AM92" s="49"/>
      <c r="AN92" s="49"/>
      <c r="AO92" s="49"/>
      <c r="AP92" s="49"/>
    </row>
    <row r="93" spans="1:128" ht="12" customHeight="1">
      <c r="A93" s="679"/>
      <c r="B93" s="98" t="s">
        <v>266</v>
      </c>
      <c r="C93" s="102" t="s">
        <v>262</v>
      </c>
      <c r="F93" s="38"/>
      <c r="G93" s="38"/>
      <c r="H93" s="38"/>
      <c r="I93" s="38"/>
      <c r="J93" s="38"/>
      <c r="K93" s="38"/>
      <c r="L93" s="38"/>
      <c r="M93" s="65" t="s">
        <v>21</v>
      </c>
      <c r="N93" s="399">
        <v>0.71046997058421479</v>
      </c>
      <c r="O93" s="68">
        <v>0.28953002941578521</v>
      </c>
      <c r="P93" s="67">
        <v>0.75364330326162754</v>
      </c>
      <c r="Q93" s="68">
        <v>0.24635669673837249</v>
      </c>
      <c r="R93" s="67">
        <v>0.55800971200660532</v>
      </c>
      <c r="S93" s="68">
        <v>0.44199028799339468</v>
      </c>
      <c r="T93" s="67">
        <v>0.34444543157455598</v>
      </c>
      <c r="U93" s="68">
        <v>0.65555456842544402</v>
      </c>
      <c r="V93" s="67">
        <v>0.9197763007465245</v>
      </c>
      <c r="W93" s="68">
        <v>8.02236992534755E-2</v>
      </c>
      <c r="X93" s="67">
        <v>0.7376509330406148</v>
      </c>
      <c r="Y93" s="68">
        <v>0.26234906695938515</v>
      </c>
      <c r="Z93" s="67">
        <v>0.9613539250956773</v>
      </c>
      <c r="AA93" s="68">
        <v>3.8646074904322779E-2</v>
      </c>
      <c r="AC93" s="38"/>
      <c r="AD93" s="292"/>
      <c r="AM93" s="49"/>
      <c r="AN93" s="49"/>
      <c r="AO93" s="49"/>
      <c r="AP93" s="49"/>
    </row>
    <row r="94" spans="1:128" ht="12" customHeight="1">
      <c r="A94" s="679"/>
      <c r="B94" s="98" t="s">
        <v>267</v>
      </c>
      <c r="C94" s="102" t="s">
        <v>262</v>
      </c>
      <c r="F94" s="38"/>
      <c r="G94" s="38"/>
      <c r="H94" s="38"/>
      <c r="I94" s="38"/>
      <c r="J94" s="38"/>
      <c r="K94" s="38"/>
      <c r="L94" s="38"/>
      <c r="M94" s="65" t="s">
        <v>14</v>
      </c>
      <c r="N94" s="399">
        <v>0.62654921679005759</v>
      </c>
      <c r="O94" s="68">
        <v>0.37345078320994235</v>
      </c>
      <c r="P94" s="67">
        <v>0.30159763855466598</v>
      </c>
      <c r="Q94" s="68">
        <v>0.69840236144533396</v>
      </c>
      <c r="R94" s="67">
        <v>0.58234785196574756</v>
      </c>
      <c r="S94" s="68">
        <v>0.41765214803425238</v>
      </c>
      <c r="T94" s="67">
        <v>0.32959634802736532</v>
      </c>
      <c r="U94" s="68">
        <v>0.67040365197263463</v>
      </c>
      <c r="V94" s="67">
        <v>0.95402404014241793</v>
      </c>
      <c r="W94" s="68">
        <v>4.5975959857582002E-2</v>
      </c>
      <c r="X94" s="67">
        <v>0.67336683417085774</v>
      </c>
      <c r="Y94" s="68">
        <v>0.32663316582914226</v>
      </c>
      <c r="Z94" s="67">
        <v>0.94531002315281909</v>
      </c>
      <c r="AA94" s="68">
        <v>5.4689976847180959E-2</v>
      </c>
      <c r="AC94" s="38"/>
      <c r="AD94" s="292"/>
      <c r="AM94" s="49"/>
      <c r="AN94" s="49"/>
      <c r="AO94" s="49"/>
      <c r="AP94" s="49"/>
    </row>
    <row r="95" spans="1:128" ht="12" customHeight="1">
      <c r="A95" s="679"/>
      <c r="B95" s="98" t="s">
        <v>268</v>
      </c>
      <c r="C95" s="102" t="s">
        <v>262</v>
      </c>
      <c r="F95" s="38"/>
      <c r="G95" s="38"/>
      <c r="H95" s="38"/>
      <c r="I95" s="38"/>
      <c r="J95" s="38"/>
      <c r="K95" s="38"/>
      <c r="L95" s="38"/>
      <c r="M95" s="65" t="s">
        <v>20</v>
      </c>
      <c r="N95" s="399">
        <v>0.62212438606885312</v>
      </c>
      <c r="O95" s="68">
        <v>0.37787561393114694</v>
      </c>
      <c r="P95" s="67">
        <v>0.37412034218326851</v>
      </c>
      <c r="Q95" s="68">
        <v>0.62587965781673138</v>
      </c>
      <c r="R95" s="67">
        <v>0.60606544254167771</v>
      </c>
      <c r="S95" s="68">
        <v>0.39393455745832229</v>
      </c>
      <c r="T95" s="67">
        <v>0.21782654033633062</v>
      </c>
      <c r="U95" s="68">
        <v>0.78217345966366936</v>
      </c>
      <c r="V95" s="67">
        <v>0.96321727823372083</v>
      </c>
      <c r="W95" s="68">
        <v>3.6782721766279135E-2</v>
      </c>
      <c r="X95" s="67">
        <v>0.61449498843485117</v>
      </c>
      <c r="Y95" s="68">
        <v>0.38550501156514894</v>
      </c>
      <c r="Z95" s="67">
        <v>0.95065871338530472</v>
      </c>
      <c r="AA95" s="68">
        <v>4.9341286614695327E-2</v>
      </c>
      <c r="AC95" s="38"/>
      <c r="AD95" s="292"/>
      <c r="AM95" s="49"/>
      <c r="AN95" s="49"/>
      <c r="AO95" s="49"/>
      <c r="AP95" s="49"/>
    </row>
    <row r="96" spans="1:128" ht="12" customHeight="1">
      <c r="A96" s="679"/>
      <c r="B96" s="98" t="s">
        <v>269</v>
      </c>
      <c r="C96" s="102" t="s">
        <v>270</v>
      </c>
      <c r="F96" s="38"/>
      <c r="G96" s="38"/>
      <c r="H96" s="38"/>
      <c r="I96" s="38"/>
      <c r="J96" s="38"/>
      <c r="K96" s="38"/>
      <c r="L96" s="38"/>
      <c r="M96" s="65" t="s">
        <v>22</v>
      </c>
      <c r="N96" s="399">
        <v>0.58655591531978768</v>
      </c>
      <c r="O96" s="68">
        <v>0.41344408468021232</v>
      </c>
      <c r="P96" s="67">
        <v>0.49446005161238665</v>
      </c>
      <c r="Q96" s="68">
        <v>0.50553994838761329</v>
      </c>
      <c r="R96" s="67">
        <v>0.56921956338639501</v>
      </c>
      <c r="S96" s="68">
        <v>0.4307804366136051</v>
      </c>
      <c r="T96" s="67">
        <v>0.21953038015199877</v>
      </c>
      <c r="U96" s="68">
        <v>0.78046961984800123</v>
      </c>
      <c r="V96" s="67">
        <v>0.96220078511356655</v>
      </c>
      <c r="W96" s="68">
        <v>3.7799214886433445E-2</v>
      </c>
      <c r="X96" s="67">
        <v>0.60385259631490795</v>
      </c>
      <c r="Y96" s="68">
        <v>0.39614740368509205</v>
      </c>
      <c r="Z96" s="67">
        <v>0.92188570586323493</v>
      </c>
      <c r="AA96" s="68">
        <v>7.8114294136765169E-2</v>
      </c>
      <c r="AC96" s="38"/>
      <c r="AD96" s="292"/>
      <c r="AM96" s="49"/>
      <c r="AN96" s="49"/>
      <c r="AO96" s="49"/>
      <c r="AP96" s="49"/>
    </row>
    <row r="97" spans="1:44" ht="12" customHeight="1">
      <c r="A97" s="679"/>
      <c r="B97" s="98" t="s">
        <v>271</v>
      </c>
      <c r="C97" s="102" t="s">
        <v>270</v>
      </c>
      <c r="F97" s="38"/>
      <c r="G97" s="38"/>
      <c r="H97" s="38"/>
      <c r="I97" s="38"/>
      <c r="J97" s="38"/>
      <c r="K97" s="38"/>
      <c r="L97" s="38"/>
      <c r="M97" s="65" t="s">
        <v>23</v>
      </c>
      <c r="N97" s="399">
        <v>0.49983158052310583</v>
      </c>
      <c r="O97" s="68">
        <v>0.50016841947689406</v>
      </c>
      <c r="P97" s="67">
        <v>0.71296296296296291</v>
      </c>
      <c r="Q97" s="68">
        <v>0.28703703703703726</v>
      </c>
      <c r="R97" s="67">
        <v>0.48766583995088519</v>
      </c>
      <c r="S97" s="68">
        <v>0.51233416004911481</v>
      </c>
      <c r="T97" s="67">
        <v>0.47309979908258282</v>
      </c>
      <c r="U97" s="68">
        <v>0.52690020091741707</v>
      </c>
      <c r="V97" s="67">
        <v>0.93643671746545709</v>
      </c>
      <c r="W97" s="68">
        <v>6.3563282534542825E-2</v>
      </c>
      <c r="X97" s="67">
        <v>0.61031833150383907</v>
      </c>
      <c r="Y97" s="68">
        <v>0.38968166849616087</v>
      </c>
      <c r="Z97" s="67">
        <v>0.92542498652422822</v>
      </c>
      <c r="AA97" s="68">
        <v>7.457501347577189E-2</v>
      </c>
      <c r="AC97" s="38"/>
      <c r="AD97" s="292"/>
      <c r="AM97" s="49"/>
      <c r="AN97" s="49"/>
      <c r="AO97" s="49"/>
      <c r="AP97" s="49"/>
      <c r="AR97" s="40"/>
    </row>
    <row r="98" spans="1:44" ht="12" customHeight="1">
      <c r="A98" s="679"/>
      <c r="B98" s="98" t="s">
        <v>272</v>
      </c>
      <c r="C98" s="102" t="s">
        <v>270</v>
      </c>
      <c r="F98" s="38"/>
      <c r="G98" s="38"/>
      <c r="H98" s="38"/>
      <c r="I98" s="38"/>
      <c r="J98" s="38"/>
      <c r="K98" s="38"/>
      <c r="L98" s="38"/>
      <c r="M98" s="65" t="s">
        <v>24</v>
      </c>
      <c r="N98" s="399">
        <v>0.45665296111295312</v>
      </c>
      <c r="O98" s="68">
        <v>0.54334703888704672</v>
      </c>
      <c r="P98" s="67">
        <v>0.7142857142857143</v>
      </c>
      <c r="Q98" s="68">
        <v>0.28571428571428575</v>
      </c>
      <c r="R98" s="67">
        <v>0.62426659044758037</v>
      </c>
      <c r="S98" s="68">
        <v>0.37573340955241968</v>
      </c>
      <c r="T98" s="67">
        <v>0.47617617124645562</v>
      </c>
      <c r="U98" s="68">
        <v>0.52382382875354438</v>
      </c>
      <c r="V98" s="67">
        <v>0.94281983945193992</v>
      </c>
      <c r="W98" s="68">
        <v>5.7180160548060015E-2</v>
      </c>
      <c r="X98" s="67">
        <v>0.58695652173913193</v>
      </c>
      <c r="Y98" s="68">
        <v>0.41304347826086812</v>
      </c>
      <c r="Z98" s="67">
        <v>0.91379540398788583</v>
      </c>
      <c r="AA98" s="68">
        <v>8.6204596012114193E-2</v>
      </c>
      <c r="AC98" s="38"/>
      <c r="AD98" s="292"/>
      <c r="AM98" s="49"/>
      <c r="AN98" s="49"/>
      <c r="AO98" s="49"/>
      <c r="AP98" s="49"/>
    </row>
    <row r="99" spans="1:44" ht="12" customHeight="1">
      <c r="A99" s="679"/>
      <c r="B99" s="98" t="s">
        <v>273</v>
      </c>
      <c r="C99" s="102" t="s">
        <v>270</v>
      </c>
      <c r="F99" s="38"/>
      <c r="G99" s="38"/>
      <c r="H99" s="38"/>
      <c r="I99" s="38"/>
      <c r="J99" s="38"/>
      <c r="K99" s="38"/>
      <c r="L99" s="38"/>
      <c r="M99" s="65" t="s">
        <v>25</v>
      </c>
      <c r="N99" s="399">
        <v>0.30898799591035403</v>
      </c>
      <c r="O99" s="68">
        <v>0.69101200408964603</v>
      </c>
      <c r="P99" s="67">
        <v>0.5</v>
      </c>
      <c r="Q99" s="68">
        <v>0.5</v>
      </c>
      <c r="R99" s="67">
        <v>0.73597023508111925</v>
      </c>
      <c r="S99" s="68">
        <v>0.2640297649188808</v>
      </c>
      <c r="T99" s="67">
        <v>0.515625</v>
      </c>
      <c r="U99" s="68">
        <v>0.48437500000000006</v>
      </c>
      <c r="V99" s="67">
        <v>0.71460528471075857</v>
      </c>
      <c r="W99" s="68">
        <v>0.28539471528924143</v>
      </c>
      <c r="X99" s="67">
        <v>0.53061224489795877</v>
      </c>
      <c r="Y99" s="68">
        <v>0.46938775510204123</v>
      </c>
      <c r="Z99" s="67">
        <v>0.97082462964296856</v>
      </c>
      <c r="AA99" s="68">
        <v>2.9175370357031372E-2</v>
      </c>
      <c r="AC99" s="38"/>
      <c r="AD99" s="292"/>
      <c r="AM99" s="49"/>
      <c r="AN99" s="49"/>
      <c r="AO99" s="49"/>
      <c r="AP99" s="49"/>
    </row>
    <row r="100" spans="1:44" ht="12" customHeight="1">
      <c r="A100" s="679"/>
      <c r="B100" s="98" t="s">
        <v>274</v>
      </c>
      <c r="C100" s="102" t="s">
        <v>270</v>
      </c>
      <c r="F100" s="38"/>
      <c r="G100" s="38"/>
      <c r="H100" s="38"/>
      <c r="I100" s="38"/>
      <c r="J100" s="38"/>
      <c r="K100" s="38"/>
      <c r="L100" s="38"/>
      <c r="M100" s="65" t="s">
        <v>26</v>
      </c>
      <c r="N100" s="399">
        <v>0.40628216816888774</v>
      </c>
      <c r="O100" s="68">
        <v>0.59371783183111215</v>
      </c>
      <c r="P100" s="67">
        <v>1</v>
      </c>
      <c r="Q100" s="68">
        <v>0</v>
      </c>
      <c r="R100" s="67">
        <v>0.77853042387066074</v>
      </c>
      <c r="S100" s="68">
        <v>0.22146957612933929</v>
      </c>
      <c r="T100" s="67">
        <v>0.56578947368421062</v>
      </c>
      <c r="U100" s="68">
        <v>0.43421052631578944</v>
      </c>
      <c r="V100" s="67">
        <v>0.92915111829640706</v>
      </c>
      <c r="W100" s="68">
        <v>7.0848881703592992E-2</v>
      </c>
      <c r="X100" s="67">
        <v>0.67058823529411704</v>
      </c>
      <c r="Y100" s="68">
        <v>0.3294117647058829</v>
      </c>
      <c r="Z100" s="67">
        <v>1</v>
      </c>
      <c r="AA100" s="68">
        <v>0</v>
      </c>
      <c r="AC100" s="38"/>
      <c r="AD100" s="292"/>
      <c r="AM100" s="49"/>
      <c r="AN100" s="49"/>
      <c r="AO100" s="49"/>
      <c r="AP100" s="49"/>
    </row>
    <row r="101" spans="1:44" ht="12" customHeight="1">
      <c r="A101" s="679"/>
      <c r="B101" s="98" t="s">
        <v>275</v>
      </c>
      <c r="C101" s="102" t="s">
        <v>270</v>
      </c>
      <c r="F101" s="38"/>
      <c r="G101" s="38"/>
      <c r="H101" s="38"/>
      <c r="I101" s="38"/>
      <c r="J101" s="38"/>
      <c r="K101" s="38"/>
      <c r="L101" s="38"/>
      <c r="M101" s="66" t="s">
        <v>27</v>
      </c>
      <c r="N101" s="400">
        <v>0</v>
      </c>
      <c r="O101" s="70">
        <v>1</v>
      </c>
      <c r="P101" s="69">
        <v>0</v>
      </c>
      <c r="Q101" s="70">
        <v>0</v>
      </c>
      <c r="R101" s="69">
        <v>0.54087865193117424</v>
      </c>
      <c r="S101" s="70">
        <v>0.45912134806882565</v>
      </c>
      <c r="T101" s="69">
        <v>0.25</v>
      </c>
      <c r="U101" s="70">
        <v>0.75</v>
      </c>
      <c r="V101" s="69">
        <v>0</v>
      </c>
      <c r="W101" s="70">
        <v>0</v>
      </c>
      <c r="X101" s="69">
        <v>0.65671641791044755</v>
      </c>
      <c r="Y101" s="70">
        <v>0.34328358208955245</v>
      </c>
      <c r="Z101" s="69">
        <v>0</v>
      </c>
      <c r="AA101" s="70">
        <v>0</v>
      </c>
      <c r="AC101" s="38"/>
      <c r="AD101" s="292"/>
      <c r="AM101" s="49"/>
      <c r="AN101" s="49"/>
      <c r="AO101" s="49"/>
      <c r="AP101" s="49"/>
    </row>
    <row r="102" spans="1:44" ht="12" customHeight="1">
      <c r="A102" s="679"/>
      <c r="B102" s="98" t="s">
        <v>276</v>
      </c>
      <c r="C102" s="102" t="s">
        <v>270</v>
      </c>
      <c r="F102" s="38"/>
      <c r="G102" s="38"/>
      <c r="H102" s="38"/>
      <c r="I102" s="38"/>
      <c r="J102" s="38"/>
      <c r="K102" s="38"/>
      <c r="L102" s="38"/>
      <c r="M102" s="38"/>
      <c r="N102" s="271"/>
      <c r="O102" s="38"/>
      <c r="P102" s="38"/>
      <c r="Q102" s="38"/>
      <c r="R102" s="38"/>
      <c r="S102" s="38"/>
      <c r="T102" s="38"/>
      <c r="U102" s="38"/>
      <c r="V102" s="38"/>
      <c r="W102" s="38"/>
      <c r="X102" s="38"/>
      <c r="Y102" s="38"/>
      <c r="Z102" s="38"/>
      <c r="AA102" s="38"/>
      <c r="AB102" s="38"/>
      <c r="AC102" s="38"/>
      <c r="AD102" s="292"/>
    </row>
    <row r="103" spans="1:44" ht="12" customHeight="1">
      <c r="A103" s="679"/>
      <c r="B103" s="98" t="s">
        <v>277</v>
      </c>
      <c r="C103" s="102" t="s">
        <v>278</v>
      </c>
      <c r="F103" s="38"/>
      <c r="G103" s="38"/>
      <c r="H103" s="38"/>
      <c r="I103" s="38"/>
      <c r="J103" s="38"/>
      <c r="K103" s="38"/>
      <c r="L103" s="38"/>
      <c r="M103" s="661" t="s">
        <v>622</v>
      </c>
      <c r="N103" s="661"/>
      <c r="O103" s="661"/>
      <c r="P103" s="661"/>
      <c r="Q103" s="661"/>
      <c r="R103" s="661"/>
      <c r="S103" s="661"/>
      <c r="T103" s="661"/>
      <c r="U103" s="661"/>
      <c r="V103" s="661"/>
      <c r="W103" s="661"/>
      <c r="X103" s="661"/>
      <c r="Y103" s="661"/>
      <c r="Z103" s="661"/>
      <c r="AA103" s="661"/>
      <c r="AB103" s="38"/>
      <c r="AC103" s="38"/>
      <c r="AD103" s="292"/>
    </row>
    <row r="104" spans="1:44" ht="12" customHeight="1">
      <c r="A104" s="679"/>
      <c r="B104" s="98" t="s">
        <v>279</v>
      </c>
      <c r="C104" s="102" t="s">
        <v>280</v>
      </c>
      <c r="F104" s="38"/>
      <c r="G104" s="38"/>
      <c r="H104" s="38"/>
      <c r="I104" s="38"/>
      <c r="J104" s="38"/>
      <c r="K104" s="38"/>
      <c r="L104" s="38"/>
      <c r="M104" s="46"/>
      <c r="N104" s="686" t="s">
        <v>383</v>
      </c>
      <c r="O104" s="686"/>
      <c r="P104" s="686" t="s">
        <v>384</v>
      </c>
      <c r="Q104" s="686"/>
      <c r="R104" s="686" t="s">
        <v>29</v>
      </c>
      <c r="S104" s="686"/>
      <c r="T104" s="686" t="s">
        <v>30</v>
      </c>
      <c r="U104" s="686"/>
      <c r="V104" s="686" t="s">
        <v>83</v>
      </c>
      <c r="W104" s="686"/>
      <c r="X104" s="686" t="s">
        <v>32</v>
      </c>
      <c r="Y104" s="686"/>
      <c r="Z104" s="686" t="s">
        <v>64</v>
      </c>
      <c r="AA104" s="686"/>
      <c r="AB104" s="38"/>
      <c r="AC104" s="38"/>
      <c r="AD104" s="292"/>
    </row>
    <row r="105" spans="1:44" ht="12" customHeight="1">
      <c r="A105" s="679"/>
      <c r="B105" s="98" t="s">
        <v>281</v>
      </c>
      <c r="C105" s="102" t="s">
        <v>282</v>
      </c>
      <c r="F105" s="38"/>
      <c r="G105" s="38"/>
      <c r="H105" s="38"/>
      <c r="I105" s="38"/>
      <c r="J105" s="38"/>
      <c r="K105" s="38"/>
      <c r="L105" s="38"/>
      <c r="M105" s="43" t="s">
        <v>0</v>
      </c>
      <c r="N105" s="283" t="s">
        <v>362</v>
      </c>
      <c r="O105" s="55" t="s">
        <v>363</v>
      </c>
      <c r="P105" s="283" t="s">
        <v>362</v>
      </c>
      <c r="Q105" s="55" t="s">
        <v>363</v>
      </c>
      <c r="R105" s="283" t="s">
        <v>362</v>
      </c>
      <c r="S105" s="55" t="s">
        <v>363</v>
      </c>
      <c r="T105" s="283" t="s">
        <v>362</v>
      </c>
      <c r="U105" s="55" t="s">
        <v>363</v>
      </c>
      <c r="V105" s="283" t="s">
        <v>362</v>
      </c>
      <c r="W105" s="55" t="s">
        <v>363</v>
      </c>
      <c r="X105" s="283" t="s">
        <v>362</v>
      </c>
      <c r="Y105" s="55" t="s">
        <v>363</v>
      </c>
      <c r="Z105" s="283" t="s">
        <v>362</v>
      </c>
      <c r="AA105" s="55" t="s">
        <v>363</v>
      </c>
      <c r="AB105" s="38"/>
      <c r="AC105" s="38"/>
      <c r="AD105" s="292"/>
    </row>
    <row r="106" spans="1:44" ht="12" customHeight="1">
      <c r="A106" s="679"/>
      <c r="B106" s="98" t="s">
        <v>283</v>
      </c>
      <c r="C106" s="102" t="s">
        <v>284</v>
      </c>
      <c r="F106" s="38"/>
      <c r="G106" s="38"/>
      <c r="H106" s="38"/>
      <c r="I106" s="38"/>
      <c r="J106" s="38"/>
      <c r="K106" s="38"/>
      <c r="L106" s="38"/>
      <c r="M106" s="65" t="s">
        <v>21</v>
      </c>
      <c r="N106" s="399">
        <v>0.71046997058421479</v>
      </c>
      <c r="O106" s="68">
        <v>0.28953002941578521</v>
      </c>
      <c r="P106" s="67">
        <v>0.75364330326162754</v>
      </c>
      <c r="Q106" s="68">
        <v>0.24635669673837249</v>
      </c>
      <c r="R106" s="67">
        <v>0.88903790660750182</v>
      </c>
      <c r="S106" s="68">
        <v>0.11096209339249813</v>
      </c>
      <c r="T106" s="67">
        <v>0.35497835497835534</v>
      </c>
      <c r="U106" s="68">
        <v>0.64502164502164461</v>
      </c>
      <c r="V106" s="67">
        <v>0.9197763007465245</v>
      </c>
      <c r="W106" s="68">
        <v>8.02236992534755E-2</v>
      </c>
      <c r="X106" s="67">
        <v>0.7376509330406148</v>
      </c>
      <c r="Y106" s="68">
        <v>0.26234906695938515</v>
      </c>
      <c r="Z106" s="67">
        <v>0.9613539250956773</v>
      </c>
      <c r="AA106" s="68">
        <v>3.8646074904322779E-2</v>
      </c>
      <c r="AB106" s="38"/>
      <c r="AC106" s="38"/>
      <c r="AD106" s="292"/>
    </row>
    <row r="107" spans="1:44" ht="12" customHeight="1">
      <c r="A107" s="679"/>
      <c r="B107" s="98" t="s">
        <v>285</v>
      </c>
      <c r="C107" s="102" t="s">
        <v>286</v>
      </c>
      <c r="F107" s="38"/>
      <c r="G107" s="38"/>
      <c r="H107" s="38"/>
      <c r="I107" s="38"/>
      <c r="J107" s="38"/>
      <c r="K107" s="38"/>
      <c r="L107" s="38"/>
      <c r="M107" s="65" t="s">
        <v>14</v>
      </c>
      <c r="N107" s="399">
        <v>0.63333543017173544</v>
      </c>
      <c r="O107" s="68">
        <v>0.36666456982826462</v>
      </c>
      <c r="P107" s="67">
        <v>0.78519710378117646</v>
      </c>
      <c r="Q107" s="68">
        <v>0.21480289621882359</v>
      </c>
      <c r="R107" s="67">
        <v>0.90518392302679596</v>
      </c>
      <c r="S107" s="68">
        <v>9.4816076973203975E-2</v>
      </c>
      <c r="T107" s="67">
        <v>0.43974630021141647</v>
      </c>
      <c r="U107" s="68">
        <v>0.56025369978858341</v>
      </c>
      <c r="V107" s="67">
        <v>0.95402404014241793</v>
      </c>
      <c r="W107" s="68">
        <v>4.5975959857582002E-2</v>
      </c>
      <c r="X107" s="67">
        <v>0.67336683417085774</v>
      </c>
      <c r="Y107" s="68">
        <v>0.32663316582914226</v>
      </c>
      <c r="Z107" s="67">
        <v>0.94531002315281909</v>
      </c>
      <c r="AA107" s="68">
        <v>5.4689976847180959E-2</v>
      </c>
      <c r="AB107" s="38"/>
      <c r="AC107" s="38"/>
      <c r="AD107" s="292"/>
    </row>
    <row r="108" spans="1:44" ht="12" customHeight="1">
      <c r="A108" s="679"/>
      <c r="B108" s="98" t="s">
        <v>287</v>
      </c>
      <c r="C108" s="102" t="s">
        <v>288</v>
      </c>
      <c r="F108" s="38"/>
      <c r="G108" s="38"/>
      <c r="H108" s="38"/>
      <c r="I108" s="38"/>
      <c r="J108" s="38"/>
      <c r="K108" s="38"/>
      <c r="L108" s="38"/>
      <c r="M108" s="65" t="s">
        <v>20</v>
      </c>
      <c r="N108" s="399">
        <v>0.6308318672638995</v>
      </c>
      <c r="O108" s="68">
        <v>0.36916813273610044</v>
      </c>
      <c r="P108" s="67">
        <v>0.78350515463917703</v>
      </c>
      <c r="Q108" s="68">
        <v>0.21649484536082297</v>
      </c>
      <c r="R108" s="67">
        <v>0.90720035514154806</v>
      </c>
      <c r="S108" s="68">
        <v>9.2799644858451907E-2</v>
      </c>
      <c r="T108" s="67">
        <v>0.40556199304750656</v>
      </c>
      <c r="U108" s="68">
        <v>0.59443800695249327</v>
      </c>
      <c r="V108" s="67">
        <v>0.96321727823372083</v>
      </c>
      <c r="W108" s="68">
        <v>3.6782721766279135E-2</v>
      </c>
      <c r="X108" s="67">
        <v>0.61449498843485117</v>
      </c>
      <c r="Y108" s="68">
        <v>0.38550501156514894</v>
      </c>
      <c r="Z108" s="67">
        <v>0.95065871338530472</v>
      </c>
      <c r="AA108" s="68">
        <v>4.9341286614695327E-2</v>
      </c>
      <c r="AB108" s="38"/>
      <c r="AC108" s="38"/>
      <c r="AD108" s="292"/>
    </row>
    <row r="109" spans="1:44" ht="12" customHeight="1">
      <c r="A109" s="679"/>
      <c r="B109" s="98" t="s">
        <v>289</v>
      </c>
      <c r="C109" s="102" t="s">
        <v>290</v>
      </c>
      <c r="F109" s="38"/>
      <c r="G109" s="38"/>
      <c r="H109" s="38"/>
      <c r="I109" s="38"/>
      <c r="J109" s="38"/>
      <c r="K109" s="38"/>
      <c r="L109" s="38"/>
      <c r="M109" s="65" t="s">
        <v>22</v>
      </c>
      <c r="N109" s="399">
        <v>0.60664357631841892</v>
      </c>
      <c r="O109" s="68">
        <v>0.39335642368158102</v>
      </c>
      <c r="P109" s="67">
        <v>0.69916434540389949</v>
      </c>
      <c r="Q109" s="68">
        <v>0.3008356545961004</v>
      </c>
      <c r="R109" s="67">
        <v>0.89220671535480112</v>
      </c>
      <c r="S109" s="68">
        <v>0.1077932846451989</v>
      </c>
      <c r="T109" s="67">
        <v>0.4137115839243507</v>
      </c>
      <c r="U109" s="68">
        <v>0.5862884160756493</v>
      </c>
      <c r="V109" s="67">
        <v>0.96220078511356655</v>
      </c>
      <c r="W109" s="68">
        <v>3.7799214886433445E-2</v>
      </c>
      <c r="X109" s="67">
        <v>0.60385259631490795</v>
      </c>
      <c r="Y109" s="68">
        <v>0.39614740368509205</v>
      </c>
      <c r="Z109" s="67">
        <v>0.92188570586323493</v>
      </c>
      <c r="AA109" s="68">
        <v>7.8114294136765169E-2</v>
      </c>
      <c r="AB109" s="38"/>
      <c r="AC109" s="38"/>
      <c r="AD109" s="292"/>
    </row>
    <row r="110" spans="1:44" ht="12" customHeight="1">
      <c r="A110" s="679"/>
      <c r="B110" s="98" t="s">
        <v>291</v>
      </c>
      <c r="C110" s="102" t="s">
        <v>292</v>
      </c>
      <c r="F110" s="38"/>
      <c r="G110" s="38"/>
      <c r="H110" s="38"/>
      <c r="I110" s="38"/>
      <c r="J110" s="38"/>
      <c r="K110" s="38"/>
      <c r="L110" s="38"/>
      <c r="M110" s="65" t="s">
        <v>23</v>
      </c>
      <c r="N110" s="399">
        <v>0.5581122354234459</v>
      </c>
      <c r="O110" s="68">
        <v>0.4418877645765541</v>
      </c>
      <c r="P110" s="67">
        <v>0.71296296296296291</v>
      </c>
      <c r="Q110" s="68">
        <v>0.28703703703703726</v>
      </c>
      <c r="R110" s="67">
        <v>0.8247057339460806</v>
      </c>
      <c r="S110" s="68">
        <v>0.17529426605391937</v>
      </c>
      <c r="T110" s="67">
        <v>0.3982832618025729</v>
      </c>
      <c r="U110" s="68">
        <v>0.6017167381974271</v>
      </c>
      <c r="V110" s="67">
        <v>0.93643671746545709</v>
      </c>
      <c r="W110" s="68">
        <v>6.3563282534542825E-2</v>
      </c>
      <c r="X110" s="67">
        <v>0.61031833150383907</v>
      </c>
      <c r="Y110" s="68">
        <v>0.38968166849616087</v>
      </c>
      <c r="Z110" s="67">
        <v>0.92542498652422822</v>
      </c>
      <c r="AA110" s="68">
        <v>7.457501347577189E-2</v>
      </c>
      <c r="AB110" s="38"/>
      <c r="AC110" s="38"/>
      <c r="AD110" s="292"/>
    </row>
    <row r="111" spans="1:44" ht="12" customHeight="1">
      <c r="A111" s="679"/>
      <c r="B111" s="98" t="s">
        <v>293</v>
      </c>
      <c r="C111" s="102" t="s">
        <v>294</v>
      </c>
      <c r="F111" s="38"/>
      <c r="G111" s="38"/>
      <c r="H111" s="38"/>
      <c r="I111" s="38"/>
      <c r="J111" s="38"/>
      <c r="K111" s="38"/>
      <c r="L111" s="38"/>
      <c r="M111" s="65" t="s">
        <v>24</v>
      </c>
      <c r="N111" s="399">
        <v>0.50744770400586303</v>
      </c>
      <c r="O111" s="68">
        <v>0.49255229599413697</v>
      </c>
      <c r="P111" s="67">
        <v>0.7142857142857143</v>
      </c>
      <c r="Q111" s="68">
        <v>0.28571428571428575</v>
      </c>
      <c r="R111" s="67">
        <v>0.79135029291582704</v>
      </c>
      <c r="S111" s="68">
        <v>0.20864970708417296</v>
      </c>
      <c r="T111" s="67">
        <v>0.48944099378881967</v>
      </c>
      <c r="U111" s="68">
        <v>0.51055900621118033</v>
      </c>
      <c r="V111" s="67">
        <v>0.94281983945193992</v>
      </c>
      <c r="W111" s="68">
        <v>5.7180160548060015E-2</v>
      </c>
      <c r="X111" s="67">
        <v>0.58695652173913193</v>
      </c>
      <c r="Y111" s="68">
        <v>0.41304347826086812</v>
      </c>
      <c r="Z111" s="67">
        <v>0.91379540398788583</v>
      </c>
      <c r="AA111" s="68">
        <v>8.6204596012114193E-2</v>
      </c>
      <c r="AB111" s="38"/>
      <c r="AC111" s="38"/>
      <c r="AD111" s="292"/>
    </row>
    <row r="112" spans="1:44" ht="12" customHeight="1">
      <c r="A112" s="679"/>
      <c r="B112" s="98" t="s">
        <v>295</v>
      </c>
      <c r="C112" s="102" t="s">
        <v>296</v>
      </c>
      <c r="F112" s="38"/>
      <c r="G112" s="38"/>
      <c r="H112" s="38"/>
      <c r="I112" s="38"/>
      <c r="J112" s="38"/>
      <c r="K112" s="38"/>
      <c r="L112" s="38"/>
      <c r="M112" s="65" t="s">
        <v>25</v>
      </c>
      <c r="N112" s="399">
        <v>0.31833793292832524</v>
      </c>
      <c r="O112" s="68">
        <v>0.68166206707167476</v>
      </c>
      <c r="P112" s="67">
        <v>0.5</v>
      </c>
      <c r="Q112" s="68">
        <v>0.5</v>
      </c>
      <c r="R112" s="67">
        <v>0.7405412037626069</v>
      </c>
      <c r="S112" s="68">
        <v>0.2594587962373931</v>
      </c>
      <c r="T112" s="67">
        <v>0.515625</v>
      </c>
      <c r="U112" s="68">
        <v>0.48437500000000006</v>
      </c>
      <c r="V112" s="67">
        <v>0.71460528471075857</v>
      </c>
      <c r="W112" s="68">
        <v>0.28539471528924143</v>
      </c>
      <c r="X112" s="67">
        <v>0.53061224489795877</v>
      </c>
      <c r="Y112" s="68">
        <v>0.46938775510204123</v>
      </c>
      <c r="Z112" s="67">
        <v>0.97082462964296856</v>
      </c>
      <c r="AA112" s="68">
        <v>2.9175370357031372E-2</v>
      </c>
      <c r="AB112" s="38"/>
      <c r="AC112" s="38"/>
      <c r="AD112" s="292"/>
    </row>
    <row r="113" spans="1:30" ht="12" customHeight="1">
      <c r="A113" s="679"/>
      <c r="B113" s="98" t="s">
        <v>297</v>
      </c>
      <c r="C113" s="102" t="s">
        <v>298</v>
      </c>
      <c r="F113" s="38"/>
      <c r="G113" s="38"/>
      <c r="H113" s="38"/>
      <c r="I113" s="38"/>
      <c r="J113" s="38"/>
      <c r="K113" s="38"/>
      <c r="L113" s="38"/>
      <c r="M113" s="65" t="s">
        <v>26</v>
      </c>
      <c r="N113" s="399">
        <v>0.40628216816888774</v>
      </c>
      <c r="O113" s="68">
        <v>0.59371783183111215</v>
      </c>
      <c r="P113" s="67">
        <v>1</v>
      </c>
      <c r="Q113" s="68">
        <v>0</v>
      </c>
      <c r="R113" s="67">
        <v>0.77853042387066074</v>
      </c>
      <c r="S113" s="68">
        <v>0.22146957612933929</v>
      </c>
      <c r="T113" s="67">
        <v>0.56578947368421062</v>
      </c>
      <c r="U113" s="68">
        <v>0.43421052631578944</v>
      </c>
      <c r="V113" s="67">
        <v>0.92915111829640706</v>
      </c>
      <c r="W113" s="68">
        <v>7.0848881703592992E-2</v>
      </c>
      <c r="X113" s="67">
        <v>0.67058823529411704</v>
      </c>
      <c r="Y113" s="68">
        <v>0.3294117647058829</v>
      </c>
      <c r="Z113" s="67">
        <v>1</v>
      </c>
      <c r="AA113" s="68">
        <v>0</v>
      </c>
      <c r="AB113" s="38"/>
      <c r="AC113" s="38"/>
      <c r="AD113" s="292"/>
    </row>
    <row r="114" spans="1:30" ht="12" customHeight="1">
      <c r="A114" s="679"/>
      <c r="B114" s="98" t="s">
        <v>299</v>
      </c>
      <c r="C114" s="102" t="s">
        <v>300</v>
      </c>
      <c r="F114" s="38"/>
      <c r="G114" s="38"/>
      <c r="H114" s="38"/>
      <c r="I114" s="38"/>
      <c r="J114" s="38"/>
      <c r="K114" s="38"/>
      <c r="L114" s="38"/>
      <c r="M114" s="66" t="s">
        <v>27</v>
      </c>
      <c r="N114" s="400">
        <v>0</v>
      </c>
      <c r="O114" s="70">
        <v>1</v>
      </c>
      <c r="P114" s="69">
        <v>0</v>
      </c>
      <c r="Q114" s="70">
        <v>0</v>
      </c>
      <c r="R114" s="69">
        <v>0.54087865193117424</v>
      </c>
      <c r="S114" s="70">
        <v>0.45912134806882565</v>
      </c>
      <c r="T114" s="69">
        <v>0.25</v>
      </c>
      <c r="U114" s="70">
        <v>0.75</v>
      </c>
      <c r="V114" s="69">
        <v>0</v>
      </c>
      <c r="W114" s="70">
        <v>0</v>
      </c>
      <c r="X114" s="69">
        <v>0.65671641791044755</v>
      </c>
      <c r="Y114" s="70">
        <v>0.34328358208955245</v>
      </c>
      <c r="Z114" s="69">
        <v>0</v>
      </c>
      <c r="AA114" s="70">
        <v>0</v>
      </c>
      <c r="AB114" s="38"/>
      <c r="AC114" s="38"/>
      <c r="AD114" s="292"/>
    </row>
    <row r="115" spans="1:30" ht="12" customHeight="1">
      <c r="A115" s="679"/>
      <c r="B115" s="98" t="s">
        <v>301</v>
      </c>
      <c r="C115" s="102" t="s">
        <v>302</v>
      </c>
      <c r="F115" s="38"/>
      <c r="G115" s="38"/>
      <c r="H115" s="38"/>
      <c r="I115" s="38"/>
      <c r="J115" s="38"/>
      <c r="K115" s="38"/>
      <c r="L115" s="38"/>
      <c r="M115" s="38"/>
      <c r="N115" s="271"/>
      <c r="O115" s="38"/>
      <c r="P115" s="38"/>
      <c r="Q115" s="38"/>
      <c r="R115" s="38"/>
      <c r="S115" s="38"/>
      <c r="T115" s="38"/>
      <c r="U115" s="38"/>
      <c r="V115" s="38"/>
      <c r="W115" s="38"/>
      <c r="X115" s="38"/>
      <c r="Y115" s="38"/>
      <c r="Z115" s="38"/>
      <c r="AA115" s="38"/>
      <c r="AB115" s="38"/>
      <c r="AC115" s="38"/>
      <c r="AD115" s="292"/>
    </row>
    <row r="116" spans="1:30" ht="12" customHeight="1" thickBot="1">
      <c r="A116" s="680"/>
      <c r="B116" s="162" t="s">
        <v>303</v>
      </c>
      <c r="C116" s="240" t="s">
        <v>304</v>
      </c>
      <c r="F116" s="38"/>
      <c r="G116" s="38"/>
      <c r="H116" s="38"/>
      <c r="I116" s="38"/>
      <c r="J116" s="38"/>
      <c r="K116" s="38"/>
      <c r="L116" s="38"/>
      <c r="M116" s="661" t="s">
        <v>623</v>
      </c>
      <c r="N116" s="661"/>
      <c r="O116" s="661"/>
      <c r="P116" s="661"/>
      <c r="Q116" s="661"/>
      <c r="R116" s="661"/>
      <c r="S116" s="661"/>
      <c r="T116" s="661"/>
      <c r="U116" s="661"/>
      <c r="V116" s="661"/>
      <c r="W116" s="661"/>
      <c r="X116" s="661"/>
      <c r="Y116" s="661"/>
      <c r="Z116" s="661"/>
      <c r="AA116" s="661"/>
      <c r="AB116" s="38"/>
      <c r="AC116" s="38"/>
      <c r="AD116" s="292"/>
    </row>
    <row r="117" spans="1:30" ht="12" customHeight="1">
      <c r="F117" s="38"/>
      <c r="G117" s="38"/>
      <c r="H117" s="38"/>
      <c r="I117" s="38"/>
      <c r="J117" s="38"/>
      <c r="K117" s="38"/>
      <c r="L117" s="38"/>
      <c r="M117" s="46"/>
      <c r="N117" s="686" t="s">
        <v>383</v>
      </c>
      <c r="O117" s="686"/>
      <c r="P117" s="686" t="s">
        <v>384</v>
      </c>
      <c r="Q117" s="686"/>
      <c r="R117" s="686" t="s">
        <v>29</v>
      </c>
      <c r="S117" s="686"/>
      <c r="T117" s="686" t="s">
        <v>30</v>
      </c>
      <c r="U117" s="686"/>
      <c r="V117" s="686" t="s">
        <v>83</v>
      </c>
      <c r="W117" s="686"/>
      <c r="X117" s="686" t="s">
        <v>32</v>
      </c>
      <c r="Y117" s="686"/>
      <c r="Z117" s="686" t="s">
        <v>64</v>
      </c>
      <c r="AA117" s="686"/>
      <c r="AB117" s="38"/>
      <c r="AC117" s="38"/>
      <c r="AD117" s="292"/>
    </row>
    <row r="118" spans="1:30" ht="12" customHeight="1">
      <c r="F118" s="38"/>
      <c r="G118" s="38"/>
      <c r="H118" s="38"/>
      <c r="I118" s="38"/>
      <c r="J118" s="38"/>
      <c r="K118" s="38"/>
      <c r="L118" s="38"/>
      <c r="M118" s="43" t="s">
        <v>0</v>
      </c>
      <c r="N118" s="283" t="s">
        <v>362</v>
      </c>
      <c r="O118" s="55" t="s">
        <v>363</v>
      </c>
      <c r="P118" s="283" t="s">
        <v>362</v>
      </c>
      <c r="Q118" s="55" t="s">
        <v>363</v>
      </c>
      <c r="R118" s="283" t="s">
        <v>362</v>
      </c>
      <c r="S118" s="55" t="s">
        <v>363</v>
      </c>
      <c r="T118" s="283" t="s">
        <v>362</v>
      </c>
      <c r="U118" s="55" t="s">
        <v>363</v>
      </c>
      <c r="V118" s="283" t="s">
        <v>362</v>
      </c>
      <c r="W118" s="55" t="s">
        <v>363</v>
      </c>
      <c r="X118" s="283" t="s">
        <v>362</v>
      </c>
      <c r="Y118" s="55" t="s">
        <v>363</v>
      </c>
      <c r="Z118" s="283" t="s">
        <v>362</v>
      </c>
      <c r="AA118" s="55" t="s">
        <v>363</v>
      </c>
      <c r="AB118" s="38"/>
      <c r="AC118" s="38"/>
      <c r="AD118" s="292"/>
    </row>
    <row r="119" spans="1:30" ht="12" customHeight="1">
      <c r="F119" s="38"/>
      <c r="G119" s="38"/>
      <c r="H119" s="38"/>
      <c r="I119" s="38"/>
      <c r="J119" s="38"/>
      <c r="K119" s="38"/>
      <c r="L119" s="38"/>
      <c r="M119" s="65" t="s">
        <v>21</v>
      </c>
      <c r="N119" s="399">
        <v>0</v>
      </c>
      <c r="O119" s="68">
        <v>0</v>
      </c>
      <c r="P119" s="67">
        <v>0</v>
      </c>
      <c r="Q119" s="68">
        <v>0</v>
      </c>
      <c r="R119" s="67">
        <v>0.46340340033891136</v>
      </c>
      <c r="S119" s="68">
        <v>0.53659659966108864</v>
      </c>
      <c r="T119" s="67">
        <v>0.34354841029672883</v>
      </c>
      <c r="U119" s="68">
        <v>0.65645158970327111</v>
      </c>
      <c r="V119" s="67">
        <v>0</v>
      </c>
      <c r="W119" s="68">
        <v>0</v>
      </c>
      <c r="X119" s="67">
        <v>0</v>
      </c>
      <c r="Y119" s="68">
        <v>0</v>
      </c>
      <c r="Z119" s="67">
        <v>0</v>
      </c>
      <c r="AA119" s="68">
        <v>0</v>
      </c>
      <c r="AB119" s="38"/>
      <c r="AC119" s="38"/>
      <c r="AD119" s="292"/>
    </row>
    <row r="120" spans="1:30" ht="12" customHeight="1">
      <c r="F120" s="38"/>
      <c r="G120" s="38"/>
      <c r="H120" s="38"/>
      <c r="I120" s="38"/>
      <c r="J120" s="38"/>
      <c r="K120" s="38"/>
      <c r="L120" s="38"/>
      <c r="M120" s="65" t="s">
        <v>14</v>
      </c>
      <c r="N120" s="399">
        <v>0.359375</v>
      </c>
      <c r="O120" s="68">
        <v>0.64062499999999989</v>
      </c>
      <c r="P120" s="67">
        <v>0</v>
      </c>
      <c r="Q120" s="68">
        <v>1</v>
      </c>
      <c r="R120" s="67">
        <v>0.49439510160955158</v>
      </c>
      <c r="S120" s="68">
        <v>0.50560489839044842</v>
      </c>
      <c r="T120" s="67">
        <v>0.28571462772289041</v>
      </c>
      <c r="U120" s="68">
        <v>0.71428537227710964</v>
      </c>
      <c r="V120" s="67">
        <v>0</v>
      </c>
      <c r="W120" s="68">
        <v>0</v>
      </c>
      <c r="X120" s="67">
        <v>0</v>
      </c>
      <c r="Y120" s="68">
        <v>0</v>
      </c>
      <c r="Z120" s="67">
        <v>0</v>
      </c>
      <c r="AA120" s="68">
        <v>0</v>
      </c>
      <c r="AB120" s="38"/>
      <c r="AC120" s="38"/>
      <c r="AD120" s="292"/>
    </row>
    <row r="121" spans="1:30" ht="12" customHeight="1">
      <c r="F121" s="38"/>
      <c r="G121" s="38"/>
      <c r="H121" s="38"/>
      <c r="I121" s="38"/>
      <c r="J121" s="38"/>
      <c r="K121" s="38"/>
      <c r="L121" s="38"/>
      <c r="M121" s="65" t="s">
        <v>20</v>
      </c>
      <c r="N121" s="399">
        <v>0.22857142857142856</v>
      </c>
      <c r="O121" s="68">
        <v>0.77142857142857146</v>
      </c>
      <c r="P121" s="67">
        <v>0</v>
      </c>
      <c r="Q121" s="68">
        <v>1</v>
      </c>
      <c r="R121" s="67">
        <v>0.50455184178364709</v>
      </c>
      <c r="S121" s="68">
        <v>0.49544815821635285</v>
      </c>
      <c r="T121" s="67">
        <v>0.19482878792124889</v>
      </c>
      <c r="U121" s="68">
        <v>0.80517121207875109</v>
      </c>
      <c r="V121" s="67">
        <v>0</v>
      </c>
      <c r="W121" s="68">
        <v>0</v>
      </c>
      <c r="X121" s="67">
        <v>0</v>
      </c>
      <c r="Y121" s="68">
        <v>0</v>
      </c>
      <c r="Z121" s="67">
        <v>0</v>
      </c>
      <c r="AA121" s="68">
        <v>0</v>
      </c>
      <c r="AB121" s="38"/>
      <c r="AC121" s="38"/>
      <c r="AD121" s="292"/>
    </row>
    <row r="122" spans="1:30" ht="12" customHeight="1">
      <c r="L122" s="38"/>
      <c r="M122" s="65" t="s">
        <v>22</v>
      </c>
      <c r="N122" s="399">
        <v>0.3555555555555554</v>
      </c>
      <c r="O122" s="68">
        <v>0.6444444444444446</v>
      </c>
      <c r="P122" s="67">
        <v>0</v>
      </c>
      <c r="Q122" s="68">
        <v>1</v>
      </c>
      <c r="R122" s="67">
        <v>0.44510793672209442</v>
      </c>
      <c r="S122" s="68">
        <v>0.55489206327790563</v>
      </c>
      <c r="T122" s="67">
        <v>0.18905606513024073</v>
      </c>
      <c r="U122" s="68">
        <v>0.81094393486975924</v>
      </c>
      <c r="V122" s="67">
        <v>0</v>
      </c>
      <c r="W122" s="68">
        <v>0</v>
      </c>
      <c r="X122" s="67">
        <v>0</v>
      </c>
      <c r="Y122" s="68">
        <v>0</v>
      </c>
      <c r="Z122" s="67">
        <v>0</v>
      </c>
      <c r="AA122" s="68">
        <v>0</v>
      </c>
      <c r="AB122" s="38"/>
      <c r="AC122" s="38"/>
      <c r="AD122" s="292"/>
    </row>
    <row r="123" spans="1:30" ht="12" customHeight="1">
      <c r="L123" s="38"/>
      <c r="M123" s="65" t="s">
        <v>23</v>
      </c>
      <c r="N123" s="399">
        <v>0.33103448275862069</v>
      </c>
      <c r="O123" s="68">
        <v>0.66896551724137931</v>
      </c>
      <c r="P123" s="67">
        <v>0</v>
      </c>
      <c r="Q123" s="68">
        <v>0</v>
      </c>
      <c r="R123" s="67">
        <v>0.42476239703361912</v>
      </c>
      <c r="S123" s="68">
        <v>0.57523760296638082</v>
      </c>
      <c r="T123" s="67">
        <v>0.48755364806866952</v>
      </c>
      <c r="U123" s="68">
        <v>0.51244635193133048</v>
      </c>
      <c r="V123" s="67">
        <v>0</v>
      </c>
      <c r="W123" s="68">
        <v>0</v>
      </c>
      <c r="X123" s="67">
        <v>0</v>
      </c>
      <c r="Y123" s="68">
        <v>0</v>
      </c>
      <c r="Z123" s="67">
        <v>0</v>
      </c>
      <c r="AA123" s="68">
        <v>0</v>
      </c>
      <c r="AB123" s="38"/>
      <c r="AC123" s="38"/>
      <c r="AD123" s="292"/>
    </row>
    <row r="124" spans="1:30" ht="12" customHeight="1">
      <c r="L124" s="38"/>
      <c r="M124" s="65" t="s">
        <v>24</v>
      </c>
      <c r="N124" s="399">
        <v>0.34848484848484906</v>
      </c>
      <c r="O124" s="68">
        <v>0.65151515151515094</v>
      </c>
      <c r="P124" s="67">
        <v>0</v>
      </c>
      <c r="Q124" s="68">
        <v>0</v>
      </c>
      <c r="R124" s="67">
        <v>0.55375188940834918</v>
      </c>
      <c r="S124" s="68">
        <v>0.44624811059165087</v>
      </c>
      <c r="T124" s="67">
        <v>0.46956521739130497</v>
      </c>
      <c r="U124" s="68">
        <v>0.53043478260869492</v>
      </c>
      <c r="V124" s="67">
        <v>0</v>
      </c>
      <c r="W124" s="68">
        <v>0</v>
      </c>
      <c r="X124" s="67">
        <v>0</v>
      </c>
      <c r="Y124" s="68">
        <v>0</v>
      </c>
      <c r="Z124" s="67">
        <v>0</v>
      </c>
      <c r="AA124" s="68">
        <v>0</v>
      </c>
      <c r="AB124" s="38"/>
      <c r="AC124" s="38"/>
      <c r="AD124" s="292"/>
    </row>
    <row r="125" spans="1:30" ht="12" customHeight="1">
      <c r="L125" s="38"/>
      <c r="M125" s="65" t="s">
        <v>25</v>
      </c>
      <c r="N125" s="399">
        <v>0.29333333333333361</v>
      </c>
      <c r="O125" s="68">
        <v>0.70666666666666644</v>
      </c>
      <c r="P125" s="67">
        <v>0</v>
      </c>
      <c r="Q125" s="68">
        <v>0</v>
      </c>
      <c r="R125" s="67">
        <v>0.5</v>
      </c>
      <c r="S125" s="68">
        <v>0.5</v>
      </c>
      <c r="T125" s="67">
        <v>0</v>
      </c>
      <c r="U125" s="68">
        <v>0</v>
      </c>
      <c r="V125" s="67">
        <v>0</v>
      </c>
      <c r="W125" s="68">
        <v>0</v>
      </c>
      <c r="X125" s="67">
        <v>0</v>
      </c>
      <c r="Y125" s="68">
        <v>0</v>
      </c>
      <c r="Z125" s="67">
        <v>0</v>
      </c>
      <c r="AA125" s="68">
        <v>0</v>
      </c>
      <c r="AB125" s="38"/>
      <c r="AC125" s="38"/>
      <c r="AD125" s="292"/>
    </row>
    <row r="126" spans="1:30" ht="12" customHeight="1">
      <c r="L126" s="38"/>
      <c r="M126" s="65" t="s">
        <v>26</v>
      </c>
      <c r="N126" s="399">
        <v>0</v>
      </c>
      <c r="O126" s="68">
        <v>0</v>
      </c>
      <c r="P126" s="67">
        <v>0</v>
      </c>
      <c r="Q126" s="68">
        <v>0</v>
      </c>
      <c r="R126" s="67">
        <v>0</v>
      </c>
      <c r="S126" s="68">
        <v>0</v>
      </c>
      <c r="T126" s="67">
        <v>0</v>
      </c>
      <c r="U126" s="68">
        <v>0</v>
      </c>
      <c r="V126" s="67">
        <v>0</v>
      </c>
      <c r="W126" s="68">
        <v>0</v>
      </c>
      <c r="X126" s="67">
        <v>0</v>
      </c>
      <c r="Y126" s="68">
        <v>0</v>
      </c>
      <c r="Z126" s="67">
        <v>0</v>
      </c>
      <c r="AA126" s="68">
        <v>0</v>
      </c>
      <c r="AB126" s="38"/>
      <c r="AC126" s="38"/>
      <c r="AD126" s="292"/>
    </row>
    <row r="127" spans="1:30" ht="12" customHeight="1">
      <c r="L127" s="38"/>
      <c r="M127" s="66" t="s">
        <v>27</v>
      </c>
      <c r="N127" s="400">
        <v>0</v>
      </c>
      <c r="O127" s="70">
        <v>0</v>
      </c>
      <c r="P127" s="69">
        <v>0</v>
      </c>
      <c r="Q127" s="70">
        <v>0</v>
      </c>
      <c r="R127" s="69">
        <v>0</v>
      </c>
      <c r="S127" s="70">
        <v>0</v>
      </c>
      <c r="T127" s="69">
        <v>0</v>
      </c>
      <c r="U127" s="70">
        <v>0</v>
      </c>
      <c r="V127" s="69">
        <v>0</v>
      </c>
      <c r="W127" s="70">
        <v>0</v>
      </c>
      <c r="X127" s="69">
        <v>0</v>
      </c>
      <c r="Y127" s="70">
        <v>0</v>
      </c>
      <c r="Z127" s="69">
        <v>0</v>
      </c>
      <c r="AA127" s="70">
        <v>0</v>
      </c>
      <c r="AB127" s="38"/>
      <c r="AC127" s="38"/>
      <c r="AD127" s="292"/>
    </row>
    <row r="128" spans="1:30" ht="12" customHeight="1">
      <c r="L128" s="38"/>
      <c r="M128" s="38"/>
      <c r="N128" s="271"/>
      <c r="O128" s="38"/>
      <c r="P128" s="38"/>
      <c r="Q128" s="38"/>
      <c r="R128" s="38"/>
      <c r="S128" s="38"/>
      <c r="T128" s="38"/>
      <c r="U128" s="38"/>
      <c r="V128" s="38"/>
      <c r="W128" s="38"/>
      <c r="X128" s="38"/>
      <c r="Y128" s="38"/>
      <c r="Z128" s="38"/>
      <c r="AA128" s="38"/>
      <c r="AB128" s="38"/>
      <c r="AC128" s="38"/>
      <c r="AD128" s="292"/>
    </row>
    <row r="129" spans="12:30" ht="12" customHeight="1">
      <c r="L129" s="38"/>
      <c r="M129" s="38"/>
      <c r="N129" s="271"/>
      <c r="O129" s="38"/>
      <c r="P129" s="38"/>
      <c r="Q129" s="38"/>
      <c r="R129" s="38"/>
      <c r="S129" s="38"/>
      <c r="T129" s="38"/>
      <c r="U129" s="38"/>
      <c r="V129" s="38"/>
      <c r="W129" s="38"/>
      <c r="X129" s="38"/>
      <c r="Y129" s="38"/>
      <c r="Z129" s="38"/>
      <c r="AA129" s="38"/>
      <c r="AB129" s="38"/>
      <c r="AC129" s="38"/>
      <c r="AD129" s="292"/>
    </row>
    <row r="130" spans="12:30" ht="12" customHeight="1">
      <c r="L130" s="38"/>
      <c r="M130" s="38"/>
      <c r="N130" s="271"/>
      <c r="O130" s="38"/>
      <c r="P130" s="38"/>
      <c r="Q130" s="38"/>
      <c r="R130" s="38"/>
      <c r="S130" s="38"/>
      <c r="T130" s="38"/>
      <c r="U130" s="38"/>
      <c r="V130" s="38"/>
      <c r="W130" s="38"/>
      <c r="X130" s="38"/>
      <c r="Y130" s="38"/>
      <c r="Z130" s="38"/>
      <c r="AA130" s="38"/>
      <c r="AB130" s="38"/>
      <c r="AC130" s="38"/>
      <c r="AD130" s="292"/>
    </row>
    <row r="131" spans="12:30" ht="12" customHeight="1">
      <c r="L131" s="38"/>
      <c r="M131" s="38"/>
      <c r="N131" s="271"/>
      <c r="O131" s="38"/>
      <c r="P131" s="38"/>
      <c r="Q131" s="38"/>
      <c r="R131" s="38"/>
      <c r="S131" s="38"/>
      <c r="T131" s="38"/>
      <c r="U131" s="38"/>
      <c r="V131" s="38"/>
      <c r="W131" s="38"/>
      <c r="X131" s="38"/>
      <c r="Y131" s="38"/>
      <c r="Z131" s="38"/>
      <c r="AA131" s="38"/>
      <c r="AB131" s="38"/>
      <c r="AC131" s="38"/>
      <c r="AD131" s="292"/>
    </row>
    <row r="132" spans="12:30" ht="12" customHeight="1">
      <c r="L132" s="38"/>
      <c r="X132" s="49" t="s">
        <v>229</v>
      </c>
    </row>
    <row r="133" spans="12:30" ht="12" customHeight="1">
      <c r="L133" s="38"/>
    </row>
    <row r="134" spans="12:30" ht="12" customHeight="1">
      <c r="L134" s="38"/>
    </row>
    <row r="135" spans="12:30" ht="12" customHeight="1">
      <c r="L135" s="38"/>
    </row>
    <row r="136" spans="12:30" ht="12" customHeight="1">
      <c r="L136" s="38"/>
    </row>
    <row r="137" spans="12:30" ht="12" customHeight="1">
      <c r="L137" s="38"/>
    </row>
    <row r="138" spans="12:30" ht="12" customHeight="1">
      <c r="L138" s="38"/>
    </row>
    <row r="139" spans="12:30" ht="12" customHeight="1">
      <c r="L139" s="38"/>
    </row>
    <row r="140" spans="12:30" ht="12" customHeight="1">
      <c r="L140" s="38"/>
    </row>
    <row r="141" spans="12:30" ht="12" customHeight="1">
      <c r="L141" s="38"/>
    </row>
    <row r="142" spans="12:30" ht="12" customHeight="1">
      <c r="L142" s="38"/>
    </row>
    <row r="143" spans="12:30" ht="12" customHeight="1">
      <c r="L143" s="38"/>
    </row>
    <row r="144" spans="12:30" ht="12" customHeight="1">
      <c r="L144" s="38"/>
    </row>
    <row r="145" spans="12:12" ht="12" customHeight="1">
      <c r="L145" s="38"/>
    </row>
    <row r="146" spans="12:12" ht="12" customHeight="1">
      <c r="L146" s="38"/>
    </row>
    <row r="147" spans="12:12" ht="12" customHeight="1">
      <c r="L147" s="38"/>
    </row>
    <row r="148" spans="12:12" ht="12" customHeight="1">
      <c r="L148" s="38"/>
    </row>
    <row r="149" spans="12:12" ht="12" customHeight="1">
      <c r="L149" s="38"/>
    </row>
    <row r="150" spans="12:12" ht="12" customHeight="1">
      <c r="L150" s="38"/>
    </row>
    <row r="151" spans="12:12" ht="12" customHeight="1">
      <c r="L151" s="38"/>
    </row>
    <row r="152" spans="12:12" ht="12" customHeight="1">
      <c r="L152" s="38"/>
    </row>
  </sheetData>
  <mergeCells count="163">
    <mergeCell ref="A5:A18"/>
    <mergeCell ref="V117:W117"/>
    <mergeCell ref="AC62:AF62"/>
    <mergeCell ref="AC75:AF75"/>
    <mergeCell ref="AI49:AQ49"/>
    <mergeCell ref="AI62:AQ62"/>
    <mergeCell ref="P104:Q104"/>
    <mergeCell ref="R104:S104"/>
    <mergeCell ref="A76:A88"/>
    <mergeCell ref="A89:A116"/>
    <mergeCell ref="C34:C40"/>
    <mergeCell ref="C27:C33"/>
    <mergeCell ref="X20:Y20"/>
    <mergeCell ref="AC33:AE33"/>
    <mergeCell ref="AI33:AP33"/>
    <mergeCell ref="E4:K55"/>
    <mergeCell ref="P91:Q91"/>
    <mergeCell ref="R91:S91"/>
    <mergeCell ref="T91:U91"/>
    <mergeCell ref="V91:W91"/>
    <mergeCell ref="AI75:AQ75"/>
    <mergeCell ref="N91:O91"/>
    <mergeCell ref="M75:Y75"/>
    <mergeCell ref="N63:O63"/>
    <mergeCell ref="N117:O117"/>
    <mergeCell ref="N104:O104"/>
    <mergeCell ref="M62:Y62"/>
    <mergeCell ref="M90:AA90"/>
    <mergeCell ref="Q63:S63"/>
    <mergeCell ref="U63:V63"/>
    <mergeCell ref="X63:Y63"/>
    <mergeCell ref="N76:O76"/>
    <mergeCell ref="Q76:S76"/>
    <mergeCell ref="U76:V76"/>
    <mergeCell ref="X76:Y76"/>
    <mergeCell ref="X117:Y117"/>
    <mergeCell ref="Z117:AA117"/>
    <mergeCell ref="X91:Y91"/>
    <mergeCell ref="Z91:AA91"/>
    <mergeCell ref="X104:Y104"/>
    <mergeCell ref="Z104:AA104"/>
    <mergeCell ref="M103:AA103"/>
    <mergeCell ref="M116:AA116"/>
    <mergeCell ref="T104:U104"/>
    <mergeCell ref="V104:W104"/>
    <mergeCell ref="P117:Q117"/>
    <mergeCell ref="R117:S117"/>
    <mergeCell ref="T117:U117"/>
    <mergeCell ref="AS75:BG75"/>
    <mergeCell ref="AT63:AU63"/>
    <mergeCell ref="AV63:AW63"/>
    <mergeCell ref="AX63:AY63"/>
    <mergeCell ref="AZ63:BA63"/>
    <mergeCell ref="BB63:BC63"/>
    <mergeCell ref="BD63:BE63"/>
    <mergeCell ref="BF63:BG63"/>
    <mergeCell ref="AT76:AU76"/>
    <mergeCell ref="AV76:AW76"/>
    <mergeCell ref="AX76:AY76"/>
    <mergeCell ref="AZ76:BA76"/>
    <mergeCell ref="BB76:BC76"/>
    <mergeCell ref="BD76:BE76"/>
    <mergeCell ref="BF76:BG76"/>
    <mergeCell ref="BJ76:BJ78"/>
    <mergeCell ref="BK76:BN76"/>
    <mergeCell ref="BO76:BP76"/>
    <mergeCell ref="BQ76:BV76"/>
    <mergeCell ref="BW76:BX76"/>
    <mergeCell ref="BY76:CB76"/>
    <mergeCell ref="CC76:CD76"/>
    <mergeCell ref="CE76:CH76"/>
    <mergeCell ref="BK77:BL77"/>
    <mergeCell ref="BM77:BN77"/>
    <mergeCell ref="BO77:BP77"/>
    <mergeCell ref="BQ77:BR77"/>
    <mergeCell ref="BS77:BT77"/>
    <mergeCell ref="BU77:BV77"/>
    <mergeCell ref="BW77:BX77"/>
    <mergeCell ref="BY77:BZ77"/>
    <mergeCell ref="CA77:CB77"/>
    <mergeCell ref="CC77:CD77"/>
    <mergeCell ref="CE77:CF77"/>
    <mergeCell ref="CG77:CH77"/>
    <mergeCell ref="BJ63:BJ65"/>
    <mergeCell ref="BJ49:CH49"/>
    <mergeCell ref="BJ62:CH62"/>
    <mergeCell ref="BK63:BN63"/>
    <mergeCell ref="BO63:BP63"/>
    <mergeCell ref="BQ63:BV63"/>
    <mergeCell ref="BW63:BX63"/>
    <mergeCell ref="BY63:CB63"/>
    <mergeCell ref="BK64:BL64"/>
    <mergeCell ref="BM64:BN64"/>
    <mergeCell ref="BO64:BP64"/>
    <mergeCell ref="BQ64:BR64"/>
    <mergeCell ref="BS64:BT64"/>
    <mergeCell ref="BU64:BV64"/>
    <mergeCell ref="BW64:BX64"/>
    <mergeCell ref="BY64:BZ64"/>
    <mergeCell ref="CA64:CB64"/>
    <mergeCell ref="BJ50:BJ52"/>
    <mergeCell ref="BK51:BL51"/>
    <mergeCell ref="BM51:BN51"/>
    <mergeCell ref="BO50:BP50"/>
    <mergeCell ref="BQ51:BR51"/>
    <mergeCell ref="BQ50:BV50"/>
    <mergeCell ref="U20:V20"/>
    <mergeCell ref="AS62:BG62"/>
    <mergeCell ref="BF50:BG50"/>
    <mergeCell ref="AS50:AS51"/>
    <mergeCell ref="AT50:AU50"/>
    <mergeCell ref="BD50:BE50"/>
    <mergeCell ref="AV50:AW50"/>
    <mergeCell ref="AX50:AY50"/>
    <mergeCell ref="AZ50:BA50"/>
    <mergeCell ref="BJ75:CH75"/>
    <mergeCell ref="B3:C3"/>
    <mergeCell ref="M5:Y5"/>
    <mergeCell ref="U50:V50"/>
    <mergeCell ref="N50:O50"/>
    <mergeCell ref="X34:Y34"/>
    <mergeCell ref="AI5:AP5"/>
    <mergeCell ref="AC5:AE5"/>
    <mergeCell ref="U6:V6"/>
    <mergeCell ref="Q6:S6"/>
    <mergeCell ref="N6:O6"/>
    <mergeCell ref="X6:Y6"/>
    <mergeCell ref="M49:Y49"/>
    <mergeCell ref="X50:Y50"/>
    <mergeCell ref="Q50:S50"/>
    <mergeCell ref="M19:Y19"/>
    <mergeCell ref="M33:Y33"/>
    <mergeCell ref="N34:O34"/>
    <mergeCell ref="Q34:S34"/>
    <mergeCell ref="U34:V34"/>
    <mergeCell ref="AC19:AE19"/>
    <mergeCell ref="AI19:AP19"/>
    <mergeCell ref="N20:O20"/>
    <mergeCell ref="Q20:S20"/>
    <mergeCell ref="A19:A47"/>
    <mergeCell ref="A48:A75"/>
    <mergeCell ref="CC51:CD51"/>
    <mergeCell ref="CC50:CD50"/>
    <mergeCell ref="CE50:CH50"/>
    <mergeCell ref="CE51:CF51"/>
    <mergeCell ref="CG51:CH51"/>
    <mergeCell ref="CE63:CH63"/>
    <mergeCell ref="CE64:CF64"/>
    <mergeCell ref="CG64:CH64"/>
    <mergeCell ref="BY50:CB50"/>
    <mergeCell ref="CC63:CD63"/>
    <mergeCell ref="CC64:CD64"/>
    <mergeCell ref="AS49:BG49"/>
    <mergeCell ref="AC49:AF49"/>
    <mergeCell ref="BY51:BZ51"/>
    <mergeCell ref="CA51:CB51"/>
    <mergeCell ref="BS51:BT51"/>
    <mergeCell ref="BU51:BV51"/>
    <mergeCell ref="BW51:BX51"/>
    <mergeCell ref="BW50:BX50"/>
    <mergeCell ref="BK50:BN50"/>
    <mergeCell ref="BB50:BC50"/>
    <mergeCell ref="BO51:BP51"/>
  </mergeCells>
  <pageMargins left="0.7" right="0.7" top="0.75" bottom="0.75" header="0.3" footer="0.3"/>
  <pageSetup scale="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V149"/>
  <sheetViews>
    <sheetView topLeftCell="K23" zoomScale="144" zoomScaleNormal="144" zoomScalePageLayoutView="144" workbookViewId="0">
      <selection activeCell="N23" sqref="N23"/>
    </sheetView>
  </sheetViews>
  <sheetFormatPr defaultColWidth="8.77734375" defaultRowHeight="12" customHeight="1"/>
  <cols>
    <col min="1" max="1" width="2.6640625" style="87" customWidth="1"/>
    <col min="2" max="2" width="22.44140625" style="163" customWidth="1"/>
    <col min="3" max="3" width="12.6640625" style="163" customWidth="1"/>
    <col min="4" max="4" width="13.44140625" style="226" customWidth="1"/>
    <col min="5" max="10" width="10.6640625" style="107" customWidth="1"/>
    <col min="11" max="11" width="6.6640625" style="87" bestFit="1" customWidth="1"/>
    <col min="12" max="12" width="35.109375" style="87" customWidth="1"/>
    <col min="13" max="13" width="14.77734375" style="87" customWidth="1"/>
    <col min="14" max="20" width="15.77734375" style="87" customWidth="1"/>
    <col min="21" max="21" width="4.33203125" style="87" customWidth="1"/>
    <col min="22" max="16384" width="8.77734375" style="87"/>
  </cols>
  <sheetData>
    <row r="1" spans="2:18" s="84" customFormat="1" ht="12" customHeight="1">
      <c r="B1" s="85" t="s">
        <v>242</v>
      </c>
      <c r="C1" s="85"/>
      <c r="D1" s="224"/>
      <c r="E1" s="86"/>
      <c r="F1" s="86"/>
      <c r="G1" s="86"/>
      <c r="H1" s="86"/>
      <c r="I1" s="86"/>
      <c r="J1" s="86"/>
    </row>
    <row r="2" spans="2:18" ht="12" customHeight="1" thickBot="1">
      <c r="B2" s="165"/>
      <c r="C2" s="165"/>
      <c r="D2" s="225"/>
      <c r="E2" s="88"/>
      <c r="F2" s="88"/>
      <c r="G2" s="88"/>
      <c r="H2" s="88"/>
      <c r="I2" s="88"/>
      <c r="J2" s="88"/>
    </row>
    <row r="3" spans="2:18" ht="12" customHeight="1" thickBot="1">
      <c r="B3" s="85" t="s">
        <v>169</v>
      </c>
      <c r="C3" s="84"/>
      <c r="D3" s="224"/>
      <c r="E3" s="84"/>
      <c r="F3" s="84"/>
      <c r="G3" s="84"/>
      <c r="H3" s="84"/>
      <c r="I3" s="84"/>
      <c r="J3" s="84"/>
      <c r="L3" s="609" t="s">
        <v>549</v>
      </c>
      <c r="M3" s="610" t="s">
        <v>146</v>
      </c>
      <c r="N3" s="611" t="s">
        <v>139</v>
      </c>
    </row>
    <row r="4" spans="2:18" ht="12" customHeight="1">
      <c r="B4" s="703" t="s">
        <v>573</v>
      </c>
      <c r="C4" s="703"/>
      <c r="D4" s="703"/>
      <c r="E4" s="703"/>
      <c r="F4" s="703"/>
      <c r="G4" s="703"/>
      <c r="H4" s="703"/>
      <c r="I4" s="703"/>
      <c r="J4" s="703"/>
      <c r="L4" s="260" t="s">
        <v>246</v>
      </c>
      <c r="M4" s="444"/>
      <c r="N4" s="126" t="s">
        <v>613</v>
      </c>
    </row>
    <row r="5" spans="2:18" ht="12" customHeight="1">
      <c r="B5" s="703"/>
      <c r="C5" s="703"/>
      <c r="D5" s="703"/>
      <c r="E5" s="703"/>
      <c r="F5" s="703"/>
      <c r="G5" s="703"/>
      <c r="H5" s="703"/>
      <c r="I5" s="703"/>
      <c r="J5" s="703"/>
      <c r="L5" s="96" t="s">
        <v>1</v>
      </c>
      <c r="M5" s="444"/>
      <c r="N5" s="607" t="s">
        <v>35</v>
      </c>
    </row>
    <row r="6" spans="2:18" ht="12" customHeight="1">
      <c r="B6" s="703"/>
      <c r="C6" s="703"/>
      <c r="D6" s="703"/>
      <c r="E6" s="703"/>
      <c r="F6" s="703"/>
      <c r="G6" s="703"/>
      <c r="H6" s="703"/>
      <c r="I6" s="703"/>
      <c r="J6" s="703"/>
      <c r="L6" s="260" t="s">
        <v>2</v>
      </c>
      <c r="M6" s="444"/>
      <c r="N6" s="305" t="s">
        <v>381</v>
      </c>
    </row>
    <row r="7" spans="2:18" ht="12" customHeight="1">
      <c r="B7" s="703"/>
      <c r="C7" s="703"/>
      <c r="D7" s="703"/>
      <c r="E7" s="703"/>
      <c r="F7" s="703"/>
      <c r="G7" s="703"/>
      <c r="H7" s="703"/>
      <c r="I7" s="703"/>
      <c r="J7" s="703"/>
      <c r="L7" s="100" t="s">
        <v>3</v>
      </c>
      <c r="M7" s="604"/>
      <c r="N7" s="131">
        <v>4.1505209491900001E-2</v>
      </c>
    </row>
    <row r="8" spans="2:18" ht="12" customHeight="1">
      <c r="B8" s="703"/>
      <c r="C8" s="703"/>
      <c r="D8" s="703"/>
      <c r="E8" s="703"/>
      <c r="F8" s="703"/>
      <c r="G8" s="703"/>
      <c r="H8" s="703"/>
      <c r="I8" s="703"/>
      <c r="J8" s="703"/>
      <c r="L8" s="100" t="s">
        <v>371</v>
      </c>
      <c r="M8" s="604" t="s">
        <v>144</v>
      </c>
      <c r="N8" s="128">
        <v>0.130964379568</v>
      </c>
    </row>
    <row r="9" spans="2:18" ht="12" customHeight="1">
      <c r="B9" s="703"/>
      <c r="C9" s="703"/>
      <c r="D9" s="703"/>
      <c r="E9" s="703"/>
      <c r="F9" s="703"/>
      <c r="G9" s="703"/>
      <c r="H9" s="703"/>
      <c r="I9" s="703"/>
      <c r="J9" s="703"/>
      <c r="L9" s="100" t="s">
        <v>372</v>
      </c>
      <c r="M9" s="604"/>
      <c r="N9" s="128">
        <v>0.111641766189</v>
      </c>
    </row>
    <row r="10" spans="2:18" ht="12" customHeight="1">
      <c r="B10" s="703"/>
      <c r="C10" s="703"/>
      <c r="D10" s="703"/>
      <c r="E10" s="703"/>
      <c r="F10" s="703"/>
      <c r="G10" s="703"/>
      <c r="H10" s="703"/>
      <c r="I10" s="703"/>
      <c r="J10" s="703"/>
      <c r="L10" s="260">
        <v>0.25</v>
      </c>
      <c r="M10" s="605" t="s">
        <v>454</v>
      </c>
      <c r="N10" s="305">
        <v>0</v>
      </c>
      <c r="R10" s="159"/>
    </row>
    <row r="11" spans="2:18" ht="12" customHeight="1">
      <c r="B11" s="703"/>
      <c r="C11" s="703"/>
      <c r="D11" s="703"/>
      <c r="E11" s="703"/>
      <c r="F11" s="703"/>
      <c r="G11" s="703"/>
      <c r="H11" s="703"/>
      <c r="I11" s="703"/>
      <c r="J11" s="703"/>
      <c r="L11" s="260">
        <v>0.5</v>
      </c>
      <c r="M11" s="605" t="s">
        <v>454</v>
      </c>
      <c r="N11" s="305">
        <v>0.5</v>
      </c>
    </row>
    <row r="12" spans="2:18" ht="12" customHeight="1">
      <c r="B12" s="703"/>
      <c r="C12" s="703"/>
      <c r="D12" s="703"/>
      <c r="E12" s="703"/>
      <c r="F12" s="703"/>
      <c r="G12" s="703"/>
      <c r="H12" s="703"/>
      <c r="I12" s="703"/>
      <c r="J12" s="703"/>
      <c r="L12" s="260">
        <v>0.75</v>
      </c>
      <c r="M12" s="605" t="s">
        <v>454</v>
      </c>
      <c r="N12" s="305">
        <v>0.5</v>
      </c>
      <c r="P12" s="301"/>
    </row>
    <row r="13" spans="2:18" ht="12" customHeight="1">
      <c r="B13" s="703"/>
      <c r="C13" s="703"/>
      <c r="D13" s="703"/>
      <c r="E13" s="703"/>
      <c r="F13" s="703"/>
      <c r="G13" s="703"/>
      <c r="H13" s="703"/>
      <c r="I13" s="703"/>
      <c r="J13" s="703"/>
      <c r="L13" s="260">
        <v>1</v>
      </c>
      <c r="M13" s="605" t="s">
        <v>454</v>
      </c>
      <c r="N13" s="305">
        <v>0</v>
      </c>
    </row>
    <row r="14" spans="2:18" ht="12" customHeight="1">
      <c r="B14" s="703"/>
      <c r="C14" s="703"/>
      <c r="D14" s="703"/>
      <c r="E14" s="703"/>
      <c r="F14" s="703"/>
      <c r="G14" s="703"/>
      <c r="H14" s="703"/>
      <c r="I14" s="703"/>
      <c r="J14" s="703"/>
      <c r="L14" s="96" t="s">
        <v>323</v>
      </c>
      <c r="M14" s="444" t="s">
        <v>202</v>
      </c>
      <c r="N14" s="411">
        <v>3371.2093896900001</v>
      </c>
      <c r="P14" s="159"/>
    </row>
    <row r="15" spans="2:18" ht="12" customHeight="1" thickBot="1">
      <c r="L15" s="117" t="s">
        <v>4</v>
      </c>
      <c r="M15" s="606" t="s">
        <v>145</v>
      </c>
      <c r="N15" s="321">
        <v>9</v>
      </c>
    </row>
    <row r="16" spans="2:18" ht="12" customHeight="1" thickTop="1" thickBot="1">
      <c r="B16" s="716" t="s">
        <v>233</v>
      </c>
      <c r="C16" s="717"/>
      <c r="D16" s="718"/>
      <c r="E16" s="713" t="s">
        <v>428</v>
      </c>
      <c r="F16" s="714"/>
      <c r="G16" s="714"/>
      <c r="H16" s="714"/>
      <c r="I16" s="714"/>
      <c r="J16" s="715"/>
      <c r="L16" s="103" t="s">
        <v>149</v>
      </c>
      <c r="M16" s="608"/>
      <c r="N16" s="442">
        <v>7.8591956580617826</v>
      </c>
    </row>
    <row r="17" spans="1:21" ht="12" customHeight="1" thickBot="1">
      <c r="A17" s="89"/>
      <c r="B17" s="92" t="s">
        <v>138</v>
      </c>
      <c r="C17" s="93" t="s">
        <v>196</v>
      </c>
      <c r="D17" s="232" t="s">
        <v>193</v>
      </c>
      <c r="E17" s="237" t="s">
        <v>109</v>
      </c>
      <c r="F17" s="94" t="s">
        <v>110</v>
      </c>
      <c r="G17" s="94" t="s">
        <v>111</v>
      </c>
      <c r="H17" s="94" t="s">
        <v>112</v>
      </c>
      <c r="I17" s="94" t="s">
        <v>113</v>
      </c>
      <c r="J17" s="95" t="s">
        <v>114</v>
      </c>
      <c r="K17" s="90"/>
      <c r="O17" s="437"/>
      <c r="P17" s="302"/>
      <c r="Q17" s="302"/>
      <c r="R17" s="124">
        <f>Q25*D76+(R25-Q25)*D77+R26*D77</f>
        <v>1269.6654643909069</v>
      </c>
      <c r="S17" s="302"/>
      <c r="T17" s="302"/>
      <c r="U17" s="302"/>
    </row>
    <row r="18" spans="1:21" ht="12" customHeight="1" thickBot="1">
      <c r="B18" s="239" t="s">
        <v>364</v>
      </c>
      <c r="C18" s="249" t="s">
        <v>69</v>
      </c>
      <c r="D18" s="262" t="s">
        <v>614</v>
      </c>
      <c r="E18" s="307" t="s">
        <v>614</v>
      </c>
      <c r="F18" s="308" t="s">
        <v>614</v>
      </c>
      <c r="G18" s="308" t="s">
        <v>614</v>
      </c>
      <c r="H18" s="308" t="s">
        <v>615</v>
      </c>
      <c r="I18" s="308" t="s">
        <v>615</v>
      </c>
      <c r="J18" s="309" t="s">
        <v>614</v>
      </c>
      <c r="M18" s="303"/>
      <c r="N18" s="649">
        <f>N21/(N25+N26)</f>
        <v>1.5856028849999999</v>
      </c>
      <c r="O18" s="649">
        <f t="shared" ref="O18:R18" si="0">O21/(O25+O26)</f>
        <v>1.5856028849999999</v>
      </c>
      <c r="P18" s="649">
        <f t="shared" si="0"/>
        <v>1.5856028849999999</v>
      </c>
      <c r="Q18" s="649">
        <f t="shared" si="0"/>
        <v>1.5856028849999999</v>
      </c>
      <c r="R18" s="649">
        <f t="shared" si="0"/>
        <v>1.5454103782477135</v>
      </c>
      <c r="S18" s="306"/>
      <c r="T18" s="306"/>
    </row>
    <row r="19" spans="1:21" ht="12" customHeight="1" thickBot="1">
      <c r="B19" s="98" t="s">
        <v>174</v>
      </c>
      <c r="C19" s="42" t="s">
        <v>69</v>
      </c>
      <c r="D19" s="233">
        <v>50</v>
      </c>
      <c r="E19" s="407">
        <v>50</v>
      </c>
      <c r="F19" s="408">
        <v>50</v>
      </c>
      <c r="G19" s="408">
        <v>50</v>
      </c>
      <c r="H19" s="408">
        <v>18</v>
      </c>
      <c r="I19" s="408">
        <v>18</v>
      </c>
      <c r="J19" s="228">
        <v>50</v>
      </c>
      <c r="K19" s="91"/>
      <c r="L19" s="108" t="s">
        <v>231</v>
      </c>
      <c r="M19" s="109" t="s">
        <v>146</v>
      </c>
      <c r="N19" s="110" t="s">
        <v>115</v>
      </c>
      <c r="O19" s="110" t="s">
        <v>109</v>
      </c>
      <c r="P19" s="110" t="s">
        <v>110</v>
      </c>
      <c r="Q19" s="110" t="s">
        <v>111</v>
      </c>
      <c r="R19" s="110" t="s">
        <v>112</v>
      </c>
      <c r="S19" s="110" t="s">
        <v>113</v>
      </c>
      <c r="T19" s="111" t="s">
        <v>114</v>
      </c>
    </row>
    <row r="20" spans="1:21" ht="12" customHeight="1">
      <c r="B20" s="98" t="s">
        <v>373</v>
      </c>
      <c r="C20" s="42" t="s">
        <v>69</v>
      </c>
      <c r="D20" s="233" t="s">
        <v>245</v>
      </c>
      <c r="E20" s="263" t="s">
        <v>245</v>
      </c>
      <c r="F20" s="264" t="s">
        <v>245</v>
      </c>
      <c r="G20" s="264" t="s">
        <v>245</v>
      </c>
      <c r="H20" s="264" t="s">
        <v>195</v>
      </c>
      <c r="I20" s="264" t="s">
        <v>195</v>
      </c>
      <c r="J20" s="227" t="s">
        <v>325</v>
      </c>
      <c r="L20" s="112" t="s">
        <v>60</v>
      </c>
      <c r="M20" s="113" t="s">
        <v>151</v>
      </c>
      <c r="N20" s="215">
        <f>N22+N21</f>
        <v>2528.1221913557624</v>
      </c>
      <c r="O20" s="215">
        <f t="shared" ref="O20:T20" si="1">O22+O21</f>
        <v>2528.1221913557624</v>
      </c>
      <c r="P20" s="215">
        <f t="shared" si="1"/>
        <v>2528.1221913557624</v>
      </c>
      <c r="Q20" s="215">
        <f>Q22+Q21</f>
        <v>2528.1221913557624</v>
      </c>
      <c r="R20" s="215">
        <f t="shared" si="1"/>
        <v>2416.879523066053</v>
      </c>
      <c r="S20" s="215">
        <f t="shared" si="1"/>
        <v>2391.5598111285803</v>
      </c>
      <c r="T20" s="216">
        <f t="shared" si="1"/>
        <v>2820.1534042437988</v>
      </c>
    </row>
    <row r="21" spans="1:21" ht="12" customHeight="1">
      <c r="B21" s="98" t="s">
        <v>176</v>
      </c>
      <c r="C21" s="42" t="s">
        <v>69</v>
      </c>
      <c r="D21" s="234" t="s">
        <v>215</v>
      </c>
      <c r="E21" s="263" t="s">
        <v>215</v>
      </c>
      <c r="F21" s="264" t="s">
        <v>215</v>
      </c>
      <c r="G21" s="264" t="s">
        <v>215</v>
      </c>
      <c r="H21" s="264" t="s">
        <v>215</v>
      </c>
      <c r="I21" s="264" t="s">
        <v>215</v>
      </c>
      <c r="J21" s="227" t="s">
        <v>215</v>
      </c>
      <c r="L21" s="114" t="s">
        <v>156</v>
      </c>
      <c r="M21" s="115" t="s">
        <v>151</v>
      </c>
      <c r="N21" s="116">
        <f>IF($D18=D18,(N24-$N24)*$D$77+$N$24*$D$76,N24*$D$76)</f>
        <v>1015.8163197040828</v>
      </c>
      <c r="O21" s="116">
        <f t="shared" ref="O21:T21" si="2">$N$24*$D$76+(O$24-$N$24)*$D$77</f>
        <v>1015.8163197040828</v>
      </c>
      <c r="P21" s="116">
        <f t="shared" si="2"/>
        <v>1015.8163197040828</v>
      </c>
      <c r="Q21" s="116">
        <f t="shared" si="2"/>
        <v>1015.8163197040828</v>
      </c>
      <c r="R21" s="116">
        <f t="shared" si="2"/>
        <v>1269.6654643909069</v>
      </c>
      <c r="S21" s="116">
        <f t="shared" si="2"/>
        <v>1244.3457524534342</v>
      </c>
      <c r="T21" s="311">
        <f t="shared" si="2"/>
        <v>1530.2124325060649</v>
      </c>
    </row>
    <row r="22" spans="1:21" ht="12" customHeight="1">
      <c r="B22" s="98" t="s">
        <v>370</v>
      </c>
      <c r="C22" s="42" t="s">
        <v>69</v>
      </c>
      <c r="D22" s="234" t="s">
        <v>29</v>
      </c>
      <c r="E22" s="263" t="s">
        <v>29</v>
      </c>
      <c r="F22" s="264" t="s">
        <v>29</v>
      </c>
      <c r="G22" s="264" t="s">
        <v>29</v>
      </c>
      <c r="H22" s="264" t="s">
        <v>29</v>
      </c>
      <c r="I22" s="264" t="s">
        <v>29</v>
      </c>
      <c r="J22" s="227" t="s">
        <v>29</v>
      </c>
      <c r="L22" s="100" t="s">
        <v>157</v>
      </c>
      <c r="M22" s="101" t="s">
        <v>151</v>
      </c>
      <c r="N22" s="167">
        <f t="shared" ref="N22:T22" si="3">N23*$N$16</f>
        <v>1512.3058716516796</v>
      </c>
      <c r="O22" s="168">
        <f t="shared" si="3"/>
        <v>1512.3058716516796</v>
      </c>
      <c r="P22" s="167">
        <f t="shared" si="3"/>
        <v>1512.3058716516796</v>
      </c>
      <c r="Q22" s="167">
        <f t="shared" si="3"/>
        <v>1512.3058716516796</v>
      </c>
      <c r="R22" s="167">
        <f t="shared" si="3"/>
        <v>1147.2140586751461</v>
      </c>
      <c r="S22" s="167">
        <f t="shared" si="3"/>
        <v>1147.2140586751461</v>
      </c>
      <c r="T22" s="169">
        <f t="shared" si="3"/>
        <v>1289.9409717377339</v>
      </c>
    </row>
    <row r="23" spans="1:21" ht="12" customHeight="1" thickBot="1">
      <c r="B23" s="106" t="s">
        <v>40</v>
      </c>
      <c r="C23" s="42" t="s">
        <v>69</v>
      </c>
      <c r="D23" s="234" t="s">
        <v>221</v>
      </c>
      <c r="E23" s="263" t="s">
        <v>221</v>
      </c>
      <c r="F23" s="264" t="s">
        <v>221</v>
      </c>
      <c r="G23" s="264" t="s">
        <v>221</v>
      </c>
      <c r="H23" s="264" t="s">
        <v>221</v>
      </c>
      <c r="I23" s="264" t="s">
        <v>221</v>
      </c>
      <c r="J23" s="227" t="s">
        <v>221</v>
      </c>
      <c r="L23" s="117" t="s">
        <v>159</v>
      </c>
      <c r="M23" s="118" t="s">
        <v>151</v>
      </c>
      <c r="N23" s="170">
        <f>N27*N8</f>
        <v>192.42501872318078</v>
      </c>
      <c r="O23" s="171">
        <f t="shared" ref="O23:T23" si="4">$N$23-($N$27-O27)*$N$9</f>
        <v>192.42501872318078</v>
      </c>
      <c r="P23" s="171">
        <f t="shared" si="4"/>
        <v>192.42501872318078</v>
      </c>
      <c r="Q23" s="171">
        <f t="shared" si="4"/>
        <v>192.42501872318078</v>
      </c>
      <c r="R23" s="171">
        <f t="shared" si="4"/>
        <v>145.97092483610078</v>
      </c>
      <c r="S23" s="171">
        <f t="shared" si="4"/>
        <v>145.97092483610078</v>
      </c>
      <c r="T23" s="503">
        <f t="shared" si="4"/>
        <v>164.13142360370455</v>
      </c>
    </row>
    <row r="24" spans="1:21" ht="12" customHeight="1" thickTop="1">
      <c r="B24" s="98" t="s">
        <v>178</v>
      </c>
      <c r="C24" s="42" t="s">
        <v>197</v>
      </c>
      <c r="D24" s="530">
        <v>15</v>
      </c>
      <c r="E24" s="263">
        <v>15</v>
      </c>
      <c r="F24" s="264">
        <v>15</v>
      </c>
      <c r="G24" s="264">
        <v>15</v>
      </c>
      <c r="H24" s="264">
        <v>15</v>
      </c>
      <c r="I24" s="264">
        <v>15</v>
      </c>
      <c r="J24" s="227">
        <v>15</v>
      </c>
      <c r="L24" s="443" t="s">
        <v>375</v>
      </c>
      <c r="M24" s="115" t="s">
        <v>151</v>
      </c>
      <c r="N24" s="116">
        <f>N25+N26</f>
        <v>640.64989368638976</v>
      </c>
      <c r="O24" s="116">
        <f t="shared" ref="O24:T24" si="5">O25+O26</f>
        <v>640.64989368638976</v>
      </c>
      <c r="P24" s="116">
        <f t="shared" si="5"/>
        <v>640.64989368638976</v>
      </c>
      <c r="Q24" s="116">
        <f t="shared" si="5"/>
        <v>640.64989368638976</v>
      </c>
      <c r="R24" s="116">
        <f t="shared" si="5"/>
        <v>821.57172118291055</v>
      </c>
      <c r="S24" s="116">
        <f t="shared" si="5"/>
        <v>803.52600918705366</v>
      </c>
      <c r="T24" s="311">
        <f t="shared" si="5"/>
        <v>1007.2671808947305</v>
      </c>
    </row>
    <row r="25" spans="1:21" ht="12" customHeight="1">
      <c r="B25" s="98" t="s">
        <v>179</v>
      </c>
      <c r="C25" s="42" t="s">
        <v>197</v>
      </c>
      <c r="D25" s="531">
        <v>15</v>
      </c>
      <c r="E25" s="407">
        <v>15</v>
      </c>
      <c r="F25" s="408">
        <v>15</v>
      </c>
      <c r="G25" s="408">
        <v>15</v>
      </c>
      <c r="H25" s="408">
        <v>15</v>
      </c>
      <c r="I25" s="408">
        <v>15</v>
      </c>
      <c r="J25" s="228">
        <v>15</v>
      </c>
      <c r="L25" s="122" t="s">
        <v>338</v>
      </c>
      <c r="M25" s="265" t="s">
        <v>151</v>
      </c>
      <c r="N25" s="524">
        <f>IF($D55="Redes",
VLOOKUP(D22,'Equipment Price'!$I$15:$P$20,MATCH(N19,'Equipment Price'!$J$14:$P$14,0)+1,FALSE)*
(MSP_A*D24+D24^MSP_B)*MSP_MM,
VLOOKUP(D22,'Equipment Price'!$I$15:$P$20,MATCH("EL "&amp;D31,'Equipment Price'!$J$14:$P$14,0)+1,FALSE)*
(MSP_A*D24+D24^MSP_B)*MSP_MM)</f>
        <v>640.64989368638976</v>
      </c>
      <c r="O25" s="524">
        <f>IF($D56="Redes",
VLOOKUP(E22,'Equipment Price'!$I$15:$P$20,MATCH(O19,'Equipment Price'!$J$14:$P$14,0)+1,FALSE)*
(MSP_A*E24+E24^MSP_B)*MSP_MM,
VLOOKUP(E22,'Equipment Price'!$I$15:$P$20,MATCH("EL "&amp;E31,'Equipment Price'!$J$14:$P$14,0)+1,FALSE)*
(MSP_A*E24+E24^MSP_B)*MSP_MM)</f>
        <v>640.64989368638976</v>
      </c>
      <c r="P25" s="525">
        <f>IF($D57="Redes",
VLOOKUP(F22,'Equipment Price'!$I$15:$P$20,MATCH(P19,'Equipment Price'!$J$14:$P$14,0)+1,FALSE)*
(MSP_A*F24+F24^MSP_B)*MSP_MM,
VLOOKUP(F22,'Equipment Price'!$I$15:$P$20,MATCH("EL "&amp;F31,'Equipment Price'!$J$14:$P$14,0)+1,FALSE)*
(MSP_A*F24+F24^MSP_B)*MSP_MM)</f>
        <v>640.64989368638976</v>
      </c>
      <c r="Q25" s="524">
        <f>IF($D58="Redes",
VLOOKUP(G22,'Equipment Price'!$I$15:$P$20,MATCH(Q19,'Equipment Price'!$J$14:$P$14,0)+1,FALSE)*
(MSP_A*G24+G24^MSP_B)*MSP_MM,
VLOOKUP(G22,'Equipment Price'!$I$15:$P$20,MATCH("EL "&amp;G31,'Equipment Price'!$J$14:$P$14,0)+1,FALSE)*
(MSP_A*G24+G24^MSP_B)*MSP_MM)</f>
        <v>640.64989368638976</v>
      </c>
      <c r="R25" s="524">
        <f>IF($D59="Redes",
VLOOKUP(H22,'Equipment Price'!$I$15:$P$20,MATCH(R19,'Equipment Price'!$J$14:$P$14,0)+1,FALSE)*
(MSP_A*H24+H24^MSP_B)*MSP_MM,
VLOOKUP(H22,'Equipment Price'!$I$15:$P$20,MATCH("EL "&amp;H31,'Equipment Price'!$J$14:$P$14,0)+1,FALSE)*
(MSP_A*H24+H24^MSP_B)*MSP_MM)</f>
        <v>646.13566975856781</v>
      </c>
      <c r="S25" s="525">
        <f>IF($D60="Redes",
VLOOKUP(I22,'Equipment Price'!$I$15:$P$20,MATCH(S19,'Equipment Price'!$J$14:$P$14,0)+1,FALSE)*
(MSP_A*I24+I24^MSP_B)*MSP_MM,
VLOOKUP(I22,'Equipment Price'!$I$15:$P$20,MATCH("EL "&amp;I31,'Equipment Price'!$J$14:$P$14,0)+1,FALSE)*
(MSP_A*I24+I24^MSP_B)*MSP_MM)</f>
        <v>646.13566975856781</v>
      </c>
      <c r="T25" s="526">
        <f>IF($D61="Redes",
VLOOKUP(J22,'Equipment Price'!$I$15:$P$20,MATCH(T19,'Equipment Price'!$J$14:$P$14,0)+1,FALSE)*
(MSP_A*J24+J24^MSP_B)*MSP_MM,
VLOOKUP(J22,'Equipment Price'!$I$15:$P$20,MATCH("EL "&amp;J31,'Equipment Price'!$J$14:$P$14,0)+1,FALSE)*
(MSP_A*J24+J24^MSP_B)*MSP_MM)</f>
        <v>753.90030098185878</v>
      </c>
    </row>
    <row r="26" spans="1:21" ht="12" customHeight="1" thickBot="1">
      <c r="B26" s="98" t="s">
        <v>180</v>
      </c>
      <c r="C26" s="42" t="s">
        <v>198</v>
      </c>
      <c r="D26" s="235">
        <v>3000</v>
      </c>
      <c r="E26" s="322">
        <v>3000</v>
      </c>
      <c r="F26" s="323">
        <v>3000</v>
      </c>
      <c r="G26" s="323">
        <v>3000</v>
      </c>
      <c r="H26" s="323">
        <v>3600</v>
      </c>
      <c r="I26" s="323">
        <v>3600</v>
      </c>
      <c r="J26" s="324">
        <v>3000</v>
      </c>
      <c r="L26" s="96" t="s">
        <v>374</v>
      </c>
      <c r="M26" s="444" t="s">
        <v>151</v>
      </c>
      <c r="N26" s="527">
        <v>0</v>
      </c>
      <c r="O26" s="527">
        <f>IF(D78&lt;&gt;0,O25*(D78-1),0)</f>
        <v>0</v>
      </c>
      <c r="P26" s="528">
        <f>IF(D79&lt;&gt;0,P25*(D79-1),0)</f>
        <v>0</v>
      </c>
      <c r="Q26" s="527">
        <f>IF(D80&lt;&gt;0,Q25*(D80-1),0)</f>
        <v>0</v>
      </c>
      <c r="R26" s="527">
        <f>IF(D81&lt;&gt;0,R25*(D81-1),0)</f>
        <v>175.43605142434274</v>
      </c>
      <c r="S26" s="528">
        <f>IF(D82&lt;&gt;0,S25*(D82-1),0)</f>
        <v>157.39033942848582</v>
      </c>
      <c r="T26" s="529">
        <f>IF(D83&lt;&gt;0,T25*(D83-1),0)</f>
        <v>253.36687991287175</v>
      </c>
    </row>
    <row r="27" spans="1:21" ht="12" customHeight="1" thickTop="1">
      <c r="B27" s="98" t="s">
        <v>369</v>
      </c>
      <c r="C27" s="42" t="s">
        <v>199</v>
      </c>
      <c r="D27" s="409">
        <v>0.96698737167500004</v>
      </c>
      <c r="E27" s="263">
        <v>0.96698737167500004</v>
      </c>
      <c r="F27" s="264">
        <v>0.96698737167500004</v>
      </c>
      <c r="G27" s="264">
        <v>0.96698737167500004</v>
      </c>
      <c r="H27" s="264">
        <v>0.974276972139</v>
      </c>
      <c r="I27" s="264">
        <v>0.974276972139</v>
      </c>
      <c r="J27" s="227">
        <v>0.96698737167500004</v>
      </c>
      <c r="K27" s="87" t="s">
        <v>230</v>
      </c>
      <c r="L27" s="119" t="s">
        <v>150</v>
      </c>
      <c r="M27" s="120" t="s">
        <v>155</v>
      </c>
      <c r="N27" s="511">
        <f t="shared" ref="N27:T27" si="6">(($L$10^3*$N$10+$L$11^3*$N$11+$L$12^3*$N$12+$L$13^3*$N$13)*N31+N33+N35)*$L$74*$N$14</f>
        <v>1469.292790588672</v>
      </c>
      <c r="O27" s="511">
        <f t="shared" si="6"/>
        <v>1469.292790588672</v>
      </c>
      <c r="P27" s="511">
        <f t="shared" si="6"/>
        <v>1469.292790588672</v>
      </c>
      <c r="Q27" s="511">
        <f t="shared" si="6"/>
        <v>1469.292790588672</v>
      </c>
      <c r="R27" s="511">
        <f t="shared" si="6"/>
        <v>1053.1931938800603</v>
      </c>
      <c r="S27" s="511">
        <f t="shared" si="6"/>
        <v>1053.1931938800603</v>
      </c>
      <c r="T27" s="535">
        <f t="shared" si="6"/>
        <v>1215.8607992712148</v>
      </c>
    </row>
    <row r="28" spans="1:21" ht="12" customHeight="1">
      <c r="B28" s="98" t="s">
        <v>181</v>
      </c>
      <c r="C28" s="42" t="s">
        <v>158</v>
      </c>
      <c r="D28" s="236">
        <v>1.04</v>
      </c>
      <c r="E28" s="325">
        <v>1.04</v>
      </c>
      <c r="F28" s="326">
        <v>1.04</v>
      </c>
      <c r="G28" s="326">
        <v>1.04</v>
      </c>
      <c r="H28" s="326">
        <v>1.1499999999999999</v>
      </c>
      <c r="I28" s="326">
        <v>1.1499999999999999</v>
      </c>
      <c r="J28" s="229">
        <v>1.04</v>
      </c>
      <c r="L28" s="122" t="s">
        <v>460</v>
      </c>
      <c r="M28" s="123" t="s">
        <v>147</v>
      </c>
      <c r="N28" s="506">
        <f>D26</f>
        <v>3000</v>
      </c>
      <c r="O28" s="507">
        <f t="shared" ref="O28:T28" si="7">$N$28</f>
        <v>3000</v>
      </c>
      <c r="P28" s="506">
        <f t="shared" si="7"/>
        <v>3000</v>
      </c>
      <c r="Q28" s="506">
        <f t="shared" si="7"/>
        <v>3000</v>
      </c>
      <c r="R28" s="506">
        <f t="shared" si="7"/>
        <v>3000</v>
      </c>
      <c r="S28" s="506">
        <f t="shared" si="7"/>
        <v>3000</v>
      </c>
      <c r="T28" s="508">
        <f t="shared" si="7"/>
        <v>3000</v>
      </c>
    </row>
    <row r="29" spans="1:21" ht="12" customHeight="1">
      <c r="B29" s="98" t="s">
        <v>247</v>
      </c>
      <c r="C29" s="42" t="s">
        <v>151</v>
      </c>
      <c r="D29" s="235">
        <v>1015.82</v>
      </c>
      <c r="E29" s="322">
        <v>1015.82</v>
      </c>
      <c r="F29" s="323">
        <v>1015.82</v>
      </c>
      <c r="G29" s="323">
        <v>1015.82</v>
      </c>
      <c r="H29" s="323">
        <v>1269.67</v>
      </c>
      <c r="I29" s="323">
        <v>1244.3499999999999</v>
      </c>
      <c r="J29" s="324">
        <v>1530.21</v>
      </c>
      <c r="K29" s="87" t="s">
        <v>230</v>
      </c>
      <c r="L29" s="96" t="s">
        <v>461</v>
      </c>
      <c r="M29" s="97" t="s">
        <v>148</v>
      </c>
      <c r="N29" s="125">
        <f>D27</f>
        <v>0.96698737167500004</v>
      </c>
      <c r="O29" s="125">
        <f t="shared" ref="O29:T29" si="8">E27*($D$26/E26)^2</f>
        <v>0.96698737167500004</v>
      </c>
      <c r="P29" s="125">
        <f t="shared" si="8"/>
        <v>0.96698737167500004</v>
      </c>
      <c r="Q29" s="125">
        <f t="shared" si="8"/>
        <v>0.96698737167500004</v>
      </c>
      <c r="R29" s="125">
        <f t="shared" si="8"/>
        <v>0.67658123065208342</v>
      </c>
      <c r="S29" s="125">
        <f t="shared" si="8"/>
        <v>0.67658123065208342</v>
      </c>
      <c r="T29" s="126">
        <f t="shared" si="8"/>
        <v>0.96698737167500004</v>
      </c>
    </row>
    <row r="30" spans="1:21" ht="12" customHeight="1">
      <c r="A30" s="105"/>
      <c r="B30" s="98" t="s">
        <v>248</v>
      </c>
      <c r="C30" s="42" t="s">
        <v>151</v>
      </c>
      <c r="D30" s="235">
        <v>0</v>
      </c>
      <c r="E30" s="263">
        <v>0</v>
      </c>
      <c r="F30" s="264">
        <v>0</v>
      </c>
      <c r="G30" s="264">
        <v>0</v>
      </c>
      <c r="H30" s="264">
        <v>175.43605142353692</v>
      </c>
      <c r="I30" s="264">
        <v>157.39033942776291</v>
      </c>
      <c r="J30" s="229">
        <v>253.36687991216306</v>
      </c>
      <c r="L30" s="100" t="s">
        <v>459</v>
      </c>
      <c r="M30" s="101" t="s">
        <v>154</v>
      </c>
      <c r="N30" s="127">
        <f t="shared" ref="N30:T30" si="9">(N31/N34+N35)*$L$74</f>
        <v>0.99953176798417986</v>
      </c>
      <c r="O30" s="127">
        <f t="shared" si="9"/>
        <v>0.99953176798417986</v>
      </c>
      <c r="P30" s="127">
        <f t="shared" si="9"/>
        <v>0.99953176798417986</v>
      </c>
      <c r="Q30" s="127">
        <f t="shared" si="9"/>
        <v>0.99953176798417986</v>
      </c>
      <c r="R30" s="127">
        <f t="shared" si="9"/>
        <v>0.67312453897558844</v>
      </c>
      <c r="S30" s="127">
        <f t="shared" si="9"/>
        <v>0.67312453897558844</v>
      </c>
      <c r="T30" s="128">
        <f t="shared" si="9"/>
        <v>0.80209486381424822</v>
      </c>
    </row>
    <row r="31" spans="1:21" ht="12" customHeight="1" thickBot="1">
      <c r="B31" s="98" t="s">
        <v>564</v>
      </c>
      <c r="C31" s="42" t="s">
        <v>69</v>
      </c>
      <c r="D31" s="235">
        <v>3</v>
      </c>
      <c r="E31" s="532">
        <v>3</v>
      </c>
      <c r="F31" s="533">
        <v>3</v>
      </c>
      <c r="G31" s="533">
        <v>3</v>
      </c>
      <c r="H31" s="533">
        <v>4</v>
      </c>
      <c r="I31" s="533">
        <v>4</v>
      </c>
      <c r="J31" s="534">
        <v>3</v>
      </c>
      <c r="L31" s="100" t="s">
        <v>458</v>
      </c>
      <c r="M31" s="101" t="s">
        <v>158</v>
      </c>
      <c r="N31" s="127">
        <f>D28</f>
        <v>1.04</v>
      </c>
      <c r="O31" s="127">
        <f t="shared" ref="O31:T31" si="10">IF(E20="keep",$N$31,IF(E20="Resel",E28*($D$26/E26)^3,($D$26+250)*($D$27+0.4)/(N68*6343)))</f>
        <v>1.04</v>
      </c>
      <c r="P31" s="127">
        <f t="shared" si="10"/>
        <v>1.04</v>
      </c>
      <c r="Q31" s="127">
        <f t="shared" si="10"/>
        <v>1.04</v>
      </c>
      <c r="R31" s="127">
        <f t="shared" si="10"/>
        <v>0.6655092592592593</v>
      </c>
      <c r="S31" s="127">
        <f t="shared" si="10"/>
        <v>0.6655092592592593</v>
      </c>
      <c r="T31" s="128">
        <f t="shared" si="10"/>
        <v>0.8144317592262027</v>
      </c>
    </row>
    <row r="32" spans="1:21" ht="12" customHeight="1" thickBot="1">
      <c r="A32" s="105"/>
      <c r="B32" s="98" t="s">
        <v>182</v>
      </c>
      <c r="C32" s="42" t="s">
        <v>158</v>
      </c>
      <c r="D32" s="229">
        <v>1.5</v>
      </c>
      <c r="E32" s="130"/>
      <c r="L32" s="100" t="s">
        <v>457</v>
      </c>
      <c r="M32" s="101" t="s">
        <v>200</v>
      </c>
      <c r="N32" s="509">
        <f t="shared" ref="N32:T32" si="11">N29*N28/N31/6343</f>
        <v>0.43975826092740028</v>
      </c>
      <c r="O32" s="509">
        <f t="shared" si="11"/>
        <v>0.43975826092740028</v>
      </c>
      <c r="P32" s="509">
        <f>P29*P28/P31/6343</f>
        <v>0.43975826092740028</v>
      </c>
      <c r="Q32" s="509">
        <f>Q29*Q28/Q31/6343</f>
        <v>0.43975826092740028</v>
      </c>
      <c r="R32" s="509">
        <f t="shared" si="11"/>
        <v>0.48083091935655198</v>
      </c>
      <c r="S32" s="509">
        <f t="shared" si="11"/>
        <v>0.48083091935655198</v>
      </c>
      <c r="T32" s="510">
        <f t="shared" si="11"/>
        <v>0.56155544793467582</v>
      </c>
    </row>
    <row r="33" spans="1:20" ht="12" customHeight="1" thickBot="1">
      <c r="B33" s="162" t="s">
        <v>0</v>
      </c>
      <c r="C33" s="251" t="s">
        <v>69</v>
      </c>
      <c r="D33" s="252" t="s">
        <v>21</v>
      </c>
      <c r="E33" s="130"/>
      <c r="F33" s="622" t="s">
        <v>226</v>
      </c>
      <c r="G33" s="620"/>
      <c r="H33" s="620"/>
      <c r="I33" s="620"/>
      <c r="J33" s="621"/>
      <c r="L33" s="100" t="s">
        <v>455</v>
      </c>
      <c r="M33" s="101"/>
      <c r="N33" s="127">
        <f t="shared" ref="N33:T33" si="12">N31*(1/N34-1)</f>
        <v>0.10451208684986817</v>
      </c>
      <c r="O33" s="127">
        <f t="shared" si="12"/>
        <v>0.10451208684986817</v>
      </c>
      <c r="P33" s="127">
        <f t="shared" si="12"/>
        <v>0.10451208684986817</v>
      </c>
      <c r="Q33" s="127">
        <f t="shared" si="12"/>
        <v>0.10451208684986817</v>
      </c>
      <c r="R33" s="127">
        <f t="shared" si="12"/>
        <v>7.8173883626869431E-2</v>
      </c>
      <c r="S33" s="127">
        <f t="shared" si="12"/>
        <v>7.8173883626869431E-2</v>
      </c>
      <c r="T33" s="128">
        <f t="shared" si="12"/>
        <v>8.9099200907650278E-2</v>
      </c>
    </row>
    <row r="34" spans="1:20" ht="12" customHeight="1">
      <c r="A34" s="105"/>
      <c r="B34" s="246" t="s">
        <v>5</v>
      </c>
      <c r="C34" s="247" t="s">
        <v>69</v>
      </c>
      <c r="D34" s="248" t="s">
        <v>13</v>
      </c>
      <c r="E34" s="130"/>
      <c r="F34" s="132"/>
      <c r="G34" s="83"/>
      <c r="H34" s="133"/>
      <c r="I34" s="83"/>
      <c r="J34" s="134"/>
      <c r="L34" s="100" t="s">
        <v>456</v>
      </c>
      <c r="M34" s="101" t="s">
        <v>200</v>
      </c>
      <c r="N34" s="509">
        <f>IF(D20="Redes",'Default Losses '!$Z$6*(1-EXP(-1*('Default Losses '!$Z$7*N31)^'Default Losses '!$Z$8)),IF($N$4="Belt Drive",'Default Losses '!$Z$6*(1-EXP(-1*('Default Losses '!$Z$7*N31)^'Default Losses '!$Z$8)),1))</f>
        <v>0.90868415628748389</v>
      </c>
      <c r="O34" s="509">
        <f>IF(E20="Redes",'Default Losses '!$Z$6*(1-EXP(-1*('Default Losses '!$Z$7*O31)^'Default Losses '!$Z$8)),IF($N$4="Belt Drive",'Default Losses '!$Z$6*(1-EXP(-1*('Default Losses '!$Z$7*O31)^'Default Losses '!$Z$8)),1))</f>
        <v>0.90868415628748389</v>
      </c>
      <c r="P34" s="509">
        <f>IF(F20="Redes",'Default Losses '!$Z$6*(1-EXP(-1*('Default Losses '!$Z$7*P31)^'Default Losses '!$Z$8)),IF($N$4="Belt Drive",'Default Losses '!$Z$6*(1-EXP(-1*('Default Losses '!$Z$7*P31)^'Default Losses '!$Z$8)),1))</f>
        <v>0.90868415628748389</v>
      </c>
      <c r="Q34" s="509">
        <f>IF(G20="Redes",'Default Losses '!$Z$6*(1-EXP(-1*('Default Losses '!$Z$7*Q31)^'Default Losses '!$Z$8)),IF($N$4="Belt Drive",'Default Losses '!$Z$6*(1-EXP(-1*('Default Losses '!$Z$7*Q31)^'Default Losses '!$Z$8)),1))</f>
        <v>0.90868415628748389</v>
      </c>
      <c r="R34" s="509">
        <f>IF(H20="Redes",'Default Losses '!$Z$6*(1-EXP(-1*('Default Losses '!$Z$7*R31)^'Default Losses '!$Z$8)),IF($N$4="Belt Drive",'Default Losses '!$Z$6*(1-EXP(-1*('Default Losses '!$Z$7*R31)^'Default Losses '!$Z$8)),1))</f>
        <v>0.89488280812243814</v>
      </c>
      <c r="S34" s="509">
        <f>IF(I20="Redes",'Default Losses '!$Z$6*(1-EXP(-1*('Default Losses '!$Z$7*S31)^'Default Losses '!$Z$8)),IF($N$4="Belt Drive",'Default Losses '!$Z$6*(1-EXP(-1*('Default Losses '!$Z$7*S31)^'Default Losses '!$Z$8)),1))</f>
        <v>0.89488280812243814</v>
      </c>
      <c r="T34" s="510">
        <f>IF(J20="Redes",'Default Losses '!$Z$6*(1-EXP(-1*('Default Losses '!$Z$7*T31)^'Default Losses '!$Z$8)),IF($N$4="Belt Drive",'Default Losses '!$Z$6*(1-EXP(-1*('Default Losses '!$Z$7*T31)^'Default Losses '!$Z$8)),1))</f>
        <v>0.90138777215287591</v>
      </c>
    </row>
    <row r="35" spans="1:20" ht="12" customHeight="1">
      <c r="B35" s="98" t="s">
        <v>6</v>
      </c>
      <c r="C35" s="42" t="s">
        <v>69</v>
      </c>
      <c r="D35" s="229" t="s">
        <v>13</v>
      </c>
      <c r="E35" s="130"/>
      <c r="F35" s="132"/>
      <c r="G35" s="83"/>
      <c r="H35" s="83"/>
      <c r="I35" s="83"/>
      <c r="J35" s="134"/>
      <c r="L35" s="100" t="s">
        <v>210</v>
      </c>
      <c r="M35" s="101" t="s">
        <v>158</v>
      </c>
      <c r="N35" s="127">
        <f>IF(N36&gt;N31/N34,('Default Losses '!$T$7*(N31/N34/N36)^3+'Default Losses '!$U$7*(N31/N34/N36)^2+'Default Losses '!$V$7*(N31/N34/N36)+'Default Losses '!$W$7)*N37,N37)</f>
        <v>0.1953428300190056</v>
      </c>
      <c r="O35" s="127">
        <f>IF(O36&gt;O31/O34,('Default Losses '!$T$7*(O31/O34/O36)^3+'Default Losses '!$U$7*(O31/O34/O36)^2+'Default Losses '!$V$7*(O31/O34/O36)+'Default Losses '!$W$7)*O37,O37)</f>
        <v>0.1953428300190056</v>
      </c>
      <c r="P35" s="127">
        <f>IF(P36&gt;P31/P34,('Default Losses '!$T$7*(P31/P34/P36)^3+'Default Losses '!$U$7*(P31/P34/P36)^2+'Default Losses '!$V$7*(P31/P34/P36)+'Default Losses '!$W$7)*P37,P37)</f>
        <v>0.1953428300190056</v>
      </c>
      <c r="Q35" s="127">
        <f>IF(Q36&gt;Q31/Q34,('Default Losses '!$T$7*(Q31/Q34/Q36)^3+'Default Losses '!$U$7*(Q31/Q34/Q36)^2+'Default Losses '!$V$7*(Q31/Q34/Q36)+'Default Losses '!$W$7)*Q37,Q37)</f>
        <v>0.1953428300190056</v>
      </c>
      <c r="R35" s="127">
        <f>IF(R36&gt;R31/R34,('Default Losses '!$T$7*(R31/R34/R36)^3+'Default Losses '!$U$7*(R31/R34/R36)^2+'Default Losses '!$V$7*(R31/R34/R36)+'Default Losses '!$W$7)*R37,R37)</f>
        <v>0.15862857155835972</v>
      </c>
      <c r="S35" s="127">
        <f>IF(S36&gt;S31/S34,('Default Losses '!$T$7*(S31/S34/S36)^3+'Default Losses '!$U$7*(S31/S34/S36)^2+'Default Losses '!$V$7*(S31/S34/S36)+'Default Losses '!$W$7)*S37,S37)</f>
        <v>0.15862857155835972</v>
      </c>
      <c r="T35" s="128">
        <f>IF(T36&gt;T31/T34,('Default Losses '!$T$7*(T31/T34/T36)^3+'Default Losses '!$U$7*(T31/T34/T36)^2+'Default Losses '!$V$7*(T31/T34/T36)+'Default Losses '!$W$7)*T37,T37)</f>
        <v>0.17166322728471026</v>
      </c>
    </row>
    <row r="36" spans="1:20" ht="12" customHeight="1">
      <c r="B36" s="98" t="s">
        <v>7</v>
      </c>
      <c r="C36" s="42" t="s">
        <v>69</v>
      </c>
      <c r="D36" s="229" t="s">
        <v>13</v>
      </c>
      <c r="E36" s="130"/>
      <c r="F36" s="132"/>
      <c r="G36" s="83"/>
      <c r="H36" s="83"/>
      <c r="I36" s="83"/>
      <c r="J36" s="134"/>
      <c r="K36" s="87" t="s">
        <v>230</v>
      </c>
      <c r="L36" s="100" t="s">
        <v>208</v>
      </c>
      <c r="M36" s="101" t="s">
        <v>158</v>
      </c>
      <c r="N36" s="127">
        <f>INDEX('Default Losses '!$B$7:$B$26,MATCH(N31*1.2,'Default Losses '!$B$7:$B$26,1)+1)</f>
        <v>1.5</v>
      </c>
      <c r="O36" s="127">
        <f>N36</f>
        <v>1.5</v>
      </c>
      <c r="P36" s="127">
        <f>N36</f>
        <v>1.5</v>
      </c>
      <c r="Q36" s="127">
        <f>N36</f>
        <v>1.5</v>
      </c>
      <c r="R36" s="127">
        <f>N36</f>
        <v>1.5</v>
      </c>
      <c r="S36" s="127">
        <f>N36</f>
        <v>1.5</v>
      </c>
      <c r="T36" s="128">
        <f>N36</f>
        <v>1.5</v>
      </c>
    </row>
    <row r="37" spans="1:20" ht="12" customHeight="1" thickBot="1">
      <c r="A37" s="124"/>
      <c r="B37" s="98" t="s">
        <v>8</v>
      </c>
      <c r="C37" s="42" t="s">
        <v>69</v>
      </c>
      <c r="D37" s="229" t="s">
        <v>13</v>
      </c>
      <c r="E37" s="130"/>
      <c r="F37" s="136"/>
      <c r="G37" s="83"/>
      <c r="H37" s="80"/>
      <c r="I37" s="137"/>
      <c r="J37" s="138"/>
      <c r="K37" s="87" t="s">
        <v>230</v>
      </c>
      <c r="L37" s="117" t="s">
        <v>209</v>
      </c>
      <c r="M37" s="118" t="s">
        <v>158</v>
      </c>
      <c r="N37" s="139">
        <f>LOOKUP(N36,'Default Losses '!$B$7:$B$26,'Default Losses '!$S$7:$S$26)</f>
        <v>0.2341040462427747</v>
      </c>
      <c r="O37" s="218">
        <f>LOOKUP(O36,'Default Losses '!$B$7:$B$26,'Default Losses '!$S$7:$S$26)</f>
        <v>0.2341040462427747</v>
      </c>
      <c r="P37" s="139">
        <f>LOOKUP(P36,'Default Losses '!$B$7:$B$26,'Default Losses '!$S$7:$S$26)</f>
        <v>0.2341040462427747</v>
      </c>
      <c r="Q37" s="139">
        <f>LOOKUP(Q36,'Default Losses '!$B$7:$B$26,'Default Losses '!$S$7:$S$26)</f>
        <v>0.2341040462427747</v>
      </c>
      <c r="R37" s="139">
        <f>LOOKUP(R36,'Default Losses '!$B$7:$B$26,'Default Losses '!$S$7:$S$26)</f>
        <v>0.2341040462427747</v>
      </c>
      <c r="S37" s="139">
        <f>LOOKUP(S36,'Default Losses '!$B$7:$B$26,'Default Losses '!$S$7:$S$26)</f>
        <v>0.2341040462427747</v>
      </c>
      <c r="T37" s="140">
        <f>LOOKUP(T36,'Default Losses '!$B$7:$B$26,'Default Losses '!$S$7:$S$26)</f>
        <v>0.2341040462427747</v>
      </c>
    </row>
    <row r="38" spans="1:20" ht="12" customHeight="1" thickTop="1">
      <c r="B38" s="98" t="s">
        <v>9</v>
      </c>
      <c r="C38" s="42" t="s">
        <v>69</v>
      </c>
      <c r="D38" s="228" t="s">
        <v>19</v>
      </c>
      <c r="E38" s="130"/>
      <c r="F38" s="132"/>
      <c r="G38" s="83"/>
      <c r="H38" s="137"/>
      <c r="I38" s="137"/>
      <c r="J38" s="141"/>
      <c r="L38" s="142" t="s">
        <v>206</v>
      </c>
      <c r="M38" s="97"/>
      <c r="N38" s="125">
        <f t="shared" ref="N38:T38" si="13">$Q$40/N39</f>
        <v>1.0186715109698261</v>
      </c>
      <c r="O38" s="125">
        <f t="shared" si="13"/>
        <v>1.0186715109698261</v>
      </c>
      <c r="P38" s="125">
        <f t="shared" si="13"/>
        <v>1.0186715109698261</v>
      </c>
      <c r="Q38" s="125">
        <f t="shared" si="13"/>
        <v>1.0186715109698261</v>
      </c>
      <c r="R38" s="125">
        <f t="shared" si="13"/>
        <v>1.5126391587273749</v>
      </c>
      <c r="S38" s="125">
        <f t="shared" si="13"/>
        <v>1.5126391587273749</v>
      </c>
      <c r="T38" s="125">
        <f t="shared" si="13"/>
        <v>1.2694190952837008</v>
      </c>
    </row>
    <row r="39" spans="1:20" ht="12" customHeight="1">
      <c r="A39" s="105"/>
      <c r="B39" s="98" t="s">
        <v>10</v>
      </c>
      <c r="C39" s="42" t="s">
        <v>69</v>
      </c>
      <c r="D39" s="228" t="s">
        <v>19</v>
      </c>
      <c r="E39" s="130"/>
      <c r="F39" s="132"/>
      <c r="G39" s="83"/>
      <c r="H39" s="137"/>
      <c r="I39" s="137"/>
      <c r="J39" s="141"/>
      <c r="K39" s="87" t="s">
        <v>230</v>
      </c>
      <c r="L39" s="122" t="s">
        <v>465</v>
      </c>
      <c r="M39" s="123" t="s">
        <v>154</v>
      </c>
      <c r="N39" s="143">
        <f t="shared" ref="N39:T39" si="14">((N31/N34)+N35)*$L$74</f>
        <v>0.99953176798417986</v>
      </c>
      <c r="O39" s="143">
        <f t="shared" si="14"/>
        <v>0.99953176798417986</v>
      </c>
      <c r="P39" s="143">
        <f t="shared" si="14"/>
        <v>0.99953176798417986</v>
      </c>
      <c r="Q39" s="143">
        <f t="shared" si="14"/>
        <v>0.99953176798417986</v>
      </c>
      <c r="R39" s="143">
        <f t="shared" si="14"/>
        <v>0.67312453897558844</v>
      </c>
      <c r="S39" s="143">
        <f t="shared" si="14"/>
        <v>0.67312453897558844</v>
      </c>
      <c r="T39" s="505">
        <f t="shared" si="14"/>
        <v>0.80209486381424822</v>
      </c>
    </row>
    <row r="40" spans="1:20" ht="12" customHeight="1">
      <c r="A40" s="105"/>
      <c r="B40" s="98" t="s">
        <v>11</v>
      </c>
      <c r="C40" s="42" t="s">
        <v>69</v>
      </c>
      <c r="D40" s="227" t="s">
        <v>19</v>
      </c>
      <c r="E40" s="130"/>
      <c r="F40" s="132"/>
      <c r="G40" s="83"/>
      <c r="H40" s="137"/>
      <c r="I40" s="137"/>
      <c r="J40" s="141"/>
      <c r="L40" s="96" t="s">
        <v>466</v>
      </c>
      <c r="M40" s="97" t="s">
        <v>154</v>
      </c>
      <c r="N40" s="127">
        <f t="shared" ref="N40:T40" si="15">((N41/N43)+N44)*$L$74</f>
        <v>1.2257298128986791</v>
      </c>
      <c r="O40" s="127">
        <f t="shared" si="15"/>
        <v>1.1470178799626072</v>
      </c>
      <c r="P40" s="127">
        <f t="shared" si="15"/>
        <v>1.078431487965186</v>
      </c>
      <c r="Q40" s="127">
        <f t="shared" si="15"/>
        <v>1.0181945363547862</v>
      </c>
      <c r="R40" s="127">
        <f t="shared" si="15"/>
        <v>0.7791234636840646</v>
      </c>
      <c r="S40" s="127">
        <f t="shared" si="15"/>
        <v>0.74216019656930399</v>
      </c>
      <c r="T40" s="128">
        <f t="shared" si="15"/>
        <v>0.80209486381424822</v>
      </c>
    </row>
    <row r="41" spans="1:20" ht="12" customHeight="1">
      <c r="A41" s="105"/>
      <c r="B41" s="98" t="s">
        <v>350</v>
      </c>
      <c r="C41" s="42" t="s">
        <v>158</v>
      </c>
      <c r="D41" s="261">
        <v>1.64306945429</v>
      </c>
      <c r="E41" s="130"/>
      <c r="F41" s="132"/>
      <c r="G41" s="83"/>
      <c r="H41" s="83"/>
      <c r="I41" s="83"/>
      <c r="J41" s="134"/>
      <c r="L41" s="100" t="s">
        <v>207</v>
      </c>
      <c r="M41" s="101" t="s">
        <v>158</v>
      </c>
      <c r="N41" s="127">
        <f t="shared" ref="N41:T41" si="16">(N28+250)*(N29+0.4)/(6343*M68)</f>
        <v>1.2970579869158041</v>
      </c>
      <c r="O41" s="127">
        <f t="shared" si="16"/>
        <v>1.2076057119560937</v>
      </c>
      <c r="P41" s="127">
        <f t="shared" si="16"/>
        <v>1.1296956660234423</v>
      </c>
      <c r="Q41" s="127">
        <f t="shared" si="16"/>
        <v>1.0612292620220216</v>
      </c>
      <c r="R41" s="127">
        <f t="shared" si="16"/>
        <v>0.78802031477202572</v>
      </c>
      <c r="S41" s="127">
        <f t="shared" si="16"/>
        <v>0.74542462208164595</v>
      </c>
      <c r="T41" s="128">
        <f t="shared" si="16"/>
        <v>0.8144317592262027</v>
      </c>
    </row>
    <row r="42" spans="1:20" ht="12" customHeight="1">
      <c r="A42" s="105"/>
      <c r="B42" s="98" t="s">
        <v>351</v>
      </c>
      <c r="C42" s="42" t="s">
        <v>158</v>
      </c>
      <c r="D42" s="261">
        <v>1.53755747984</v>
      </c>
      <c r="E42" s="130"/>
      <c r="F42" s="132"/>
      <c r="G42" s="83"/>
      <c r="H42" s="83"/>
      <c r="I42" s="83"/>
      <c r="J42" s="134"/>
      <c r="L42" s="100" t="s">
        <v>455</v>
      </c>
      <c r="M42" s="101"/>
      <c r="N42" s="127">
        <f>N41*(1/N43-1)</f>
        <v>0.12089760390046553</v>
      </c>
      <c r="O42" s="127">
        <f t="shared" ref="O42:T42" si="17">O41*(1/O43-1)</f>
        <v>0.1153124513060501</v>
      </c>
      <c r="P42" s="127">
        <f t="shared" si="17"/>
        <v>0.11035062343753684</v>
      </c>
      <c r="Q42" s="127">
        <f t="shared" si="17"/>
        <v>0.10590701943118618</v>
      </c>
      <c r="R42" s="127">
        <f t="shared" si="17"/>
        <v>8.7212088546021971E-2</v>
      </c>
      <c r="S42" s="127">
        <f t="shared" si="17"/>
        <v>8.4125224943897042E-2</v>
      </c>
      <c r="T42" s="128">
        <f t="shared" si="17"/>
        <v>8.9099200907650278E-2</v>
      </c>
    </row>
    <row r="43" spans="1:20" ht="12" customHeight="1">
      <c r="A43" s="105"/>
      <c r="B43" s="98" t="s">
        <v>352</v>
      </c>
      <c r="C43" s="42" t="s">
        <v>158</v>
      </c>
      <c r="D43" s="261">
        <v>1.44561861658</v>
      </c>
      <c r="E43" s="129"/>
      <c r="F43" s="132"/>
      <c r="G43" s="83"/>
      <c r="H43" s="83"/>
      <c r="I43" s="83"/>
      <c r="J43" s="134"/>
      <c r="L43" s="100" t="s">
        <v>467</v>
      </c>
      <c r="M43" s="97" t="s">
        <v>200</v>
      </c>
      <c r="N43" s="144">
        <f>'Default Losses '!$Z$6*(1-EXP(-1*('Default Losses '!$Z$7*N41)^'Default Losses '!$Z$8))</f>
        <v>0.91473808863726902</v>
      </c>
      <c r="O43" s="144">
        <f>'Default Losses '!$Z$6*(1-EXP(-1*('Default Losses '!$Z$7*O41)^'Default Losses '!$Z$8))</f>
        <v>0.91283478108600102</v>
      </c>
      <c r="P43" s="144">
        <f>'Default Losses '!$Z$6*(1-EXP(-1*('Default Losses '!$Z$7*P41)^'Default Losses '!$Z$8))</f>
        <v>0.91101088372636163</v>
      </c>
      <c r="Q43" s="144">
        <f>'Default Losses '!$Z$6*(1-EXP(-1*('Default Losses '!$Z$7*Q41)^'Default Losses '!$Z$8))</f>
        <v>0.90925908043975745</v>
      </c>
      <c r="R43" s="144">
        <f>'Default Losses '!$Z$6*(1-EXP(-1*('Default Losses '!$Z$7*R41)^'Default Losses '!$Z$8))</f>
        <v>0.90035550761672356</v>
      </c>
      <c r="S43" s="144">
        <f>'Default Losses '!$Z$6*(1-EXP(-1*('Default Losses '!$Z$7*S41)^'Default Losses '!$Z$8))</f>
        <v>0.89858930690477634</v>
      </c>
      <c r="T43" s="410">
        <f>'Default Losses '!$Z$6*(1-EXP(-1*('Default Losses '!$Z$7*T41)^'Default Losses '!$Z$8))</f>
        <v>0.90138777215287591</v>
      </c>
    </row>
    <row r="44" spans="1:20" ht="12" customHeight="1">
      <c r="A44" s="105"/>
      <c r="B44" s="98" t="s">
        <v>353</v>
      </c>
      <c r="C44" s="42" t="s">
        <v>158</v>
      </c>
      <c r="D44" s="261">
        <v>1.3648720326499999</v>
      </c>
      <c r="E44" s="129"/>
      <c r="F44" s="132"/>
      <c r="G44" s="83"/>
      <c r="H44" s="83"/>
      <c r="I44" s="83"/>
      <c r="J44" s="134"/>
      <c r="L44" s="100" t="s">
        <v>210</v>
      </c>
      <c r="M44" s="101" t="s">
        <v>158</v>
      </c>
      <c r="N44" s="135">
        <f>IF(N45&gt;N41/N43,('Default Losses '!$T$7*(N41/N43/N45)^3+'Default Losses '!$U$7*(N41/N43/N45)^2+'Default Losses '!$V$7*(N41/N43/N45)+'Default Losses '!$W$7)*N46,N46)</f>
        <v>0.225113863471504</v>
      </c>
      <c r="O44" s="135">
        <f>IF(O45&gt;O41/O43,('Default Losses '!$T$7*(O41/O43/O45)^3+'Default Losses '!$U$7*(O41/O43/O45)^2+'Default Losses '!$V$7*(O41/O43/O45)+'Default Losses '!$W$7)*O46,O46)</f>
        <v>0.21463931658049321</v>
      </c>
      <c r="P44" s="135">
        <f>IF(P45&gt;P41/P43,('Default Losses '!$T$7*(P41/P43/P45)^3+'Default Losses '!$U$7*(P41/P43/P45)^2+'Default Losses '!$V$7*(P41/P43/P45)+'Default Losses '!$W$7)*P46,P46)</f>
        <v>0.20557232711433712</v>
      </c>
      <c r="Q44" s="135">
        <f>IF(Q45&gt;Q41/Q43,('Default Losses '!$T$7*(Q41/Q43/Q45)^3+'Default Losses '!$U$7*(Q41/Q43/Q45)^2+'Default Losses '!$V$7*(Q41/Q43/Q45)+'Default Losses '!$W$7)*Q46,Q46)</f>
        <v>0.1977357511939585</v>
      </c>
      <c r="R44" s="135">
        <f>IF(R45&gt;R41/R43,('Default Losses '!$T$7*(R41/R43/R45)^3+'Default Losses '!$U$7*(R41/R43/R45)^2+'Default Losses '!$V$7*(R41/R43/R45)+'Default Losses '!$W$7)*R46,R46)</f>
        <v>0.16916902253190488</v>
      </c>
      <c r="S44" s="135">
        <f>IF(S45&gt;S41/S43,('Default Losses '!$T$7*(S41/S43/S45)^3+'Default Losses '!$U$7*(S41/S43/S45)^2+'Default Losses '!$V$7*(S41/S43/S45)+'Default Losses '!$W$7)*S46,S46)</f>
        <v>0.16530296338907355</v>
      </c>
      <c r="T44" s="504">
        <f>IF(T45&gt;T41/T43,('Default Losses '!$T$7*(T41/T43/T45)^3+'Default Losses '!$U$7*(T41/T43/T45)^2+'Default Losses '!$V$7*(T41/T43/T45)+'Default Losses '!$W$7)*T46,T46)</f>
        <v>0.17166322728471026</v>
      </c>
    </row>
    <row r="45" spans="1:20" ht="12" customHeight="1">
      <c r="A45" s="105"/>
      <c r="B45" s="98" t="s">
        <v>354</v>
      </c>
      <c r="C45" s="42" t="s">
        <v>158</v>
      </c>
      <c r="D45" s="261">
        <v>1.2934454388200001</v>
      </c>
      <c r="E45" s="155"/>
      <c r="F45" s="132"/>
      <c r="G45" s="83"/>
      <c r="H45" s="83"/>
      <c r="I45" s="83"/>
      <c r="J45" s="134"/>
      <c r="L45" s="100" t="s">
        <v>608</v>
      </c>
      <c r="M45" s="101" t="s">
        <v>158</v>
      </c>
      <c r="N45" s="536">
        <f>N36</f>
        <v>1.5</v>
      </c>
      <c r="O45" s="536">
        <f t="shared" ref="O45:T45" si="18">N45</f>
        <v>1.5</v>
      </c>
      <c r="P45" s="536">
        <f t="shared" si="18"/>
        <v>1.5</v>
      </c>
      <c r="Q45" s="536">
        <f t="shared" si="18"/>
        <v>1.5</v>
      </c>
      <c r="R45" s="536">
        <f t="shared" si="18"/>
        <v>1.5</v>
      </c>
      <c r="S45" s="536">
        <f t="shared" si="18"/>
        <v>1.5</v>
      </c>
      <c r="T45" s="537">
        <f t="shared" si="18"/>
        <v>1.5</v>
      </c>
    </row>
    <row r="46" spans="1:20" ht="12" customHeight="1" thickBot="1">
      <c r="A46" s="105"/>
      <c r="B46" s="98" t="s">
        <v>355</v>
      </c>
      <c r="C46" s="42" t="s">
        <v>158</v>
      </c>
      <c r="D46" s="261">
        <v>1.2298508804699999</v>
      </c>
      <c r="E46" s="130"/>
      <c r="F46" s="145"/>
      <c r="G46" s="83"/>
      <c r="H46" s="83"/>
      <c r="I46" s="83"/>
      <c r="J46" s="134"/>
      <c r="L46" s="117" t="s">
        <v>209</v>
      </c>
      <c r="M46" s="118" t="s">
        <v>158</v>
      </c>
      <c r="N46" s="139">
        <f>LOOKUP(N45,'Default Losses '!$B$7:$B$26,'Default Losses '!$S$7:$S$26)</f>
        <v>0.2341040462427747</v>
      </c>
      <c r="O46" s="441">
        <f>LOOKUP(O45,'Default Losses '!$B$7:$B$26,'Default Losses '!$S$7:$S$26)</f>
        <v>0.2341040462427747</v>
      </c>
      <c r="P46" s="139">
        <f>LOOKUP(P45,'Default Losses '!$B$7:$B$26,'Default Losses '!$S$7:$S$26)</f>
        <v>0.2341040462427747</v>
      </c>
      <c r="Q46" s="139">
        <f>LOOKUP(Q45,'Default Losses '!$B$7:$B$26,'Default Losses '!$S$7:$S$26)</f>
        <v>0.2341040462427747</v>
      </c>
      <c r="R46" s="139">
        <f>LOOKUP(R45,'Default Losses '!$B$7:$B$26,'Default Losses '!$S$7:$S$26)</f>
        <v>0.2341040462427747</v>
      </c>
      <c r="S46" s="139">
        <f>LOOKUP(S45,'Default Losses '!$B$7:$B$26,'Default Losses '!$S$7:$S$26)</f>
        <v>0.2341040462427747</v>
      </c>
      <c r="T46" s="222">
        <f>LOOKUP(T45,'Default Losses '!$B$7:$B$26,'Default Losses '!$S$7:$S$26)</f>
        <v>0.2341040462427747</v>
      </c>
    </row>
    <row r="47" spans="1:20" ht="12" customHeight="1" thickTop="1">
      <c r="A47" s="105"/>
      <c r="B47" s="98" t="s">
        <v>356</v>
      </c>
      <c r="C47" s="42" t="s">
        <v>158</v>
      </c>
      <c r="D47" s="261">
        <v>1.0751941874199999</v>
      </c>
      <c r="E47" s="155"/>
      <c r="F47" s="145"/>
      <c r="G47" s="81"/>
      <c r="H47" s="81"/>
      <c r="I47" s="81"/>
      <c r="J47" s="150"/>
      <c r="L47" s="100" t="s">
        <v>168</v>
      </c>
      <c r="M47" s="101"/>
      <c r="N47" s="146"/>
      <c r="O47" s="147">
        <f t="shared" ref="O47:T47" si="19">1/($N32/O32)</f>
        <v>1</v>
      </c>
      <c r="P47" s="148">
        <f t="shared" si="19"/>
        <v>1</v>
      </c>
      <c r="Q47" s="147">
        <f t="shared" si="19"/>
        <v>1</v>
      </c>
      <c r="R47" s="148">
        <f t="shared" si="19"/>
        <v>1.0933982646341518</v>
      </c>
      <c r="S47" s="147">
        <f t="shared" si="19"/>
        <v>1.0933982646341518</v>
      </c>
      <c r="T47" s="149">
        <f t="shared" si="19"/>
        <v>1.2769639545836367</v>
      </c>
    </row>
    <row r="48" spans="1:20" ht="12" customHeight="1" thickBot="1">
      <c r="A48" s="105"/>
      <c r="B48" s="98" t="s">
        <v>550</v>
      </c>
      <c r="C48" s="217" t="s">
        <v>69</v>
      </c>
      <c r="D48" s="230" t="s">
        <v>614</v>
      </c>
      <c r="F48" s="156"/>
      <c r="G48" s="81"/>
      <c r="H48" s="81"/>
      <c r="I48" s="81"/>
      <c r="J48" s="150"/>
      <c r="L48" s="103" t="s">
        <v>160</v>
      </c>
      <c r="M48" s="104"/>
      <c r="N48" s="151"/>
      <c r="O48" s="152">
        <f t="shared" ref="O48:T48" si="20">O27/$N27</f>
        <v>1</v>
      </c>
      <c r="P48" s="153">
        <f t="shared" si="20"/>
        <v>1</v>
      </c>
      <c r="Q48" s="152">
        <f t="shared" si="20"/>
        <v>1</v>
      </c>
      <c r="R48" s="153">
        <f t="shared" si="20"/>
        <v>0.71680280514961114</v>
      </c>
      <c r="S48" s="152">
        <f t="shared" si="20"/>
        <v>0.71680280514961114</v>
      </c>
      <c r="T48" s="154">
        <f t="shared" si="20"/>
        <v>0.82751430283958605</v>
      </c>
    </row>
    <row r="49" spans="1:20" ht="12" customHeight="1">
      <c r="A49" s="105"/>
      <c r="B49" s="98" t="s">
        <v>551</v>
      </c>
      <c r="C49" s="217" t="s">
        <v>69</v>
      </c>
      <c r="D49" s="230" t="s">
        <v>614</v>
      </c>
      <c r="F49" s="132"/>
      <c r="G49" s="82"/>
      <c r="H49" s="82"/>
      <c r="I49" s="82"/>
      <c r="J49" s="157"/>
      <c r="L49" s="327" t="s">
        <v>326</v>
      </c>
      <c r="M49" s="130"/>
      <c r="N49" s="304"/>
      <c r="O49" s="130"/>
      <c r="P49" s="130"/>
      <c r="Q49" s="130"/>
      <c r="R49" s="130"/>
      <c r="S49" s="130"/>
      <c r="T49" s="130"/>
    </row>
    <row r="50" spans="1:20" ht="12" customHeight="1">
      <c r="A50" s="105"/>
      <c r="B50" s="98" t="s">
        <v>552</v>
      </c>
      <c r="C50" s="217" t="s">
        <v>69</v>
      </c>
      <c r="D50" s="230" t="s">
        <v>614</v>
      </c>
      <c r="F50" s="156"/>
      <c r="G50" s="83"/>
      <c r="H50" s="83"/>
      <c r="I50" s="83"/>
      <c r="J50" s="134"/>
    </row>
    <row r="51" spans="1:20" ht="12" customHeight="1" thickBot="1">
      <c r="A51" s="124"/>
      <c r="B51" s="98" t="s">
        <v>553</v>
      </c>
      <c r="C51" s="217" t="s">
        <v>69</v>
      </c>
      <c r="D51" s="230" t="s">
        <v>614</v>
      </c>
      <c r="E51" s="155"/>
      <c r="F51" s="156"/>
      <c r="G51" s="82"/>
      <c r="H51" s="82"/>
      <c r="I51" s="82"/>
      <c r="J51" s="157"/>
    </row>
    <row r="52" spans="1:20" ht="12" customHeight="1" thickBot="1">
      <c r="A52" s="124"/>
      <c r="B52" s="98" t="s">
        <v>554</v>
      </c>
      <c r="C52" s="217" t="s">
        <v>69</v>
      </c>
      <c r="D52" s="230" t="s">
        <v>615</v>
      </c>
      <c r="E52" s="155"/>
      <c r="F52" s="156"/>
      <c r="G52" s="80"/>
      <c r="H52" s="80"/>
      <c r="I52" s="80"/>
      <c r="J52" s="138"/>
      <c r="L52" s="512" t="s">
        <v>232</v>
      </c>
      <c r="M52" s="513"/>
      <c r="N52" s="513"/>
      <c r="O52" s="513"/>
      <c r="P52" s="513"/>
      <c r="Q52" s="513"/>
      <c r="R52" s="513"/>
      <c r="S52" s="514"/>
      <c r="T52" s="515"/>
    </row>
    <row r="53" spans="1:20" ht="12" customHeight="1">
      <c r="A53" s="124"/>
      <c r="B53" s="98" t="s">
        <v>555</v>
      </c>
      <c r="C53" s="217" t="s">
        <v>69</v>
      </c>
      <c r="D53" s="230" t="s">
        <v>615</v>
      </c>
      <c r="E53" s="155"/>
      <c r="F53" s="156"/>
      <c r="G53" s="80"/>
      <c r="H53" s="80"/>
      <c r="I53" s="80"/>
      <c r="J53" s="138"/>
      <c r="K53" s="130"/>
      <c r="L53" s="517" t="s">
        <v>60</v>
      </c>
      <c r="M53" s="518" t="s">
        <v>161</v>
      </c>
      <c r="N53" s="518" t="s">
        <v>164</v>
      </c>
      <c r="O53" s="518"/>
      <c r="P53" s="518"/>
      <c r="Q53" s="518"/>
      <c r="R53" s="518"/>
      <c r="S53" s="518"/>
      <c r="T53" s="519"/>
    </row>
    <row r="54" spans="1:20" ht="12" customHeight="1">
      <c r="A54" s="124"/>
      <c r="B54" s="98" t="s">
        <v>556</v>
      </c>
      <c r="C54" s="217" t="s">
        <v>69</v>
      </c>
      <c r="D54" s="230" t="s">
        <v>614</v>
      </c>
      <c r="E54" s="155"/>
      <c r="F54" s="156"/>
      <c r="G54" s="80"/>
      <c r="H54" s="80"/>
      <c r="I54" s="80"/>
      <c r="J54" s="138"/>
      <c r="K54" s="129"/>
      <c r="L54" s="100" t="s">
        <v>153</v>
      </c>
      <c r="M54" s="101" t="s">
        <v>161</v>
      </c>
      <c r="N54" s="101" t="s">
        <v>165</v>
      </c>
      <c r="O54" s="101"/>
      <c r="P54" s="101"/>
      <c r="Q54" s="101"/>
      <c r="R54" s="101"/>
      <c r="S54" s="101"/>
      <c r="T54" s="520"/>
    </row>
    <row r="55" spans="1:20" ht="12" customHeight="1">
      <c r="A55" s="105"/>
      <c r="B55" s="98" t="s">
        <v>183</v>
      </c>
      <c r="C55" s="217" t="s">
        <v>69</v>
      </c>
      <c r="D55" s="231" t="s">
        <v>245</v>
      </c>
      <c r="E55" s="155"/>
      <c r="F55" s="156"/>
      <c r="G55" s="82"/>
      <c r="H55" s="82"/>
      <c r="I55" s="82"/>
      <c r="J55" s="157"/>
      <c r="K55" s="129"/>
      <c r="L55" s="96" t="s">
        <v>170</v>
      </c>
      <c r="M55" s="97" t="s">
        <v>161</v>
      </c>
      <c r="N55" s="97" t="s">
        <v>243</v>
      </c>
      <c r="O55" s="97"/>
      <c r="P55" s="97"/>
      <c r="Q55" s="97"/>
      <c r="R55" s="97"/>
      <c r="S55" s="97"/>
      <c r="T55" s="158"/>
    </row>
    <row r="56" spans="1:20" ht="12" customHeight="1">
      <c r="B56" s="98" t="s">
        <v>184</v>
      </c>
      <c r="C56" s="217" t="s">
        <v>69</v>
      </c>
      <c r="D56" s="231" t="s">
        <v>245</v>
      </c>
      <c r="E56" s="155"/>
      <c r="F56" s="156"/>
      <c r="G56" s="82"/>
      <c r="H56" s="82"/>
      <c r="I56" s="82"/>
      <c r="J56" s="157"/>
      <c r="L56" s="100" t="s">
        <v>152</v>
      </c>
      <c r="M56" s="101" t="s">
        <v>161</v>
      </c>
      <c r="N56" s="101" t="s">
        <v>166</v>
      </c>
      <c r="O56" s="101"/>
      <c r="P56" s="101"/>
      <c r="Q56" s="101"/>
      <c r="R56" s="101"/>
      <c r="S56" s="101"/>
      <c r="T56" s="520"/>
    </row>
    <row r="57" spans="1:20" ht="12" customHeight="1">
      <c r="B57" s="98" t="s">
        <v>185</v>
      </c>
      <c r="C57" s="217" t="s">
        <v>69</v>
      </c>
      <c r="D57" s="231" t="s">
        <v>245</v>
      </c>
      <c r="E57" s="155"/>
      <c r="F57" s="156"/>
      <c r="G57" s="82"/>
      <c r="H57" s="82"/>
      <c r="I57" s="82"/>
      <c r="J57" s="157"/>
      <c r="L57" s="100" t="s">
        <v>162</v>
      </c>
      <c r="M57" s="101" t="s">
        <v>161</v>
      </c>
      <c r="N57" s="101" t="s">
        <v>167</v>
      </c>
      <c r="O57" s="101"/>
      <c r="P57" s="101"/>
      <c r="Q57" s="101"/>
      <c r="R57" s="101"/>
      <c r="S57" s="101"/>
      <c r="T57" s="520"/>
    </row>
    <row r="58" spans="1:20" ht="12" customHeight="1">
      <c r="B58" s="98" t="s">
        <v>186</v>
      </c>
      <c r="C58" s="217" t="s">
        <v>69</v>
      </c>
      <c r="D58" s="231" t="s">
        <v>245</v>
      </c>
      <c r="E58" s="155"/>
      <c r="F58" s="156"/>
      <c r="G58" s="82"/>
      <c r="H58" s="82"/>
      <c r="I58" s="82"/>
      <c r="J58" s="157"/>
      <c r="L58" s="96" t="s">
        <v>462</v>
      </c>
      <c r="M58" s="97" t="s">
        <v>161</v>
      </c>
      <c r="N58" s="97" t="s">
        <v>201</v>
      </c>
      <c r="O58" s="97"/>
      <c r="P58" s="97"/>
      <c r="Q58" s="97"/>
      <c r="R58" s="97"/>
      <c r="S58" s="97"/>
      <c r="T58" s="158"/>
    </row>
    <row r="59" spans="1:20" ht="12" customHeight="1">
      <c r="B59" s="98" t="s">
        <v>187</v>
      </c>
      <c r="C59" s="217" t="s">
        <v>69</v>
      </c>
      <c r="D59" s="231" t="s">
        <v>195</v>
      </c>
      <c r="E59" s="155"/>
      <c r="F59" s="432"/>
      <c r="G59" s="82"/>
      <c r="H59" s="82"/>
      <c r="I59" s="82"/>
      <c r="J59" s="157"/>
      <c r="L59" s="96"/>
      <c r="M59" s="97"/>
      <c r="N59" s="97" t="s">
        <v>429</v>
      </c>
      <c r="O59" s="97"/>
      <c r="P59" s="97"/>
      <c r="Q59" s="97"/>
      <c r="R59" s="97"/>
      <c r="S59" s="97"/>
      <c r="T59" s="158"/>
    </row>
    <row r="60" spans="1:20" ht="12" customHeight="1">
      <c r="B60" s="98" t="s">
        <v>188</v>
      </c>
      <c r="C60" s="217" t="s">
        <v>69</v>
      </c>
      <c r="D60" s="231" t="s">
        <v>195</v>
      </c>
      <c r="E60" s="155"/>
      <c r="F60" s="707" t="s">
        <v>631</v>
      </c>
      <c r="G60" s="708"/>
      <c r="H60" s="708"/>
      <c r="I60" s="708"/>
      <c r="J60" s="709"/>
      <c r="L60" s="96"/>
      <c r="M60" s="97"/>
      <c r="N60" s="97" t="s">
        <v>430</v>
      </c>
      <c r="O60" s="97"/>
      <c r="P60" s="97"/>
      <c r="Q60" s="97"/>
      <c r="R60" s="97"/>
      <c r="S60" s="97"/>
      <c r="T60" s="158"/>
    </row>
    <row r="61" spans="1:20" ht="12" customHeight="1" thickBot="1">
      <c r="B61" s="254" t="s">
        <v>189</v>
      </c>
      <c r="C61" s="256" t="s">
        <v>69</v>
      </c>
      <c r="D61" s="253" t="s">
        <v>325</v>
      </c>
      <c r="E61" s="155"/>
      <c r="F61" s="707"/>
      <c r="G61" s="708"/>
      <c r="H61" s="708"/>
      <c r="I61" s="708"/>
      <c r="J61" s="709"/>
      <c r="L61" s="96"/>
      <c r="M61" s="97"/>
      <c r="N61" s="97" t="s">
        <v>581</v>
      </c>
      <c r="O61" s="97"/>
      <c r="P61" s="97"/>
      <c r="Q61" s="97"/>
      <c r="R61" s="97"/>
      <c r="S61" s="97"/>
      <c r="T61" s="158"/>
    </row>
    <row r="62" spans="1:20" ht="12" customHeight="1">
      <c r="B62" s="239" t="s">
        <v>306</v>
      </c>
      <c r="C62" s="249" t="s">
        <v>151</v>
      </c>
      <c r="D62" s="258">
        <v>1015.82</v>
      </c>
      <c r="E62" s="155"/>
      <c r="F62" s="707"/>
      <c r="G62" s="708"/>
      <c r="H62" s="708"/>
      <c r="I62" s="708"/>
      <c r="J62" s="709"/>
      <c r="L62" s="96"/>
      <c r="M62" s="97"/>
      <c r="N62" s="516" t="s">
        <v>582</v>
      </c>
      <c r="O62" s="97"/>
      <c r="P62" s="97"/>
      <c r="Q62" s="97"/>
      <c r="R62" s="97"/>
      <c r="S62" s="97"/>
      <c r="T62" s="158"/>
    </row>
    <row r="63" spans="1:20" ht="12" customHeight="1">
      <c r="B63" s="98" t="s">
        <v>307</v>
      </c>
      <c r="C63" s="42" t="s">
        <v>151</v>
      </c>
      <c r="D63" s="228">
        <v>1015.82</v>
      </c>
      <c r="E63" s="155"/>
      <c r="F63" s="707"/>
      <c r="G63" s="708"/>
      <c r="H63" s="708"/>
      <c r="I63" s="708"/>
      <c r="J63" s="709"/>
      <c r="L63" s="100" t="s">
        <v>163</v>
      </c>
      <c r="M63" s="101" t="s">
        <v>161</v>
      </c>
      <c r="N63" s="101" t="s">
        <v>463</v>
      </c>
      <c r="O63" s="101"/>
      <c r="P63" s="101"/>
      <c r="Q63" s="101"/>
      <c r="R63" s="101"/>
      <c r="S63" s="101"/>
      <c r="T63" s="520"/>
    </row>
    <row r="64" spans="1:20" ht="12" customHeight="1" thickBot="1">
      <c r="A64" s="105"/>
      <c r="B64" s="98" t="s">
        <v>308</v>
      </c>
      <c r="C64" s="42" t="s">
        <v>151</v>
      </c>
      <c r="D64" s="228">
        <v>1015.82</v>
      </c>
      <c r="E64" s="155"/>
      <c r="F64" s="707"/>
      <c r="G64" s="708"/>
      <c r="H64" s="708"/>
      <c r="I64" s="708"/>
      <c r="J64" s="709"/>
      <c r="L64" s="521"/>
      <c r="M64" s="522"/>
      <c r="N64" s="522" t="s">
        <v>464</v>
      </c>
      <c r="O64" s="522"/>
      <c r="P64" s="522"/>
      <c r="Q64" s="522"/>
      <c r="R64" s="522"/>
      <c r="S64" s="522"/>
      <c r="T64" s="523"/>
    </row>
    <row r="65" spans="1:22" ht="12" customHeight="1" thickBot="1">
      <c r="A65" s="105"/>
      <c r="B65" s="98" t="s">
        <v>309</v>
      </c>
      <c r="C65" s="42" t="s">
        <v>151</v>
      </c>
      <c r="D65" s="228">
        <v>1015.82</v>
      </c>
      <c r="E65" s="155"/>
      <c r="F65" s="707"/>
      <c r="G65" s="708"/>
      <c r="H65" s="708"/>
      <c r="I65" s="708"/>
      <c r="J65" s="709"/>
    </row>
    <row r="66" spans="1:22" ht="12" customHeight="1" thickBot="1">
      <c r="A66" s="105"/>
      <c r="B66" s="98" t="s">
        <v>310</v>
      </c>
      <c r="C66" s="42" t="s">
        <v>151</v>
      </c>
      <c r="D66" s="228">
        <v>1269.67</v>
      </c>
      <c r="E66" s="155"/>
      <c r="F66" s="707"/>
      <c r="G66" s="708"/>
      <c r="H66" s="708"/>
      <c r="I66" s="708"/>
      <c r="J66" s="709"/>
      <c r="M66" s="704" t="s">
        <v>431</v>
      </c>
      <c r="N66" s="705"/>
      <c r="O66" s="705"/>
      <c r="P66" s="705"/>
      <c r="Q66" s="705"/>
      <c r="R66" s="705"/>
      <c r="S66" s="706"/>
    </row>
    <row r="67" spans="1:22" ht="12" customHeight="1" thickBot="1">
      <c r="A67" s="105"/>
      <c r="B67" s="98" t="s">
        <v>311</v>
      </c>
      <c r="C67" s="42" t="s">
        <v>151</v>
      </c>
      <c r="D67" s="228">
        <v>1244.3499999999999</v>
      </c>
      <c r="E67" s="155"/>
      <c r="F67" s="707"/>
      <c r="G67" s="708"/>
      <c r="H67" s="708"/>
      <c r="I67" s="708"/>
      <c r="J67" s="709"/>
      <c r="M67" s="438" t="s">
        <v>140</v>
      </c>
      <c r="N67" s="439" t="s">
        <v>132</v>
      </c>
      <c r="O67" s="439" t="s">
        <v>133</v>
      </c>
      <c r="P67" s="439" t="s">
        <v>134</v>
      </c>
      <c r="Q67" s="439" t="s">
        <v>135</v>
      </c>
      <c r="R67" s="439" t="s">
        <v>136</v>
      </c>
      <c r="S67" s="440" t="s">
        <v>137</v>
      </c>
    </row>
    <row r="68" spans="1:22" ht="12" customHeight="1">
      <c r="A68" s="105"/>
      <c r="B68" s="98" t="s">
        <v>312</v>
      </c>
      <c r="C68" s="42" t="s">
        <v>151</v>
      </c>
      <c r="D68" s="228">
        <v>1530.21</v>
      </c>
      <c r="E68" s="155"/>
      <c r="F68" s="707"/>
      <c r="G68" s="708"/>
      <c r="H68" s="708"/>
      <c r="I68" s="708"/>
      <c r="J68" s="709"/>
      <c r="L68" s="498" t="s">
        <v>618</v>
      </c>
      <c r="M68" s="498">
        <f t="shared" ref="M68:S68" si="21">IF($D$23="Ducted",M69,M70)</f>
        <v>0.54</v>
      </c>
      <c r="N68" s="499">
        <f t="shared" si="21"/>
        <v>0.57999999999999996</v>
      </c>
      <c r="O68" s="499">
        <f t="shared" si="21"/>
        <v>0.62</v>
      </c>
      <c r="P68" s="499">
        <f t="shared" si="21"/>
        <v>0.66</v>
      </c>
      <c r="Q68" s="499">
        <f t="shared" si="21"/>
        <v>0.7</v>
      </c>
      <c r="R68" s="499">
        <f t="shared" si="21"/>
        <v>0.74</v>
      </c>
      <c r="S68" s="500">
        <f t="shared" si="21"/>
        <v>0.86</v>
      </c>
      <c r="U68" s="301"/>
      <c r="V68" s="301">
        <f>V34</f>
        <v>0</v>
      </c>
    </row>
    <row r="69" spans="1:22" ht="12" customHeight="1">
      <c r="A69" s="105"/>
      <c r="B69" s="98" t="s">
        <v>339</v>
      </c>
      <c r="C69" s="42" t="s">
        <v>151</v>
      </c>
      <c r="D69" s="227">
        <v>640.64989368470003</v>
      </c>
      <c r="E69" s="160"/>
      <c r="F69" s="707"/>
      <c r="G69" s="708"/>
      <c r="H69" s="708"/>
      <c r="I69" s="708"/>
      <c r="J69" s="709"/>
      <c r="L69" s="434" t="s">
        <v>71</v>
      </c>
      <c r="M69" s="434">
        <v>0.54</v>
      </c>
      <c r="N69" s="433">
        <v>0.57999999999999996</v>
      </c>
      <c r="O69" s="433">
        <v>0.62</v>
      </c>
      <c r="P69" s="433">
        <v>0.66</v>
      </c>
      <c r="Q69" s="433">
        <v>0.7</v>
      </c>
      <c r="R69" s="433">
        <v>0.74</v>
      </c>
      <c r="S69" s="435">
        <v>0.86</v>
      </c>
    </row>
    <row r="70" spans="1:22" ht="12" customHeight="1" thickBot="1">
      <c r="A70" s="105"/>
      <c r="B70" s="98" t="s">
        <v>340</v>
      </c>
      <c r="C70" s="42" t="s">
        <v>151</v>
      </c>
      <c r="D70" s="227">
        <v>640.64989368470003</v>
      </c>
      <c r="E70" s="161"/>
      <c r="F70" s="707"/>
      <c r="G70" s="708"/>
      <c r="H70" s="708"/>
      <c r="I70" s="708"/>
      <c r="J70" s="709"/>
      <c r="L70" s="219" t="s">
        <v>619</v>
      </c>
      <c r="M70" s="219">
        <f t="shared" ref="M70:S70" si="22">M68-0.04</f>
        <v>0.5</v>
      </c>
      <c r="N70" s="220">
        <f t="shared" si="22"/>
        <v>0.53999999999999992</v>
      </c>
      <c r="O70" s="220">
        <f t="shared" si="22"/>
        <v>0.57999999999999996</v>
      </c>
      <c r="P70" s="220">
        <f t="shared" si="22"/>
        <v>0.62</v>
      </c>
      <c r="Q70" s="220">
        <f t="shared" si="22"/>
        <v>0.65999999999999992</v>
      </c>
      <c r="R70" s="220">
        <f t="shared" si="22"/>
        <v>0.7</v>
      </c>
      <c r="S70" s="221">
        <f t="shared" si="22"/>
        <v>0.82</v>
      </c>
    </row>
    <row r="71" spans="1:22" ht="12" customHeight="1" thickBot="1">
      <c r="A71" s="105"/>
      <c r="B71" s="98" t="s">
        <v>341</v>
      </c>
      <c r="C71" s="42" t="s">
        <v>151</v>
      </c>
      <c r="D71" s="227">
        <v>640.64989368470003</v>
      </c>
      <c r="E71" s="161"/>
      <c r="F71" s="707"/>
      <c r="G71" s="708"/>
      <c r="H71" s="708"/>
      <c r="I71" s="708"/>
      <c r="J71" s="709"/>
    </row>
    <row r="72" spans="1:22" ht="12" customHeight="1">
      <c r="A72" s="105"/>
      <c r="B72" s="98" t="s">
        <v>342</v>
      </c>
      <c r="C72" s="42" t="s">
        <v>151</v>
      </c>
      <c r="D72" s="227">
        <v>640.64989368470003</v>
      </c>
      <c r="E72" s="161"/>
      <c r="F72" s="707"/>
      <c r="G72" s="708"/>
      <c r="H72" s="708"/>
      <c r="I72" s="708"/>
      <c r="J72" s="709"/>
      <c r="L72" s="719" t="s">
        <v>617</v>
      </c>
      <c r="M72" s="105"/>
    </row>
    <row r="73" spans="1:22" ht="12" customHeight="1" thickBot="1">
      <c r="A73" s="105"/>
      <c r="B73" s="98" t="s">
        <v>343</v>
      </c>
      <c r="C73" s="42" t="s">
        <v>151</v>
      </c>
      <c r="D73" s="227">
        <v>646.13566975560002</v>
      </c>
      <c r="E73" s="161"/>
      <c r="F73" s="707"/>
      <c r="G73" s="708"/>
      <c r="H73" s="708"/>
      <c r="I73" s="708"/>
      <c r="J73" s="709"/>
      <c r="L73" s="720"/>
      <c r="M73" s="105"/>
      <c r="O73" s="301"/>
      <c r="P73" s="301"/>
      <c r="Q73" s="301"/>
      <c r="R73" s="301"/>
      <c r="S73" s="301"/>
      <c r="T73" s="301"/>
    </row>
    <row r="74" spans="1:22" ht="12" customHeight="1" thickBot="1">
      <c r="A74" s="105"/>
      <c r="B74" s="98" t="s">
        <v>344</v>
      </c>
      <c r="C74" s="42" t="s">
        <v>151</v>
      </c>
      <c r="D74" s="227">
        <v>646.13566975560002</v>
      </c>
      <c r="E74" s="161"/>
      <c r="F74" s="707"/>
      <c r="G74" s="708"/>
      <c r="H74" s="708"/>
      <c r="I74" s="708"/>
      <c r="J74" s="709"/>
      <c r="L74" s="166">
        <f>0.746</f>
        <v>0.746</v>
      </c>
      <c r="M74" s="105"/>
    </row>
    <row r="75" spans="1:22" ht="12" customHeight="1" thickBot="1">
      <c r="A75" s="105"/>
      <c r="B75" s="98" t="s">
        <v>345</v>
      </c>
      <c r="C75" s="42" t="s">
        <v>151</v>
      </c>
      <c r="D75" s="227">
        <v>753.90030097975</v>
      </c>
      <c r="E75" s="161"/>
      <c r="F75" s="710"/>
      <c r="G75" s="711"/>
      <c r="H75" s="711"/>
      <c r="I75" s="711"/>
      <c r="J75" s="712"/>
      <c r="L75" s="105"/>
      <c r="M75" s="105"/>
    </row>
    <row r="76" spans="1:22" ht="12" customHeight="1">
      <c r="A76" s="105"/>
      <c r="B76" s="98" t="s">
        <v>257</v>
      </c>
      <c r="C76" s="42" t="s">
        <v>321</v>
      </c>
      <c r="D76" s="227">
        <v>1.5856028849999999</v>
      </c>
      <c r="E76" s="161"/>
      <c r="F76" s="223"/>
      <c r="G76" s="223"/>
      <c r="H76" s="223"/>
      <c r="I76" s="223"/>
      <c r="J76" s="223"/>
      <c r="L76" s="105"/>
      <c r="M76" s="105"/>
      <c r="V76" s="327" t="s">
        <v>326</v>
      </c>
    </row>
    <row r="77" spans="1:22" ht="12" customHeight="1">
      <c r="A77" s="105"/>
      <c r="B77" s="98" t="s">
        <v>259</v>
      </c>
      <c r="C77" s="42" t="s">
        <v>321</v>
      </c>
      <c r="D77" s="227">
        <v>1.4030874449999999</v>
      </c>
      <c r="E77" s="161"/>
      <c r="F77" s="223"/>
      <c r="G77" s="223"/>
      <c r="H77" s="223"/>
      <c r="I77" s="223"/>
      <c r="J77" s="223"/>
      <c r="L77" s="105"/>
      <c r="M77" s="105"/>
    </row>
    <row r="78" spans="1:22" ht="12" customHeight="1">
      <c r="A78" s="159"/>
      <c r="B78" s="98" t="s">
        <v>524</v>
      </c>
      <c r="C78" s="42" t="s">
        <v>151</v>
      </c>
      <c r="D78" s="250">
        <v>1</v>
      </c>
      <c r="E78" s="161"/>
      <c r="L78" s="105"/>
      <c r="M78" s="105"/>
    </row>
    <row r="79" spans="1:22" ht="12" customHeight="1">
      <c r="A79" s="159"/>
      <c r="B79" s="98" t="s">
        <v>525</v>
      </c>
      <c r="C79" s="42" t="s">
        <v>151</v>
      </c>
      <c r="D79" s="250">
        <v>1</v>
      </c>
      <c r="E79" s="88"/>
      <c r="L79" s="105"/>
      <c r="M79" s="105"/>
    </row>
    <row r="80" spans="1:22" ht="12" customHeight="1">
      <c r="A80" s="159"/>
      <c r="B80" s="98" t="s">
        <v>526</v>
      </c>
      <c r="C80" s="42" t="s">
        <v>151</v>
      </c>
      <c r="D80" s="250">
        <v>1</v>
      </c>
      <c r="E80" s="87"/>
      <c r="L80" s="105"/>
    </row>
    <row r="81" spans="1:13" ht="12" customHeight="1">
      <c r="A81" s="159"/>
      <c r="B81" s="98" t="s">
        <v>527</v>
      </c>
      <c r="C81" s="42" t="s">
        <v>151</v>
      </c>
      <c r="D81" s="250">
        <v>1.2715158125999999</v>
      </c>
      <c r="E81" s="87"/>
    </row>
    <row r="82" spans="1:13" ht="12" customHeight="1">
      <c r="A82" s="159"/>
      <c r="B82" s="98" t="s">
        <v>528</v>
      </c>
      <c r="C82" s="42" t="s">
        <v>151</v>
      </c>
      <c r="D82" s="250">
        <v>1.24358713935</v>
      </c>
      <c r="E82" s="87"/>
    </row>
    <row r="83" spans="1:13" ht="12" customHeight="1">
      <c r="A83" s="159"/>
      <c r="B83" s="98" t="s">
        <v>529</v>
      </c>
      <c r="C83" s="42" t="s">
        <v>151</v>
      </c>
      <c r="D83" s="227">
        <v>1.3360747828099999</v>
      </c>
      <c r="E83" s="88"/>
    </row>
    <row r="84" spans="1:13" ht="12" customHeight="1">
      <c r="A84" s="159"/>
      <c r="B84" s="98" t="s">
        <v>530</v>
      </c>
      <c r="C84" s="42" t="s">
        <v>151</v>
      </c>
      <c r="D84" s="250">
        <v>0</v>
      </c>
      <c r="E84" s="88"/>
    </row>
    <row r="85" spans="1:13" ht="12" customHeight="1">
      <c r="A85" s="159"/>
      <c r="B85" s="98" t="s">
        <v>531</v>
      </c>
      <c r="C85" s="42" t="s">
        <v>151</v>
      </c>
      <c r="D85" s="250">
        <v>0</v>
      </c>
      <c r="E85" s="88"/>
    </row>
    <row r="86" spans="1:13" ht="12" customHeight="1">
      <c r="A86" s="159"/>
      <c r="B86" s="98" t="s">
        <v>532</v>
      </c>
      <c r="C86" s="42" t="s">
        <v>151</v>
      </c>
      <c r="D86" s="250">
        <v>0</v>
      </c>
      <c r="E86" s="88"/>
      <c r="M86" s="105"/>
    </row>
    <row r="87" spans="1:13" ht="12" customHeight="1">
      <c r="A87" s="159"/>
      <c r="B87" s="98" t="s">
        <v>533</v>
      </c>
      <c r="C87" s="42" t="s">
        <v>151</v>
      </c>
      <c r="D87" s="250">
        <v>175.43605142353692</v>
      </c>
      <c r="E87" s="88"/>
      <c r="L87" s="105"/>
      <c r="M87" s="105"/>
    </row>
    <row r="88" spans="1:13" ht="12" customHeight="1">
      <c r="A88" s="159"/>
      <c r="B88" s="98" t="s">
        <v>534</v>
      </c>
      <c r="C88" s="42" t="s">
        <v>151</v>
      </c>
      <c r="D88" s="250">
        <v>157.39033942776291</v>
      </c>
      <c r="E88" s="88"/>
      <c r="L88" s="105"/>
      <c r="M88" s="105"/>
    </row>
    <row r="89" spans="1:13" ht="12" customHeight="1" thickBot="1">
      <c r="A89" s="159"/>
      <c r="B89" s="98" t="s">
        <v>535</v>
      </c>
      <c r="C89" s="255" t="s">
        <v>151</v>
      </c>
      <c r="D89" s="414">
        <v>253.36687991216306</v>
      </c>
      <c r="E89" s="88"/>
      <c r="L89" s="105"/>
      <c r="M89" s="105"/>
    </row>
    <row r="90" spans="1:13" ht="12" customHeight="1">
      <c r="A90" s="159"/>
      <c r="B90" s="239" t="s">
        <v>261</v>
      </c>
      <c r="C90" s="249" t="s">
        <v>305</v>
      </c>
      <c r="D90" s="257">
        <v>1469.2927905900001</v>
      </c>
      <c r="E90" s="88"/>
      <c r="L90" s="105"/>
    </row>
    <row r="91" spans="1:13" ht="12" customHeight="1">
      <c r="A91" s="159"/>
      <c r="B91" s="98" t="s">
        <v>263</v>
      </c>
      <c r="C91" s="42" t="s">
        <v>305</v>
      </c>
      <c r="D91" s="229">
        <v>1469.2927905900001</v>
      </c>
      <c r="E91" s="88"/>
      <c r="M91" s="105"/>
    </row>
    <row r="92" spans="1:13" ht="12" customHeight="1">
      <c r="A92" s="105"/>
      <c r="B92" s="98" t="s">
        <v>264</v>
      </c>
      <c r="C92" s="42" t="s">
        <v>305</v>
      </c>
      <c r="D92" s="229">
        <v>1469.2927905900001</v>
      </c>
      <c r="E92" s="88"/>
      <c r="L92" s="105"/>
      <c r="M92" s="105"/>
    </row>
    <row r="93" spans="1:13" ht="12" customHeight="1">
      <c r="A93" s="105"/>
      <c r="B93" s="98" t="s">
        <v>265</v>
      </c>
      <c r="C93" s="42" t="s">
        <v>305</v>
      </c>
      <c r="D93" s="229">
        <v>1469.2927905900001</v>
      </c>
      <c r="E93" s="88"/>
      <c r="L93" s="105"/>
      <c r="M93" s="105"/>
    </row>
    <row r="94" spans="1:13" ht="12" customHeight="1">
      <c r="A94" s="105"/>
      <c r="B94" s="98" t="s">
        <v>266</v>
      </c>
      <c r="C94" s="42" t="s">
        <v>305</v>
      </c>
      <c r="D94" s="229">
        <v>1053.1931938800001</v>
      </c>
      <c r="E94" s="88"/>
      <c r="L94" s="105"/>
      <c r="M94" s="105"/>
    </row>
    <row r="95" spans="1:13" ht="12" customHeight="1">
      <c r="A95" s="105"/>
      <c r="B95" s="98" t="s">
        <v>267</v>
      </c>
      <c r="C95" s="42" t="s">
        <v>305</v>
      </c>
      <c r="D95" s="229">
        <v>1053.1931938800001</v>
      </c>
      <c r="E95" s="88"/>
      <c r="L95" s="105"/>
      <c r="M95" s="105"/>
    </row>
    <row r="96" spans="1:13" ht="12" customHeight="1">
      <c r="A96" s="105"/>
      <c r="B96" s="98" t="s">
        <v>268</v>
      </c>
      <c r="C96" s="42" t="s">
        <v>305</v>
      </c>
      <c r="D96" s="229">
        <v>1215.8607992699999</v>
      </c>
      <c r="E96" s="88"/>
      <c r="L96" s="105"/>
      <c r="M96" s="105"/>
    </row>
    <row r="97" spans="1:13" ht="12" customHeight="1">
      <c r="A97" s="105"/>
      <c r="B97" s="98" t="s">
        <v>269</v>
      </c>
      <c r="C97" s="42" t="s">
        <v>151</v>
      </c>
      <c r="D97" s="229">
        <v>192.42501872299999</v>
      </c>
      <c r="E97" s="88">
        <f>D97/D90</f>
        <v>0.13096437956775858</v>
      </c>
      <c r="L97" s="105"/>
      <c r="M97" s="105"/>
    </row>
    <row r="98" spans="1:13" ht="12" customHeight="1">
      <c r="A98" s="124"/>
      <c r="B98" s="98" t="s">
        <v>271</v>
      </c>
      <c r="C98" s="42" t="s">
        <v>151</v>
      </c>
      <c r="D98" s="229">
        <v>192.42501872299999</v>
      </c>
      <c r="E98" s="88">
        <f t="shared" ref="E98:E103" si="23">D98/D91</f>
        <v>0.13096437956775858</v>
      </c>
      <c r="L98" s="105"/>
      <c r="M98" s="105"/>
    </row>
    <row r="99" spans="1:13" ht="12" customHeight="1">
      <c r="A99" s="124"/>
      <c r="B99" s="98" t="s">
        <v>272</v>
      </c>
      <c r="C99" s="42" t="s">
        <v>151</v>
      </c>
      <c r="D99" s="229">
        <v>192.42501872299999</v>
      </c>
      <c r="E99" s="88">
        <f t="shared" si="23"/>
        <v>0.13096437956775858</v>
      </c>
      <c r="L99" s="105"/>
      <c r="M99" s="105"/>
    </row>
    <row r="100" spans="1:13" ht="12" customHeight="1">
      <c r="A100" s="124"/>
      <c r="B100" s="98" t="s">
        <v>273</v>
      </c>
      <c r="C100" s="42" t="s">
        <v>151</v>
      </c>
      <c r="D100" s="229">
        <v>192.42501872299999</v>
      </c>
      <c r="E100" s="88">
        <f t="shared" si="23"/>
        <v>0.13096437956775858</v>
      </c>
      <c r="L100" s="105"/>
      <c r="M100" s="105"/>
    </row>
    <row r="101" spans="1:13" ht="12" customHeight="1">
      <c r="A101" s="124"/>
      <c r="B101" s="98" t="s">
        <v>274</v>
      </c>
      <c r="C101" s="42" t="s">
        <v>151</v>
      </c>
      <c r="D101" s="229">
        <v>145.97092483599999</v>
      </c>
      <c r="E101" s="88">
        <f t="shared" si="23"/>
        <v>0.13859843159281923</v>
      </c>
      <c r="L101" s="105"/>
      <c r="M101" s="105"/>
    </row>
    <row r="102" spans="1:13" ht="12" customHeight="1">
      <c r="A102" s="124"/>
      <c r="B102" s="98" t="s">
        <v>275</v>
      </c>
      <c r="C102" s="42" t="s">
        <v>151</v>
      </c>
      <c r="D102" s="229">
        <v>145.97092483599999</v>
      </c>
      <c r="E102" s="88">
        <f t="shared" si="23"/>
        <v>0.13859843159281923</v>
      </c>
      <c r="L102" s="105"/>
      <c r="M102" s="105"/>
    </row>
    <row r="103" spans="1:13" ht="12" customHeight="1">
      <c r="A103" s="124"/>
      <c r="B103" s="98" t="s">
        <v>276</v>
      </c>
      <c r="C103" s="42" t="s">
        <v>151</v>
      </c>
      <c r="D103" s="229">
        <v>164.13142360399999</v>
      </c>
      <c r="E103" s="88">
        <f t="shared" si="23"/>
        <v>0.13499195278155537</v>
      </c>
      <c r="L103" s="105"/>
      <c r="M103" s="105"/>
    </row>
    <row r="104" spans="1:13" ht="12" customHeight="1">
      <c r="A104" s="124"/>
      <c r="B104" s="98" t="s">
        <v>277</v>
      </c>
      <c r="C104" s="42" t="s">
        <v>151</v>
      </c>
      <c r="D104" s="229">
        <v>2528.1258716500001</v>
      </c>
      <c r="E104" s="88"/>
      <c r="L104" s="105"/>
      <c r="M104" s="105"/>
    </row>
    <row r="105" spans="1:13" ht="12" customHeight="1">
      <c r="A105" s="159"/>
      <c r="B105" s="98" t="s">
        <v>279</v>
      </c>
      <c r="C105" s="42" t="s">
        <v>151</v>
      </c>
      <c r="D105" s="229">
        <v>2528.1258716500001</v>
      </c>
      <c r="E105" s="88"/>
      <c r="L105" s="105"/>
      <c r="M105" s="105"/>
    </row>
    <row r="106" spans="1:13" ht="12" customHeight="1">
      <c r="A106" s="159"/>
      <c r="B106" s="98" t="s">
        <v>281</v>
      </c>
      <c r="C106" s="42" t="s">
        <v>151</v>
      </c>
      <c r="D106" s="229">
        <v>2528.1258716500001</v>
      </c>
      <c r="E106" s="88"/>
      <c r="L106" s="105"/>
      <c r="M106" s="105"/>
    </row>
    <row r="107" spans="1:13" ht="12" customHeight="1">
      <c r="A107" s="159"/>
      <c r="B107" s="98" t="s">
        <v>283</v>
      </c>
      <c r="C107" s="42" t="s">
        <v>151</v>
      </c>
      <c r="D107" s="229">
        <v>2528.1258716500001</v>
      </c>
      <c r="L107" s="105"/>
      <c r="M107" s="105"/>
    </row>
    <row r="108" spans="1:13" ht="12" customHeight="1">
      <c r="A108" s="159"/>
      <c r="B108" s="98" t="s">
        <v>285</v>
      </c>
      <c r="C108" s="42" t="s">
        <v>151</v>
      </c>
      <c r="D108" s="229">
        <v>2416.8840586699998</v>
      </c>
      <c r="L108" s="105"/>
      <c r="M108" s="105"/>
    </row>
    <row r="109" spans="1:13" ht="12" customHeight="1">
      <c r="A109" s="159"/>
      <c r="B109" s="98" t="s">
        <v>287</v>
      </c>
      <c r="C109" s="42" t="s">
        <v>151</v>
      </c>
      <c r="D109" s="229">
        <v>2391.5640586700001</v>
      </c>
      <c r="L109" s="105"/>
      <c r="M109" s="105"/>
    </row>
    <row r="110" spans="1:13" ht="12" customHeight="1">
      <c r="A110" s="159"/>
      <c r="B110" s="98" t="s">
        <v>289</v>
      </c>
      <c r="C110" s="42" t="s">
        <v>151</v>
      </c>
      <c r="D110" s="229">
        <v>2820.1509717399999</v>
      </c>
      <c r="L110" s="105"/>
      <c r="M110" s="105"/>
    </row>
    <row r="111" spans="1:13" ht="12" customHeight="1">
      <c r="A111" s="159"/>
      <c r="B111" s="98" t="s">
        <v>291</v>
      </c>
      <c r="C111" s="42" t="s">
        <v>151</v>
      </c>
      <c r="D111" s="229">
        <v>0</v>
      </c>
      <c r="E111" s="88"/>
      <c r="L111" s="105"/>
      <c r="M111" s="105"/>
    </row>
    <row r="112" spans="1:13" ht="12" customHeight="1">
      <c r="A112" s="124"/>
      <c r="B112" s="98" t="s">
        <v>293</v>
      </c>
      <c r="C112" s="42" t="s">
        <v>151</v>
      </c>
      <c r="D112" s="229">
        <v>0</v>
      </c>
      <c r="E112" s="88"/>
      <c r="L112" s="105"/>
      <c r="M112" s="105"/>
    </row>
    <row r="113" spans="1:13" ht="12" customHeight="1">
      <c r="A113" s="124"/>
      <c r="B113" s="98" t="s">
        <v>295</v>
      </c>
      <c r="C113" s="42" t="s">
        <v>151</v>
      </c>
      <c r="D113" s="229">
        <v>0</v>
      </c>
      <c r="E113" s="88"/>
      <c r="L113" s="105"/>
      <c r="M113" s="105"/>
    </row>
    <row r="114" spans="1:13" ht="12" customHeight="1">
      <c r="A114" s="124"/>
      <c r="B114" s="98" t="s">
        <v>297</v>
      </c>
      <c r="C114" s="42" t="s">
        <v>151</v>
      </c>
      <c r="D114" s="229">
        <v>0</v>
      </c>
      <c r="E114" s="88"/>
      <c r="L114" s="105"/>
      <c r="M114" s="105"/>
    </row>
    <row r="115" spans="1:13" ht="12" customHeight="1">
      <c r="A115" s="124"/>
      <c r="B115" s="98" t="s">
        <v>299</v>
      </c>
      <c r="C115" s="42" t="s">
        <v>151</v>
      </c>
      <c r="D115" s="229">
        <v>111.24181297600001</v>
      </c>
      <c r="E115" s="88"/>
      <c r="L115" s="105"/>
      <c r="M115" s="105"/>
    </row>
    <row r="116" spans="1:13" ht="12" customHeight="1">
      <c r="A116" s="124"/>
      <c r="B116" s="98" t="s">
        <v>301</v>
      </c>
      <c r="C116" s="42" t="s">
        <v>151</v>
      </c>
      <c r="D116" s="229">
        <v>136.561812976</v>
      </c>
      <c r="E116" s="88"/>
      <c r="L116" s="105"/>
      <c r="M116" s="105"/>
    </row>
    <row r="117" spans="1:13" ht="12" customHeight="1" thickBot="1">
      <c r="A117" s="124"/>
      <c r="B117" s="162" t="s">
        <v>303</v>
      </c>
      <c r="C117" s="251" t="s">
        <v>151</v>
      </c>
      <c r="D117" s="252">
        <v>-292.02510008600001</v>
      </c>
      <c r="E117" s="88"/>
      <c r="F117" s="129"/>
      <c r="L117" s="105"/>
      <c r="M117" s="105"/>
    </row>
    <row r="118" spans="1:13" ht="12" customHeight="1">
      <c r="A118" s="124"/>
      <c r="E118" s="88"/>
      <c r="F118" s="129"/>
      <c r="L118" s="105"/>
      <c r="M118" s="105"/>
    </row>
    <row r="119" spans="1:13" ht="12" customHeight="1">
      <c r="A119" s="164"/>
      <c r="E119" s="88"/>
      <c r="F119" s="129"/>
      <c r="L119" s="105"/>
      <c r="M119" s="105"/>
    </row>
    <row r="120" spans="1:13" ht="12" customHeight="1">
      <c r="A120" s="164"/>
      <c r="E120" s="88"/>
      <c r="F120" s="129"/>
      <c r="L120" s="105"/>
      <c r="M120" s="105"/>
    </row>
    <row r="121" spans="1:13" ht="12" customHeight="1">
      <c r="A121" s="164"/>
      <c r="E121" s="88"/>
      <c r="F121" s="129"/>
      <c r="L121" s="105"/>
      <c r="M121" s="105"/>
    </row>
    <row r="122" spans="1:13" ht="12" customHeight="1">
      <c r="A122" s="164"/>
      <c r="E122" s="88"/>
      <c r="F122" s="129"/>
      <c r="L122" s="105"/>
      <c r="M122" s="105"/>
    </row>
    <row r="123" spans="1:13" ht="12" customHeight="1">
      <c r="A123" s="164"/>
      <c r="E123" s="88"/>
      <c r="F123" s="129"/>
      <c r="L123" s="105"/>
      <c r="M123" s="105"/>
    </row>
    <row r="124" spans="1:13" ht="12" customHeight="1">
      <c r="A124" s="164"/>
      <c r="E124" s="88"/>
      <c r="F124" s="129"/>
      <c r="L124" s="105"/>
      <c r="M124" s="105"/>
    </row>
    <row r="125" spans="1:13" ht="12" customHeight="1">
      <c r="A125" s="164"/>
      <c r="L125" s="105"/>
      <c r="M125" s="105"/>
    </row>
    <row r="126" spans="1:13" ht="12" customHeight="1">
      <c r="A126" s="124"/>
      <c r="L126" s="105"/>
      <c r="M126" s="105"/>
    </row>
    <row r="127" spans="1:13" ht="12" customHeight="1">
      <c r="A127" s="124"/>
      <c r="L127" s="105"/>
      <c r="M127" s="105"/>
    </row>
    <row r="128" spans="1:13" ht="12" customHeight="1">
      <c r="A128" s="124"/>
    </row>
    <row r="129" spans="1:13" ht="12" customHeight="1">
      <c r="A129" s="124"/>
      <c r="L129" s="105"/>
      <c r="M129" s="105"/>
    </row>
    <row r="130" spans="1:13" ht="12" customHeight="1">
      <c r="A130" s="124"/>
      <c r="L130" s="105"/>
      <c r="M130" s="105"/>
    </row>
    <row r="131" spans="1:13" ht="12" customHeight="1">
      <c r="A131" s="124"/>
      <c r="L131" s="105"/>
    </row>
    <row r="132" spans="1:13" ht="12" customHeight="1">
      <c r="A132" s="164"/>
    </row>
    <row r="133" spans="1:13" ht="12" customHeight="1">
      <c r="A133" s="164"/>
    </row>
    <row r="134" spans="1:13" ht="12" customHeight="1">
      <c r="A134" s="164"/>
    </row>
    <row r="135" spans="1:13" ht="12" customHeight="1">
      <c r="A135" s="164"/>
    </row>
    <row r="136" spans="1:13" ht="12" customHeight="1">
      <c r="A136" s="164"/>
    </row>
    <row r="137" spans="1:13" ht="12" customHeight="1">
      <c r="A137" s="164"/>
    </row>
    <row r="138" spans="1:13" ht="12" customHeight="1">
      <c r="A138" s="164"/>
    </row>
    <row r="139" spans="1:13" ht="12" customHeight="1">
      <c r="A139" s="164"/>
    </row>
    <row r="140" spans="1:13" ht="12" customHeight="1">
      <c r="A140" s="164"/>
    </row>
    <row r="141" spans="1:13" ht="12" customHeight="1">
      <c r="A141" s="164"/>
    </row>
    <row r="142" spans="1:13" ht="12" customHeight="1">
      <c r="A142" s="164"/>
    </row>
    <row r="143" spans="1:13" ht="12" customHeight="1">
      <c r="A143" s="164"/>
    </row>
    <row r="144" spans="1:13" ht="12" customHeight="1">
      <c r="A144" s="164"/>
    </row>
    <row r="145" spans="1:1" ht="12" customHeight="1">
      <c r="A145" s="164"/>
    </row>
    <row r="146" spans="1:1" ht="12" customHeight="1">
      <c r="A146" s="164"/>
    </row>
    <row r="147" spans="1:1" ht="12" customHeight="1">
      <c r="A147" s="164"/>
    </row>
    <row r="148" spans="1:1" ht="12" customHeight="1">
      <c r="A148" s="164"/>
    </row>
    <row r="149" spans="1:1" ht="12" customHeight="1">
      <c r="A149" s="164"/>
    </row>
  </sheetData>
  <mergeCells count="6">
    <mergeCell ref="M66:S66"/>
    <mergeCell ref="F60:J75"/>
    <mergeCell ref="B4:J14"/>
    <mergeCell ref="E16:J16"/>
    <mergeCell ref="B16:D16"/>
    <mergeCell ref="L72:L7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AK102"/>
  <sheetViews>
    <sheetView topLeftCell="A4" zoomScale="115" zoomScaleNormal="115" zoomScalePageLayoutView="115" workbookViewId="0">
      <selection activeCell="B2" sqref="B2"/>
    </sheetView>
  </sheetViews>
  <sheetFormatPr defaultColWidth="8.77734375" defaultRowHeight="12" customHeight="1"/>
  <cols>
    <col min="1" max="1" width="2.6640625" style="175" customWidth="1"/>
    <col min="2" max="2" width="17.44140625" style="175" customWidth="1"/>
    <col min="3" max="3" width="14" style="175" customWidth="1"/>
    <col min="4" max="11" width="10.6640625" style="175" customWidth="1"/>
    <col min="12" max="12" width="17.6640625" style="175" customWidth="1"/>
    <col min="13" max="17" width="10.6640625" style="175" customWidth="1"/>
    <col min="18" max="18" width="2.6640625" style="175" customWidth="1"/>
    <col min="19" max="21" width="8.6640625" style="476" customWidth="1"/>
    <col min="22" max="22" width="3.44140625" style="476" customWidth="1"/>
    <col min="23" max="25" width="8.6640625" style="476" customWidth="1"/>
    <col min="26" max="26" width="3.109375" style="476" customWidth="1"/>
    <col min="27" max="28" width="8.6640625" style="476" customWidth="1"/>
    <col min="29" max="29" width="9.33203125" style="476" customWidth="1"/>
    <col min="30" max="30" width="2.33203125" style="175" customWidth="1"/>
    <col min="31" max="31" width="16" style="175" bestFit="1" customWidth="1"/>
    <col min="32" max="16384" width="8.77734375" style="175"/>
  </cols>
  <sheetData>
    <row r="1" spans="1:37" s="172" customFormat="1" ht="12" customHeight="1">
      <c r="B1" s="173" t="s">
        <v>38</v>
      </c>
      <c r="S1" s="474"/>
      <c r="T1" s="475"/>
      <c r="U1" s="475"/>
      <c r="V1" s="475"/>
      <c r="W1" s="475"/>
      <c r="X1" s="475"/>
      <c r="Y1" s="475"/>
      <c r="Z1" s="475"/>
      <c r="AA1" s="475"/>
      <c r="AB1" s="475"/>
      <c r="AC1" s="475"/>
    </row>
    <row r="3" spans="1:37" ht="12" customHeight="1">
      <c r="A3" s="174"/>
      <c r="B3" s="726" t="s">
        <v>427</v>
      </c>
      <c r="C3" s="727"/>
      <c r="D3" s="727"/>
      <c r="E3" s="727"/>
      <c r="F3" s="727"/>
      <c r="G3" s="727"/>
      <c r="H3" s="727"/>
      <c r="I3" s="727"/>
      <c r="J3" s="727"/>
      <c r="K3" s="727"/>
      <c r="L3" s="727"/>
      <c r="M3" s="727"/>
      <c r="N3" s="727"/>
      <c r="O3" s="727"/>
      <c r="P3" s="727"/>
      <c r="Q3" s="728"/>
      <c r="R3" s="174"/>
      <c r="S3" s="732" t="s">
        <v>566</v>
      </c>
      <c r="T3" s="733"/>
      <c r="U3" s="733"/>
      <c r="V3" s="733"/>
      <c r="W3" s="733"/>
      <c r="X3" s="733"/>
      <c r="Y3" s="734"/>
      <c r="Z3" s="178"/>
      <c r="AA3" s="732" t="s">
        <v>567</v>
      </c>
      <c r="AB3" s="733"/>
      <c r="AC3" s="734"/>
      <c r="AE3" s="732" t="s">
        <v>507</v>
      </c>
      <c r="AF3" s="733"/>
      <c r="AG3" s="733"/>
      <c r="AH3" s="733"/>
      <c r="AI3" s="733"/>
      <c r="AJ3" s="733"/>
      <c r="AK3" s="734"/>
    </row>
    <row r="4" spans="1:37" ht="12" customHeight="1">
      <c r="A4" s="174"/>
      <c r="B4" s="450"/>
      <c r="C4" s="462"/>
      <c r="D4" s="729" t="s">
        <v>383</v>
      </c>
      <c r="E4" s="730"/>
      <c r="F4" s="730" t="s">
        <v>384</v>
      </c>
      <c r="G4" s="730"/>
      <c r="H4" s="730" t="s">
        <v>29</v>
      </c>
      <c r="I4" s="730"/>
      <c r="J4" s="730" t="s">
        <v>30</v>
      </c>
      <c r="K4" s="730"/>
      <c r="L4" s="730" t="s">
        <v>31</v>
      </c>
      <c r="M4" s="730"/>
      <c r="N4" s="730" t="s">
        <v>32</v>
      </c>
      <c r="O4" s="730"/>
      <c r="P4" s="730" t="s">
        <v>64</v>
      </c>
      <c r="Q4" s="738"/>
      <c r="R4" s="174"/>
      <c r="S4" s="735" t="s">
        <v>65</v>
      </c>
      <c r="T4" s="736"/>
      <c r="U4" s="737"/>
      <c r="V4" s="177"/>
      <c r="W4" s="735" t="s">
        <v>66</v>
      </c>
      <c r="X4" s="736"/>
      <c r="Y4" s="737"/>
      <c r="Z4" s="477"/>
      <c r="AA4" s="735" t="s">
        <v>66</v>
      </c>
      <c r="AB4" s="736"/>
      <c r="AC4" s="737"/>
      <c r="AE4" s="735" t="s">
        <v>396</v>
      </c>
      <c r="AF4" s="736"/>
      <c r="AG4" s="736"/>
      <c r="AH4" s="736"/>
      <c r="AI4" s="736"/>
      <c r="AJ4" s="736"/>
      <c r="AK4" s="737"/>
    </row>
    <row r="5" spans="1:37" ht="12" customHeight="1">
      <c r="A5" s="174"/>
      <c r="B5" s="481" t="s">
        <v>390</v>
      </c>
      <c r="C5" s="481" t="s">
        <v>67</v>
      </c>
      <c r="D5" s="482" t="s">
        <v>34</v>
      </c>
      <c r="E5" s="483" t="s">
        <v>35</v>
      </c>
      <c r="F5" s="482" t="s">
        <v>34</v>
      </c>
      <c r="G5" s="483" t="s">
        <v>35</v>
      </c>
      <c r="H5" s="484" t="s">
        <v>34</v>
      </c>
      <c r="I5" s="483" t="s">
        <v>35</v>
      </c>
      <c r="J5" s="484" t="s">
        <v>34</v>
      </c>
      <c r="K5" s="483" t="s">
        <v>35</v>
      </c>
      <c r="L5" s="484" t="s">
        <v>34</v>
      </c>
      <c r="M5" s="483" t="s">
        <v>35</v>
      </c>
      <c r="N5" s="484" t="s">
        <v>34</v>
      </c>
      <c r="O5" s="483" t="s">
        <v>35</v>
      </c>
      <c r="P5" s="484" t="s">
        <v>34</v>
      </c>
      <c r="Q5" s="483" t="s">
        <v>35</v>
      </c>
      <c r="R5" s="174"/>
      <c r="S5" s="725" t="s">
        <v>68</v>
      </c>
      <c r="T5" s="725"/>
      <c r="U5" s="725"/>
      <c r="W5" s="725" t="s">
        <v>68</v>
      </c>
      <c r="X5" s="725"/>
      <c r="Y5" s="725"/>
      <c r="Z5" s="188"/>
      <c r="AA5" s="725" t="s">
        <v>379</v>
      </c>
      <c r="AB5" s="725"/>
      <c r="AC5" s="725"/>
      <c r="AE5" s="485" t="s">
        <v>574</v>
      </c>
      <c r="AF5" s="486"/>
      <c r="AG5" s="487"/>
      <c r="AH5" s="488">
        <v>0.25</v>
      </c>
      <c r="AI5" s="488">
        <v>0.5</v>
      </c>
      <c r="AJ5" s="488">
        <v>0.75</v>
      </c>
      <c r="AK5" s="488">
        <v>1</v>
      </c>
    </row>
    <row r="6" spans="1:37" ht="12" customHeight="1">
      <c r="A6" s="174"/>
      <c r="B6" s="183" t="s">
        <v>21</v>
      </c>
      <c r="C6" s="183" t="s">
        <v>72</v>
      </c>
      <c r="D6" s="184">
        <v>1</v>
      </c>
      <c r="E6" s="448">
        <v>0</v>
      </c>
      <c r="F6" s="184">
        <v>0</v>
      </c>
      <c r="G6" s="185">
        <v>1</v>
      </c>
      <c r="H6" s="184">
        <v>0</v>
      </c>
      <c r="I6" s="186">
        <v>1</v>
      </c>
      <c r="J6" s="184">
        <v>0</v>
      </c>
      <c r="K6" s="185">
        <v>1</v>
      </c>
      <c r="L6" s="184">
        <v>0</v>
      </c>
      <c r="M6" s="448">
        <v>1</v>
      </c>
      <c r="N6" s="184">
        <v>1</v>
      </c>
      <c r="O6" s="448">
        <v>0</v>
      </c>
      <c r="P6" s="184">
        <v>0</v>
      </c>
      <c r="Q6" s="448">
        <v>1</v>
      </c>
      <c r="R6" s="174"/>
      <c r="S6" s="412" t="s">
        <v>335</v>
      </c>
      <c r="T6" s="412" t="s">
        <v>336</v>
      </c>
      <c r="U6" s="413" t="s">
        <v>70</v>
      </c>
      <c r="W6" s="412" t="s">
        <v>335</v>
      </c>
      <c r="X6" s="412" t="s">
        <v>336</v>
      </c>
      <c r="Y6" s="413" t="s">
        <v>70</v>
      </c>
      <c r="Z6" s="188"/>
      <c r="AA6" s="412" t="s">
        <v>335</v>
      </c>
      <c r="AB6" s="412" t="s">
        <v>336</v>
      </c>
      <c r="AC6" s="413" t="s">
        <v>70</v>
      </c>
      <c r="AE6" s="485" t="s">
        <v>391</v>
      </c>
      <c r="AF6" s="486"/>
      <c r="AG6" s="487"/>
      <c r="AH6" s="488">
        <v>0.25</v>
      </c>
      <c r="AI6" s="488">
        <v>0.25</v>
      </c>
      <c r="AJ6" s="488">
        <v>0.25</v>
      </c>
      <c r="AK6" s="488">
        <v>0.25</v>
      </c>
    </row>
    <row r="7" spans="1:37" ht="12" customHeight="1">
      <c r="A7" s="174"/>
      <c r="B7" s="183" t="s">
        <v>14</v>
      </c>
      <c r="C7" s="183" t="s">
        <v>73</v>
      </c>
      <c r="D7" s="184">
        <v>1</v>
      </c>
      <c r="E7" s="448">
        <v>0</v>
      </c>
      <c r="F7" s="184">
        <v>0.01</v>
      </c>
      <c r="G7" s="185">
        <v>0.99</v>
      </c>
      <c r="H7" s="184">
        <v>0.01</v>
      </c>
      <c r="I7" s="186">
        <v>0.99</v>
      </c>
      <c r="J7" s="184">
        <v>0.01</v>
      </c>
      <c r="K7" s="185">
        <v>0.99</v>
      </c>
      <c r="L7" s="184">
        <v>0.01</v>
      </c>
      <c r="M7" s="448">
        <v>0.99</v>
      </c>
      <c r="N7" s="184">
        <v>1</v>
      </c>
      <c r="O7" s="448">
        <v>0</v>
      </c>
      <c r="P7" s="184">
        <v>0.01</v>
      </c>
      <c r="Q7" s="448">
        <v>0.99</v>
      </c>
      <c r="R7" s="174"/>
      <c r="S7" s="461">
        <v>1</v>
      </c>
      <c r="T7" s="461">
        <v>876</v>
      </c>
      <c r="U7" s="187">
        <v>3.4999999999999996E-3</v>
      </c>
      <c r="W7" s="461">
        <v>1</v>
      </c>
      <c r="X7" s="461">
        <v>1752</v>
      </c>
      <c r="Y7" s="189">
        <v>3.7885963250615644E-4</v>
      </c>
      <c r="Z7" s="188"/>
      <c r="AA7" s="461">
        <v>1</v>
      </c>
      <c r="AB7" s="461">
        <v>1752</v>
      </c>
      <c r="AC7" s="190">
        <v>0.2857142857142857</v>
      </c>
      <c r="AE7" s="735" t="s">
        <v>397</v>
      </c>
      <c r="AF7" s="736"/>
      <c r="AG7" s="736"/>
      <c r="AH7" s="736"/>
      <c r="AI7" s="736"/>
      <c r="AJ7" s="736"/>
      <c r="AK7" s="737"/>
    </row>
    <row r="8" spans="1:37" ht="12" customHeight="1">
      <c r="A8" s="174"/>
      <c r="B8" s="183" t="s">
        <v>20</v>
      </c>
      <c r="C8" s="183" t="s">
        <v>74</v>
      </c>
      <c r="D8" s="184">
        <v>1</v>
      </c>
      <c r="E8" s="448">
        <v>0</v>
      </c>
      <c r="F8" s="184">
        <v>0.01</v>
      </c>
      <c r="G8" s="185">
        <v>0.99</v>
      </c>
      <c r="H8" s="184">
        <v>0.01</v>
      </c>
      <c r="I8" s="186">
        <v>0.99</v>
      </c>
      <c r="J8" s="184">
        <v>0.01</v>
      </c>
      <c r="K8" s="185">
        <v>0.99</v>
      </c>
      <c r="L8" s="184">
        <v>0.01</v>
      </c>
      <c r="M8" s="448">
        <v>0.99</v>
      </c>
      <c r="N8" s="184">
        <v>1</v>
      </c>
      <c r="O8" s="448">
        <v>0</v>
      </c>
      <c r="P8" s="184">
        <v>0.01</v>
      </c>
      <c r="Q8" s="448">
        <v>0.99</v>
      </c>
      <c r="R8" s="174"/>
      <c r="S8" s="461">
        <v>876</v>
      </c>
      <c r="T8" s="461">
        <v>1752</v>
      </c>
      <c r="U8" s="190">
        <v>1.7000000000000001E-2</v>
      </c>
      <c r="W8" s="461">
        <v>1752</v>
      </c>
      <c r="X8" s="461">
        <v>2628</v>
      </c>
      <c r="Y8" s="190">
        <v>1.7711687819662814E-2</v>
      </c>
      <c r="Z8" s="188"/>
      <c r="AA8" s="461">
        <v>1752</v>
      </c>
      <c r="AB8" s="461">
        <v>2628</v>
      </c>
      <c r="AC8" s="190">
        <v>7.1428571428571425E-2</v>
      </c>
      <c r="AE8" s="485" t="s">
        <v>574</v>
      </c>
      <c r="AF8" s="486"/>
      <c r="AG8" s="487"/>
      <c r="AH8" s="488">
        <v>0.25</v>
      </c>
      <c r="AI8" s="488">
        <v>0.5</v>
      </c>
      <c r="AJ8" s="488">
        <v>0.75</v>
      </c>
      <c r="AK8" s="488">
        <v>1</v>
      </c>
    </row>
    <row r="9" spans="1:37" ht="12" customHeight="1">
      <c r="A9" s="174"/>
      <c r="B9" s="183" t="s">
        <v>22</v>
      </c>
      <c r="C9" s="183" t="s">
        <v>75</v>
      </c>
      <c r="D9" s="184">
        <v>1</v>
      </c>
      <c r="E9" s="448">
        <v>0</v>
      </c>
      <c r="F9" s="184">
        <v>0.01</v>
      </c>
      <c r="G9" s="185">
        <v>0.99</v>
      </c>
      <c r="H9" s="184">
        <v>0.01</v>
      </c>
      <c r="I9" s="186">
        <v>0.99</v>
      </c>
      <c r="J9" s="184">
        <v>0.01</v>
      </c>
      <c r="K9" s="185">
        <v>0.99</v>
      </c>
      <c r="L9" s="184">
        <v>0.01</v>
      </c>
      <c r="M9" s="448">
        <v>0.99</v>
      </c>
      <c r="N9" s="184">
        <v>1</v>
      </c>
      <c r="O9" s="448">
        <v>0</v>
      </c>
      <c r="P9" s="184">
        <v>0.01</v>
      </c>
      <c r="Q9" s="448">
        <v>0.99</v>
      </c>
      <c r="R9" s="174"/>
      <c r="S9" s="461">
        <v>1752</v>
      </c>
      <c r="T9" s="461">
        <v>2628</v>
      </c>
      <c r="U9" s="190">
        <v>0.13600000000000001</v>
      </c>
      <c r="W9" s="461">
        <v>2628</v>
      </c>
      <c r="X9" s="461">
        <v>3504</v>
      </c>
      <c r="Y9" s="190">
        <v>6.0617541200985031E-3</v>
      </c>
      <c r="Z9" s="188"/>
      <c r="AA9" s="461">
        <v>2628</v>
      </c>
      <c r="AB9" s="461">
        <v>3504</v>
      </c>
      <c r="AC9" s="190">
        <v>0.6428571428571429</v>
      </c>
      <c r="AE9" s="485" t="s">
        <v>391</v>
      </c>
      <c r="AF9" s="486"/>
      <c r="AG9" s="487"/>
      <c r="AH9" s="488">
        <v>0</v>
      </c>
      <c r="AI9" s="488">
        <v>0.5</v>
      </c>
      <c r="AJ9" s="488">
        <v>0.5</v>
      </c>
      <c r="AK9" s="488">
        <v>0</v>
      </c>
    </row>
    <row r="10" spans="1:37" ht="12" customHeight="1">
      <c r="A10" s="174"/>
      <c r="B10" s="183" t="s">
        <v>23</v>
      </c>
      <c r="C10" s="183" t="s">
        <v>76</v>
      </c>
      <c r="D10" s="184">
        <v>1</v>
      </c>
      <c r="E10" s="448">
        <v>0</v>
      </c>
      <c r="F10" s="184">
        <v>0.01</v>
      </c>
      <c r="G10" s="185">
        <v>0.99</v>
      </c>
      <c r="H10" s="184">
        <v>0.01</v>
      </c>
      <c r="I10" s="186">
        <v>0.99</v>
      </c>
      <c r="J10" s="184">
        <v>0.01</v>
      </c>
      <c r="K10" s="185">
        <v>0.99</v>
      </c>
      <c r="L10" s="184">
        <v>0.01</v>
      </c>
      <c r="M10" s="448">
        <v>0.99</v>
      </c>
      <c r="N10" s="184">
        <v>1</v>
      </c>
      <c r="O10" s="448">
        <v>0</v>
      </c>
      <c r="P10" s="184">
        <v>0.01</v>
      </c>
      <c r="Q10" s="448">
        <v>0.99</v>
      </c>
      <c r="R10" s="174"/>
      <c r="S10" s="461">
        <v>2628</v>
      </c>
      <c r="T10" s="461">
        <v>3504</v>
      </c>
      <c r="U10" s="190">
        <v>3.61E-2</v>
      </c>
      <c r="W10" s="461">
        <v>3504</v>
      </c>
      <c r="X10" s="461">
        <v>4380</v>
      </c>
      <c r="Y10" s="190">
        <v>4.006440613752605E-2</v>
      </c>
      <c r="Z10" s="188"/>
      <c r="AA10" s="461">
        <v>3504</v>
      </c>
      <c r="AB10" s="461">
        <v>4380</v>
      </c>
      <c r="AC10" s="190">
        <v>0</v>
      </c>
      <c r="AE10" s="735" t="s">
        <v>394</v>
      </c>
      <c r="AF10" s="736"/>
      <c r="AG10" s="736"/>
      <c r="AH10" s="736"/>
      <c r="AI10" s="736"/>
      <c r="AJ10" s="736"/>
      <c r="AK10" s="737"/>
    </row>
    <row r="11" spans="1:37" ht="12" customHeight="1">
      <c r="A11" s="174"/>
      <c r="B11" s="183" t="s">
        <v>24</v>
      </c>
      <c r="C11" s="183" t="s">
        <v>78</v>
      </c>
      <c r="D11" s="184">
        <v>1</v>
      </c>
      <c r="E11" s="448">
        <v>0</v>
      </c>
      <c r="F11" s="184">
        <v>0.01</v>
      </c>
      <c r="G11" s="185">
        <v>0.99</v>
      </c>
      <c r="H11" s="184">
        <v>0.01</v>
      </c>
      <c r="I11" s="186">
        <v>0.99</v>
      </c>
      <c r="J11" s="184">
        <v>0.01</v>
      </c>
      <c r="K11" s="185">
        <v>0.99</v>
      </c>
      <c r="L11" s="184">
        <v>0.01</v>
      </c>
      <c r="M11" s="448">
        <v>0.99</v>
      </c>
      <c r="N11" s="184">
        <v>1</v>
      </c>
      <c r="O11" s="448">
        <v>0</v>
      </c>
      <c r="P11" s="184">
        <v>0.01</v>
      </c>
      <c r="Q11" s="448">
        <v>0.99</v>
      </c>
      <c r="R11" s="174"/>
      <c r="S11" s="461">
        <v>3504</v>
      </c>
      <c r="T11" s="461">
        <v>4380</v>
      </c>
      <c r="U11" s="190">
        <v>6.0899999999999996E-2</v>
      </c>
      <c r="W11" s="461">
        <v>4380</v>
      </c>
      <c r="X11" s="461">
        <v>5256</v>
      </c>
      <c r="Y11" s="190">
        <v>6.4595567342299681E-2</v>
      </c>
      <c r="Z11" s="188"/>
      <c r="AA11" s="461">
        <v>4380</v>
      </c>
      <c r="AB11" s="461">
        <v>5256</v>
      </c>
      <c r="AC11" s="190">
        <v>0</v>
      </c>
      <c r="AE11" s="485" t="s">
        <v>574</v>
      </c>
      <c r="AF11" s="486"/>
      <c r="AG11" s="487"/>
      <c r="AH11" s="488">
        <v>0.25</v>
      </c>
      <c r="AI11" s="488">
        <v>0.5</v>
      </c>
      <c r="AJ11" s="488">
        <v>0.75</v>
      </c>
      <c r="AK11" s="488">
        <v>1</v>
      </c>
    </row>
    <row r="12" spans="1:37" ht="12" customHeight="1">
      <c r="A12" s="174"/>
      <c r="B12" s="183" t="s">
        <v>25</v>
      </c>
      <c r="C12" s="183" t="s">
        <v>79</v>
      </c>
      <c r="D12" s="184">
        <v>1</v>
      </c>
      <c r="E12" s="448">
        <v>0</v>
      </c>
      <c r="F12" s="184">
        <v>0.6</v>
      </c>
      <c r="G12" s="185">
        <v>0.4</v>
      </c>
      <c r="H12" s="184">
        <v>0.6</v>
      </c>
      <c r="I12" s="186">
        <v>0.4</v>
      </c>
      <c r="J12" s="184">
        <v>0.6</v>
      </c>
      <c r="K12" s="185">
        <v>0.4</v>
      </c>
      <c r="L12" s="184">
        <v>0.6</v>
      </c>
      <c r="M12" s="448">
        <v>0.4</v>
      </c>
      <c r="N12" s="184">
        <v>1</v>
      </c>
      <c r="O12" s="448">
        <v>0</v>
      </c>
      <c r="P12" s="184">
        <v>0.6</v>
      </c>
      <c r="Q12" s="448">
        <v>0.4</v>
      </c>
      <c r="R12" s="174"/>
      <c r="S12" s="461">
        <v>4380</v>
      </c>
      <c r="T12" s="461">
        <v>5255</v>
      </c>
      <c r="U12" s="190">
        <v>7.3700000000000002E-2</v>
      </c>
      <c r="V12" s="478"/>
      <c r="W12" s="461">
        <v>5256</v>
      </c>
      <c r="X12" s="461">
        <v>6132</v>
      </c>
      <c r="Y12" s="190">
        <v>0.11157416177306308</v>
      </c>
      <c r="Z12" s="188"/>
      <c r="AA12" s="461">
        <v>5256</v>
      </c>
      <c r="AB12" s="461">
        <v>6132</v>
      </c>
      <c r="AC12" s="190">
        <v>0</v>
      </c>
      <c r="AE12" s="485" t="s">
        <v>391</v>
      </c>
      <c r="AF12" s="486"/>
      <c r="AG12" s="487"/>
      <c r="AH12" s="488">
        <v>0.05</v>
      </c>
      <c r="AI12" s="488">
        <v>0.35</v>
      </c>
      <c r="AJ12" s="488">
        <v>0.55000000000000004</v>
      </c>
      <c r="AK12" s="488">
        <v>0.05</v>
      </c>
    </row>
    <row r="13" spans="1:37" ht="12" customHeight="1">
      <c r="A13" s="174"/>
      <c r="B13" s="183" t="s">
        <v>26</v>
      </c>
      <c r="C13" s="183" t="s">
        <v>80</v>
      </c>
      <c r="D13" s="184">
        <v>1</v>
      </c>
      <c r="E13" s="448">
        <v>0</v>
      </c>
      <c r="F13" s="184">
        <v>0.6</v>
      </c>
      <c r="G13" s="185">
        <v>0.4</v>
      </c>
      <c r="H13" s="184">
        <v>0.6</v>
      </c>
      <c r="I13" s="186">
        <v>0.4</v>
      </c>
      <c r="J13" s="184">
        <v>0.6</v>
      </c>
      <c r="K13" s="185">
        <v>0.4</v>
      </c>
      <c r="L13" s="184">
        <v>0.6</v>
      </c>
      <c r="M13" s="448">
        <v>0.4</v>
      </c>
      <c r="N13" s="184">
        <v>1</v>
      </c>
      <c r="O13" s="448">
        <v>0</v>
      </c>
      <c r="P13" s="184">
        <v>0.6</v>
      </c>
      <c r="Q13" s="448">
        <v>0.4</v>
      </c>
      <c r="R13" s="174"/>
      <c r="S13" s="461">
        <v>5255</v>
      </c>
      <c r="T13" s="461">
        <v>6131</v>
      </c>
      <c r="U13" s="190">
        <v>0.10199999999999999</v>
      </c>
      <c r="V13" s="478"/>
      <c r="W13" s="461">
        <v>6132</v>
      </c>
      <c r="X13" s="461">
        <v>7008</v>
      </c>
      <c r="Y13" s="190">
        <v>0.27940897897329042</v>
      </c>
      <c r="Z13" s="188"/>
      <c r="AA13" s="461">
        <v>6132</v>
      </c>
      <c r="AB13" s="461">
        <v>7008</v>
      </c>
      <c r="AC13" s="190">
        <v>0</v>
      </c>
      <c r="AE13" s="735" t="s">
        <v>395</v>
      </c>
      <c r="AF13" s="736"/>
      <c r="AG13" s="736"/>
      <c r="AH13" s="736"/>
      <c r="AI13" s="736"/>
      <c r="AJ13" s="736"/>
      <c r="AK13" s="737"/>
    </row>
    <row r="14" spans="1:37" ht="12" customHeight="1">
      <c r="A14" s="174"/>
      <c r="B14" s="191" t="s">
        <v>27</v>
      </c>
      <c r="C14" s="191" t="s">
        <v>81</v>
      </c>
      <c r="D14" s="192">
        <v>1</v>
      </c>
      <c r="E14" s="449">
        <v>0</v>
      </c>
      <c r="F14" s="192">
        <v>0</v>
      </c>
      <c r="G14" s="193">
        <v>0</v>
      </c>
      <c r="H14" s="192">
        <v>0.72</v>
      </c>
      <c r="I14" s="194">
        <v>0.28000000000000003</v>
      </c>
      <c r="J14" s="192">
        <v>0.72</v>
      </c>
      <c r="K14" s="193">
        <v>0.28000000000000003</v>
      </c>
      <c r="L14" s="192">
        <v>0</v>
      </c>
      <c r="M14" s="449">
        <v>0</v>
      </c>
      <c r="N14" s="192">
        <v>1</v>
      </c>
      <c r="O14" s="449">
        <v>0</v>
      </c>
      <c r="P14" s="192">
        <v>0</v>
      </c>
      <c r="Q14" s="449">
        <v>0</v>
      </c>
      <c r="R14" s="174"/>
      <c r="S14" s="461">
        <v>6131</v>
      </c>
      <c r="T14" s="461">
        <v>7007</v>
      </c>
      <c r="U14" s="190">
        <v>7.7199999999999991E-2</v>
      </c>
      <c r="V14" s="478"/>
      <c r="W14" s="461">
        <v>7008</v>
      </c>
      <c r="X14" s="461">
        <v>7884</v>
      </c>
      <c r="Y14" s="190">
        <v>0.33273347224853189</v>
      </c>
      <c r="Z14" s="188"/>
      <c r="AA14" s="461">
        <v>7008</v>
      </c>
      <c r="AB14" s="461">
        <v>7884</v>
      </c>
      <c r="AC14" s="190">
        <v>0</v>
      </c>
      <c r="AE14" s="485" t="s">
        <v>574</v>
      </c>
      <c r="AF14" s="486"/>
      <c r="AG14" s="487"/>
      <c r="AH14" s="488">
        <v>0.25</v>
      </c>
      <c r="AI14" s="488">
        <v>0.5</v>
      </c>
      <c r="AJ14" s="488">
        <v>0.75</v>
      </c>
      <c r="AK14" s="488">
        <v>1</v>
      </c>
    </row>
    <row r="15" spans="1:37" ht="12" customHeight="1">
      <c r="A15" s="174"/>
      <c r="B15" s="174"/>
      <c r="C15" s="174"/>
      <c r="D15" s="174"/>
      <c r="E15" s="174"/>
      <c r="F15" s="174"/>
      <c r="G15" s="174"/>
      <c r="H15" s="174"/>
      <c r="I15" s="174"/>
      <c r="J15" s="174"/>
      <c r="K15" s="174"/>
      <c r="L15" s="174"/>
      <c r="M15" s="174"/>
      <c r="N15" s="174"/>
      <c r="O15" s="174"/>
      <c r="P15" s="174"/>
      <c r="Q15" s="174"/>
      <c r="R15" s="174"/>
      <c r="S15" s="461">
        <v>7007</v>
      </c>
      <c r="T15" s="461">
        <v>7883</v>
      </c>
      <c r="U15" s="190">
        <v>0.10980000000000001</v>
      </c>
      <c r="V15" s="478"/>
      <c r="W15" s="461">
        <v>7884</v>
      </c>
      <c r="X15" s="461">
        <v>8759</v>
      </c>
      <c r="Y15" s="190">
        <v>7.4256487971206667E-2</v>
      </c>
      <c r="Z15" s="188"/>
      <c r="AA15" s="461">
        <v>7884</v>
      </c>
      <c r="AB15" s="461">
        <v>8759</v>
      </c>
      <c r="AC15" s="190">
        <v>0</v>
      </c>
      <c r="AE15" s="485" t="s">
        <v>391</v>
      </c>
      <c r="AF15" s="486"/>
      <c r="AG15" s="487"/>
      <c r="AH15" s="488">
        <v>0</v>
      </c>
      <c r="AI15" s="488">
        <v>0.5</v>
      </c>
      <c r="AJ15" s="488">
        <v>0.5</v>
      </c>
      <c r="AK15" s="488">
        <v>0</v>
      </c>
    </row>
    <row r="16" spans="1:37" ht="12" customHeight="1">
      <c r="A16" s="174"/>
      <c r="B16" s="726" t="s">
        <v>426</v>
      </c>
      <c r="C16" s="727"/>
      <c r="D16" s="727"/>
      <c r="E16" s="727"/>
      <c r="F16" s="727"/>
      <c r="G16" s="727"/>
      <c r="H16" s="727"/>
      <c r="I16" s="727"/>
      <c r="J16" s="727"/>
      <c r="K16" s="727"/>
      <c r="L16" s="727"/>
      <c r="M16" s="727"/>
      <c r="N16" s="727"/>
      <c r="O16" s="727"/>
      <c r="P16" s="727"/>
      <c r="Q16" s="728"/>
      <c r="R16" s="174"/>
      <c r="S16" s="461">
        <v>7883</v>
      </c>
      <c r="T16" s="461">
        <v>8759</v>
      </c>
      <c r="U16" s="190">
        <v>0.1176</v>
      </c>
      <c r="V16" s="478"/>
      <c r="W16" s="461">
        <v>8760</v>
      </c>
      <c r="X16" s="461">
        <v>8760</v>
      </c>
      <c r="Y16" s="190">
        <v>7.3214623981814733E-2</v>
      </c>
      <c r="Z16" s="188"/>
      <c r="AA16" s="461">
        <v>8760</v>
      </c>
      <c r="AB16" s="461">
        <v>8760</v>
      </c>
      <c r="AC16" s="190">
        <v>0</v>
      </c>
    </row>
    <row r="17" spans="1:30" ht="12" customHeight="1">
      <c r="A17" s="174"/>
      <c r="B17" s="450"/>
      <c r="C17" s="176"/>
      <c r="D17" s="729" t="s">
        <v>383</v>
      </c>
      <c r="E17" s="730"/>
      <c r="F17" s="730" t="s">
        <v>384</v>
      </c>
      <c r="G17" s="730"/>
      <c r="H17" s="730" t="s">
        <v>29</v>
      </c>
      <c r="I17" s="730"/>
      <c r="J17" s="730" t="s">
        <v>30</v>
      </c>
      <c r="K17" s="730"/>
      <c r="L17" s="730" t="s">
        <v>31</v>
      </c>
      <c r="M17" s="730"/>
      <c r="N17" s="730" t="s">
        <v>32</v>
      </c>
      <c r="O17" s="730"/>
      <c r="P17" s="730" t="s">
        <v>64</v>
      </c>
      <c r="Q17" s="738"/>
      <c r="R17" s="174"/>
      <c r="S17" s="461">
        <v>8760</v>
      </c>
      <c r="T17" s="461">
        <v>8760</v>
      </c>
      <c r="U17" s="190">
        <v>0.26619999999999999</v>
      </c>
      <c r="V17" s="478"/>
      <c r="W17" s="739" t="s">
        <v>565</v>
      </c>
      <c r="X17" s="740"/>
      <c r="Y17" s="612">
        <v>6738</v>
      </c>
      <c r="Z17" s="188"/>
      <c r="AA17" s="739" t="s">
        <v>565</v>
      </c>
      <c r="AB17" s="740"/>
      <c r="AC17" s="612">
        <v>2501</v>
      </c>
    </row>
    <row r="18" spans="1:30" ht="20.25" customHeight="1">
      <c r="A18" s="174"/>
      <c r="B18" s="179" t="s">
        <v>390</v>
      </c>
      <c r="C18" s="179" t="s">
        <v>67</v>
      </c>
      <c r="D18" s="180" t="s">
        <v>34</v>
      </c>
      <c r="E18" s="181" t="s">
        <v>35</v>
      </c>
      <c r="F18" s="180" t="s">
        <v>34</v>
      </c>
      <c r="G18" s="181" t="s">
        <v>35</v>
      </c>
      <c r="H18" s="182" t="s">
        <v>34</v>
      </c>
      <c r="I18" s="181" t="s">
        <v>35</v>
      </c>
      <c r="J18" s="182" t="s">
        <v>34</v>
      </c>
      <c r="K18" s="181" t="s">
        <v>35</v>
      </c>
      <c r="L18" s="182" t="s">
        <v>34</v>
      </c>
      <c r="M18" s="181" t="s">
        <v>35</v>
      </c>
      <c r="N18" s="182" t="s">
        <v>34</v>
      </c>
      <c r="O18" s="181" t="s">
        <v>35</v>
      </c>
      <c r="P18" s="182" t="s">
        <v>34</v>
      </c>
      <c r="Q18" s="181" t="s">
        <v>35</v>
      </c>
      <c r="R18" s="174"/>
      <c r="S18" s="723" t="s">
        <v>565</v>
      </c>
      <c r="T18" s="723"/>
      <c r="U18" s="197">
        <v>6289</v>
      </c>
      <c r="V18" s="478"/>
      <c r="W18" s="724" t="s">
        <v>82</v>
      </c>
      <c r="X18" s="724"/>
      <c r="Y18" s="724"/>
      <c r="Z18" s="188"/>
      <c r="AA18" s="724" t="s">
        <v>380</v>
      </c>
      <c r="AB18" s="724"/>
      <c r="AC18" s="724"/>
    </row>
    <row r="19" spans="1:30" ht="12" customHeight="1">
      <c r="A19" s="174"/>
      <c r="B19" s="183" t="s">
        <v>21</v>
      </c>
      <c r="C19" s="183" t="s">
        <v>72</v>
      </c>
      <c r="D19" s="184">
        <v>0</v>
      </c>
      <c r="E19" s="448">
        <v>0</v>
      </c>
      <c r="F19" s="184">
        <v>0</v>
      </c>
      <c r="G19" s="185">
        <v>0</v>
      </c>
      <c r="H19" s="184">
        <v>0</v>
      </c>
      <c r="I19" s="186">
        <v>1</v>
      </c>
      <c r="J19" s="184">
        <v>0</v>
      </c>
      <c r="K19" s="185">
        <v>1</v>
      </c>
      <c r="L19" s="184">
        <v>0</v>
      </c>
      <c r="M19" s="448">
        <v>0</v>
      </c>
      <c r="N19" s="184">
        <v>0</v>
      </c>
      <c r="O19" s="448">
        <v>0</v>
      </c>
      <c r="P19" s="184">
        <v>0</v>
      </c>
      <c r="Q19" s="448">
        <v>0</v>
      </c>
      <c r="R19" s="174"/>
      <c r="S19" s="724" t="s">
        <v>82</v>
      </c>
      <c r="T19" s="724"/>
      <c r="U19" s="724"/>
      <c r="W19" s="412" t="s">
        <v>335</v>
      </c>
      <c r="X19" s="412" t="s">
        <v>336</v>
      </c>
      <c r="Y19" s="413" t="s">
        <v>70</v>
      </c>
      <c r="Z19" s="188"/>
      <c r="AA19" s="412" t="s">
        <v>335</v>
      </c>
      <c r="AB19" s="412" t="s">
        <v>336</v>
      </c>
      <c r="AC19" s="413" t="s">
        <v>70</v>
      </c>
    </row>
    <row r="20" spans="1:30" ht="12" customHeight="1">
      <c r="A20" s="174"/>
      <c r="B20" s="183" t="s">
        <v>14</v>
      </c>
      <c r="C20" s="183" t="s">
        <v>73</v>
      </c>
      <c r="D20" s="184">
        <v>0</v>
      </c>
      <c r="E20" s="448">
        <v>1</v>
      </c>
      <c r="F20" s="184">
        <v>0</v>
      </c>
      <c r="G20" s="185">
        <v>1</v>
      </c>
      <c r="H20" s="184">
        <v>0</v>
      </c>
      <c r="I20" s="186">
        <v>1</v>
      </c>
      <c r="J20" s="184">
        <v>0</v>
      </c>
      <c r="K20" s="185">
        <v>1</v>
      </c>
      <c r="L20" s="184">
        <v>0</v>
      </c>
      <c r="M20" s="448">
        <v>0</v>
      </c>
      <c r="N20" s="184">
        <v>0</v>
      </c>
      <c r="O20" s="448">
        <v>0</v>
      </c>
      <c r="P20" s="184">
        <v>0</v>
      </c>
      <c r="Q20" s="448">
        <v>0</v>
      </c>
      <c r="R20" s="174"/>
      <c r="S20" s="412" t="s">
        <v>335</v>
      </c>
      <c r="T20" s="412" t="s">
        <v>336</v>
      </c>
      <c r="U20" s="413" t="s">
        <v>70</v>
      </c>
      <c r="W20" s="461">
        <v>1</v>
      </c>
      <c r="X20" s="461">
        <v>1752</v>
      </c>
      <c r="Y20" s="190">
        <v>0.10124688279301745</v>
      </c>
      <c r="Z20" s="188"/>
      <c r="AA20" s="461">
        <v>1</v>
      </c>
      <c r="AB20" s="461">
        <v>1752</v>
      </c>
      <c r="AC20" s="190">
        <v>0</v>
      </c>
    </row>
    <row r="21" spans="1:30" ht="12" customHeight="1">
      <c r="A21" s="174"/>
      <c r="B21" s="183" t="s">
        <v>20</v>
      </c>
      <c r="C21" s="183" t="s">
        <v>74</v>
      </c>
      <c r="D21" s="184">
        <v>0</v>
      </c>
      <c r="E21" s="448">
        <v>1</v>
      </c>
      <c r="F21" s="184">
        <v>0</v>
      </c>
      <c r="G21" s="185">
        <v>1</v>
      </c>
      <c r="H21" s="184">
        <v>0</v>
      </c>
      <c r="I21" s="186">
        <v>1</v>
      </c>
      <c r="J21" s="184">
        <v>0</v>
      </c>
      <c r="K21" s="185">
        <v>1</v>
      </c>
      <c r="L21" s="184">
        <v>0</v>
      </c>
      <c r="M21" s="448">
        <v>0</v>
      </c>
      <c r="N21" s="184">
        <v>0</v>
      </c>
      <c r="O21" s="448">
        <v>0</v>
      </c>
      <c r="P21" s="184">
        <v>0</v>
      </c>
      <c r="Q21" s="448">
        <v>0</v>
      </c>
      <c r="R21" s="174"/>
      <c r="S21" s="461">
        <v>1</v>
      </c>
      <c r="T21" s="461">
        <v>876</v>
      </c>
      <c r="U21" s="190">
        <v>1.2800000000000001E-2</v>
      </c>
      <c r="W21" s="461">
        <v>1752</v>
      </c>
      <c r="X21" s="461">
        <v>2628</v>
      </c>
      <c r="Y21" s="190">
        <v>2.423940149625935E-2</v>
      </c>
      <c r="Z21" s="188"/>
      <c r="AA21" s="461">
        <v>1752</v>
      </c>
      <c r="AB21" s="461">
        <v>2628</v>
      </c>
      <c r="AC21" s="190">
        <v>0</v>
      </c>
    </row>
    <row r="22" spans="1:30" ht="12" customHeight="1">
      <c r="A22" s="174"/>
      <c r="B22" s="183" t="s">
        <v>22</v>
      </c>
      <c r="C22" s="183" t="s">
        <v>75</v>
      </c>
      <c r="D22" s="184">
        <v>0</v>
      </c>
      <c r="E22" s="448">
        <v>1</v>
      </c>
      <c r="F22" s="184">
        <v>0</v>
      </c>
      <c r="G22" s="185">
        <v>1</v>
      </c>
      <c r="H22" s="184">
        <v>0</v>
      </c>
      <c r="I22" s="186">
        <v>1</v>
      </c>
      <c r="J22" s="184">
        <v>0</v>
      </c>
      <c r="K22" s="185">
        <v>1</v>
      </c>
      <c r="L22" s="184">
        <v>0</v>
      </c>
      <c r="M22" s="448">
        <v>0</v>
      </c>
      <c r="N22" s="184">
        <v>0</v>
      </c>
      <c r="O22" s="448">
        <v>0</v>
      </c>
      <c r="P22" s="184">
        <v>0</v>
      </c>
      <c r="Q22" s="448">
        <v>0</v>
      </c>
      <c r="R22" s="174"/>
      <c r="S22" s="461">
        <v>876</v>
      </c>
      <c r="T22" s="461">
        <v>1752</v>
      </c>
      <c r="U22" s="190">
        <v>2.3199999999999998E-2</v>
      </c>
      <c r="W22" s="461">
        <v>2628</v>
      </c>
      <c r="X22" s="461">
        <v>3504</v>
      </c>
      <c r="Y22" s="190">
        <v>2.4738154613466335E-2</v>
      </c>
      <c r="Z22" s="188"/>
      <c r="AA22" s="461">
        <v>2628</v>
      </c>
      <c r="AB22" s="461">
        <v>3504</v>
      </c>
      <c r="AC22" s="190">
        <v>1</v>
      </c>
    </row>
    <row r="23" spans="1:30" ht="12" customHeight="1">
      <c r="A23" s="174"/>
      <c r="B23" s="183" t="s">
        <v>23</v>
      </c>
      <c r="C23" s="183" t="s">
        <v>76</v>
      </c>
      <c r="D23" s="184">
        <v>0</v>
      </c>
      <c r="E23" s="448">
        <v>1</v>
      </c>
      <c r="F23" s="184">
        <v>0</v>
      </c>
      <c r="G23" s="185">
        <v>0</v>
      </c>
      <c r="H23" s="184">
        <v>0</v>
      </c>
      <c r="I23" s="186">
        <v>1</v>
      </c>
      <c r="J23" s="184">
        <v>0</v>
      </c>
      <c r="K23" s="185">
        <v>1</v>
      </c>
      <c r="L23" s="184">
        <v>0</v>
      </c>
      <c r="M23" s="448">
        <v>0</v>
      </c>
      <c r="N23" s="184">
        <v>0</v>
      </c>
      <c r="O23" s="448">
        <v>0</v>
      </c>
      <c r="P23" s="184">
        <v>0</v>
      </c>
      <c r="Q23" s="448">
        <v>0</v>
      </c>
      <c r="R23" s="174"/>
      <c r="S23" s="461">
        <v>1752</v>
      </c>
      <c r="T23" s="461">
        <v>2628</v>
      </c>
      <c r="U23" s="190">
        <v>0.1376</v>
      </c>
      <c r="W23" s="461">
        <v>3504</v>
      </c>
      <c r="X23" s="461">
        <v>4380</v>
      </c>
      <c r="Y23" s="190">
        <v>9.3865336658354115E-2</v>
      </c>
      <c r="Z23" s="188"/>
      <c r="AA23" s="461">
        <v>3504</v>
      </c>
      <c r="AB23" s="461">
        <v>4380</v>
      </c>
      <c r="AC23" s="190">
        <v>0</v>
      </c>
    </row>
    <row r="24" spans="1:30" ht="12" customHeight="1">
      <c r="A24" s="174"/>
      <c r="B24" s="183" t="s">
        <v>24</v>
      </c>
      <c r="C24" s="183" t="s">
        <v>78</v>
      </c>
      <c r="D24" s="184">
        <v>0</v>
      </c>
      <c r="E24" s="448">
        <v>1</v>
      </c>
      <c r="F24" s="184">
        <v>0</v>
      </c>
      <c r="G24" s="185">
        <v>0</v>
      </c>
      <c r="H24" s="184">
        <v>0</v>
      </c>
      <c r="I24" s="186">
        <v>1</v>
      </c>
      <c r="J24" s="184">
        <v>0</v>
      </c>
      <c r="K24" s="185">
        <v>1</v>
      </c>
      <c r="L24" s="184">
        <v>0</v>
      </c>
      <c r="M24" s="448">
        <v>0</v>
      </c>
      <c r="N24" s="184">
        <v>0</v>
      </c>
      <c r="O24" s="448">
        <v>0</v>
      </c>
      <c r="P24" s="184">
        <v>0</v>
      </c>
      <c r="Q24" s="448">
        <v>0</v>
      </c>
      <c r="R24" s="174"/>
      <c r="S24" s="461">
        <v>2628</v>
      </c>
      <c r="T24" s="461">
        <v>3504</v>
      </c>
      <c r="U24" s="190">
        <v>4.8000000000000001E-2</v>
      </c>
      <c r="W24" s="461">
        <v>4380</v>
      </c>
      <c r="X24" s="461">
        <v>5256</v>
      </c>
      <c r="Y24" s="190">
        <v>7.6209476309226934E-2</v>
      </c>
      <c r="Z24" s="188"/>
      <c r="AA24" s="461">
        <v>4380</v>
      </c>
      <c r="AB24" s="461">
        <v>5256</v>
      </c>
      <c r="AC24" s="190">
        <v>0</v>
      </c>
    </row>
    <row r="25" spans="1:30" ht="12" customHeight="1">
      <c r="A25" s="174"/>
      <c r="B25" s="183" t="s">
        <v>25</v>
      </c>
      <c r="C25" s="183" t="s">
        <v>79</v>
      </c>
      <c r="D25" s="184">
        <v>0</v>
      </c>
      <c r="E25" s="448">
        <v>1</v>
      </c>
      <c r="F25" s="184">
        <v>0</v>
      </c>
      <c r="G25" s="185">
        <v>0</v>
      </c>
      <c r="H25" s="184">
        <v>0</v>
      </c>
      <c r="I25" s="186">
        <v>1</v>
      </c>
      <c r="J25" s="184">
        <v>0</v>
      </c>
      <c r="K25" s="185">
        <v>0</v>
      </c>
      <c r="L25" s="184">
        <v>0</v>
      </c>
      <c r="M25" s="448">
        <v>0</v>
      </c>
      <c r="N25" s="184">
        <v>0</v>
      </c>
      <c r="O25" s="448">
        <v>0</v>
      </c>
      <c r="P25" s="184">
        <v>0</v>
      </c>
      <c r="Q25" s="448">
        <v>0</v>
      </c>
      <c r="R25" s="174"/>
      <c r="S25" s="461">
        <v>3504</v>
      </c>
      <c r="T25" s="461">
        <v>4380</v>
      </c>
      <c r="U25" s="190">
        <v>7.1199999999999999E-2</v>
      </c>
      <c r="W25" s="461">
        <v>5256</v>
      </c>
      <c r="X25" s="461">
        <v>6132</v>
      </c>
      <c r="Y25" s="190">
        <v>5.8254364089775558E-2</v>
      </c>
      <c r="Z25" s="188"/>
      <c r="AA25" s="461">
        <v>5256</v>
      </c>
      <c r="AB25" s="461">
        <v>6132</v>
      </c>
      <c r="AC25" s="190">
        <v>0</v>
      </c>
    </row>
    <row r="26" spans="1:30" ht="12" customHeight="1">
      <c r="A26" s="174"/>
      <c r="B26" s="183" t="s">
        <v>26</v>
      </c>
      <c r="C26" s="183" t="s">
        <v>80</v>
      </c>
      <c r="D26" s="184">
        <v>0</v>
      </c>
      <c r="E26" s="448">
        <v>0</v>
      </c>
      <c r="F26" s="184">
        <v>0</v>
      </c>
      <c r="G26" s="185">
        <v>0</v>
      </c>
      <c r="H26" s="184">
        <v>0</v>
      </c>
      <c r="I26" s="186">
        <v>0</v>
      </c>
      <c r="J26" s="184">
        <v>0</v>
      </c>
      <c r="K26" s="185">
        <v>0</v>
      </c>
      <c r="L26" s="184">
        <v>0</v>
      </c>
      <c r="M26" s="448">
        <v>0</v>
      </c>
      <c r="N26" s="184">
        <v>0</v>
      </c>
      <c r="O26" s="448">
        <v>0</v>
      </c>
      <c r="P26" s="184">
        <v>0</v>
      </c>
      <c r="Q26" s="448">
        <v>0</v>
      </c>
      <c r="R26" s="174"/>
      <c r="S26" s="461">
        <v>4380</v>
      </c>
      <c r="T26" s="461">
        <v>5255</v>
      </c>
      <c r="U26" s="190">
        <v>3.7599999999999995E-2</v>
      </c>
      <c r="W26" s="461">
        <v>6132</v>
      </c>
      <c r="X26" s="461">
        <v>7008</v>
      </c>
      <c r="Y26" s="190">
        <v>3.4613466334164587E-2</v>
      </c>
      <c r="Z26" s="188"/>
      <c r="AA26" s="461">
        <v>6132</v>
      </c>
      <c r="AB26" s="461">
        <v>7008</v>
      </c>
      <c r="AC26" s="190">
        <v>0</v>
      </c>
    </row>
    <row r="27" spans="1:30" ht="12" customHeight="1">
      <c r="A27" s="174"/>
      <c r="B27" s="191" t="s">
        <v>27</v>
      </c>
      <c r="C27" s="191" t="s">
        <v>81</v>
      </c>
      <c r="D27" s="192">
        <v>0</v>
      </c>
      <c r="E27" s="449">
        <v>0</v>
      </c>
      <c r="F27" s="192">
        <v>0</v>
      </c>
      <c r="G27" s="193">
        <v>0</v>
      </c>
      <c r="H27" s="192">
        <v>0</v>
      </c>
      <c r="I27" s="194">
        <v>0</v>
      </c>
      <c r="J27" s="192">
        <v>0</v>
      </c>
      <c r="K27" s="193">
        <v>0</v>
      </c>
      <c r="L27" s="192">
        <v>0</v>
      </c>
      <c r="M27" s="449">
        <v>0</v>
      </c>
      <c r="N27" s="192">
        <v>0</v>
      </c>
      <c r="O27" s="449">
        <v>0</v>
      </c>
      <c r="P27" s="192">
        <v>0</v>
      </c>
      <c r="Q27" s="449">
        <v>0</v>
      </c>
      <c r="R27" s="174"/>
      <c r="S27" s="461">
        <v>5255</v>
      </c>
      <c r="T27" s="461">
        <v>6131</v>
      </c>
      <c r="U27" s="190">
        <v>0.152</v>
      </c>
      <c r="W27" s="461">
        <v>7008</v>
      </c>
      <c r="X27" s="461">
        <v>7884</v>
      </c>
      <c r="Y27" s="190">
        <v>0.35640897755610973</v>
      </c>
      <c r="Z27" s="188"/>
      <c r="AA27" s="461">
        <v>7008</v>
      </c>
      <c r="AB27" s="461">
        <v>7884</v>
      </c>
      <c r="AC27" s="190">
        <v>0</v>
      </c>
    </row>
    <row r="28" spans="1:30" ht="12" customHeight="1">
      <c r="A28" s="174"/>
      <c r="R28" s="174"/>
      <c r="S28" s="461">
        <v>6131</v>
      </c>
      <c r="T28" s="461">
        <v>7007</v>
      </c>
      <c r="U28" s="190">
        <v>5.5199999999999999E-2</v>
      </c>
      <c r="W28" s="461">
        <v>7884</v>
      </c>
      <c r="X28" s="461">
        <v>8759</v>
      </c>
      <c r="Y28" s="190">
        <v>2.0448877805486283E-2</v>
      </c>
      <c r="Z28" s="188"/>
      <c r="AA28" s="461">
        <v>7884</v>
      </c>
      <c r="AB28" s="461">
        <v>8759</v>
      </c>
      <c r="AC28" s="190">
        <v>0</v>
      </c>
    </row>
    <row r="29" spans="1:30" ht="12" customHeight="1">
      <c r="A29" s="174"/>
      <c r="B29" s="726" t="s">
        <v>511</v>
      </c>
      <c r="C29" s="727"/>
      <c r="D29" s="727"/>
      <c r="E29" s="727"/>
      <c r="F29" s="727"/>
      <c r="G29" s="727"/>
      <c r="H29" s="727"/>
      <c r="I29" s="727"/>
      <c r="J29" s="727"/>
      <c r="K29" s="727"/>
      <c r="L29" s="727"/>
      <c r="M29" s="727"/>
      <c r="N29" s="727"/>
      <c r="O29" s="727"/>
      <c r="P29" s="727"/>
      <c r="Q29" s="728"/>
      <c r="R29" s="174"/>
      <c r="S29" s="461">
        <v>7007</v>
      </c>
      <c r="T29" s="461">
        <v>7883</v>
      </c>
      <c r="U29" s="190">
        <v>0.1288</v>
      </c>
      <c r="W29" s="461">
        <v>8760</v>
      </c>
      <c r="X29" s="461">
        <v>8760</v>
      </c>
      <c r="Y29" s="190">
        <v>0.20997506234413965</v>
      </c>
      <c r="Z29" s="188"/>
      <c r="AA29" s="461">
        <v>8760</v>
      </c>
      <c r="AB29" s="461">
        <v>8760</v>
      </c>
      <c r="AC29" s="190">
        <v>0</v>
      </c>
    </row>
    <row r="30" spans="1:30" ht="10.95">
      <c r="B30" s="450"/>
      <c r="C30" s="556"/>
      <c r="D30" s="729" t="s">
        <v>383</v>
      </c>
      <c r="E30" s="730"/>
      <c r="F30" s="730" t="s">
        <v>384</v>
      </c>
      <c r="G30" s="730"/>
      <c r="H30" s="730" t="s">
        <v>29</v>
      </c>
      <c r="I30" s="730"/>
      <c r="J30" s="730" t="s">
        <v>30</v>
      </c>
      <c r="K30" s="730"/>
      <c r="L30" s="730" t="s">
        <v>31</v>
      </c>
      <c r="M30" s="730"/>
      <c r="N30" s="730" t="s">
        <v>32</v>
      </c>
      <c r="O30" s="730"/>
      <c r="P30" s="730" t="s">
        <v>64</v>
      </c>
      <c r="Q30" s="738"/>
      <c r="R30" s="174"/>
      <c r="S30" s="461">
        <v>7883</v>
      </c>
      <c r="T30" s="461">
        <v>8759</v>
      </c>
      <c r="U30" s="190">
        <v>0.1328</v>
      </c>
      <c r="W30" s="723" t="s">
        <v>565</v>
      </c>
      <c r="X30" s="723"/>
      <c r="Y30" s="461">
        <v>6191</v>
      </c>
      <c r="Z30" s="188"/>
      <c r="AA30" s="723" t="s">
        <v>565</v>
      </c>
      <c r="AB30" s="723"/>
      <c r="AC30" s="461">
        <v>3066</v>
      </c>
    </row>
    <row r="31" spans="1:30" ht="12" customHeight="1">
      <c r="B31" s="572" t="s">
        <v>510</v>
      </c>
      <c r="C31" s="573"/>
      <c r="D31" s="572" t="s">
        <v>489</v>
      </c>
      <c r="E31" s="573" t="s">
        <v>490</v>
      </c>
      <c r="F31" s="572" t="s">
        <v>489</v>
      </c>
      <c r="G31" s="573" t="s">
        <v>490</v>
      </c>
      <c r="H31" s="572" t="s">
        <v>489</v>
      </c>
      <c r="I31" s="573" t="s">
        <v>490</v>
      </c>
      <c r="J31" s="572" t="s">
        <v>489</v>
      </c>
      <c r="K31" s="573" t="s">
        <v>490</v>
      </c>
      <c r="L31" s="572" t="s">
        <v>489</v>
      </c>
      <c r="M31" s="573" t="s">
        <v>490</v>
      </c>
      <c r="N31" s="572" t="s">
        <v>489</v>
      </c>
      <c r="O31" s="573" t="s">
        <v>490</v>
      </c>
      <c r="P31" s="572" t="s">
        <v>489</v>
      </c>
      <c r="Q31" s="573" t="s">
        <v>490</v>
      </c>
      <c r="R31" s="174"/>
      <c r="S31" s="461">
        <v>8760</v>
      </c>
      <c r="T31" s="461">
        <v>8760</v>
      </c>
      <c r="U31" s="190">
        <v>0.20079999999999998</v>
      </c>
      <c r="Z31" s="188"/>
      <c r="AA31" s="724" t="s">
        <v>378</v>
      </c>
      <c r="AB31" s="724"/>
      <c r="AC31" s="724"/>
      <c r="AD31" s="196"/>
    </row>
    <row r="32" spans="1:30" ht="12" customHeight="1">
      <c r="B32" s="570" t="s">
        <v>12</v>
      </c>
      <c r="C32" s="185"/>
      <c r="D32" s="574">
        <v>0.51</v>
      </c>
      <c r="E32" s="567">
        <v>0</v>
      </c>
      <c r="F32" s="574">
        <v>0.37</v>
      </c>
      <c r="G32" s="567">
        <v>0</v>
      </c>
      <c r="H32" s="574">
        <v>0.42</v>
      </c>
      <c r="I32" s="567">
        <v>0</v>
      </c>
      <c r="J32" s="574">
        <v>0.51</v>
      </c>
      <c r="K32" s="567">
        <v>0</v>
      </c>
      <c r="L32" s="574">
        <v>0.66</v>
      </c>
      <c r="M32" s="567">
        <v>0</v>
      </c>
      <c r="N32" s="577">
        <v>0</v>
      </c>
      <c r="O32" s="567">
        <v>0</v>
      </c>
      <c r="P32" s="574">
        <v>0.72</v>
      </c>
      <c r="Q32" s="567">
        <v>0</v>
      </c>
      <c r="R32" s="174"/>
      <c r="S32" s="723" t="s">
        <v>565</v>
      </c>
      <c r="T32" s="723"/>
      <c r="U32" s="461">
        <v>6014</v>
      </c>
      <c r="Z32" s="188"/>
      <c r="AA32" s="412" t="s">
        <v>335</v>
      </c>
      <c r="AB32" s="412" t="s">
        <v>336</v>
      </c>
      <c r="AC32" s="413" t="s">
        <v>70</v>
      </c>
      <c r="AD32" s="196"/>
    </row>
    <row r="33" spans="2:30" ht="12" customHeight="1">
      <c r="B33" s="570" t="s">
        <v>28</v>
      </c>
      <c r="C33" s="185"/>
      <c r="D33" s="574">
        <v>0</v>
      </c>
      <c r="E33" s="567">
        <v>0</v>
      </c>
      <c r="F33" s="574">
        <v>0.22</v>
      </c>
      <c r="G33" s="567">
        <v>0</v>
      </c>
      <c r="H33" s="574">
        <v>0.17</v>
      </c>
      <c r="I33" s="567">
        <v>0</v>
      </c>
      <c r="J33" s="574">
        <v>0.31</v>
      </c>
      <c r="K33" s="567">
        <v>0</v>
      </c>
      <c r="L33" s="577">
        <v>0</v>
      </c>
      <c r="M33" s="567">
        <v>0</v>
      </c>
      <c r="N33" s="574">
        <v>0.32</v>
      </c>
      <c r="O33" s="567">
        <v>0</v>
      </c>
      <c r="P33" s="577">
        <v>0</v>
      </c>
      <c r="Q33" s="567">
        <v>0</v>
      </c>
      <c r="R33" s="174"/>
      <c r="S33" s="725" t="s">
        <v>376</v>
      </c>
      <c r="T33" s="725"/>
      <c r="U33" s="725"/>
      <c r="Z33" s="188"/>
      <c r="AA33" s="461">
        <v>1</v>
      </c>
      <c r="AB33" s="461">
        <v>1752</v>
      </c>
      <c r="AC33" s="190">
        <v>0.28999999999999998</v>
      </c>
      <c r="AD33" s="196"/>
    </row>
    <row r="34" spans="2:30" ht="12" customHeight="1">
      <c r="B34" s="570" t="s">
        <v>15</v>
      </c>
      <c r="C34" s="185"/>
      <c r="D34" s="574">
        <v>0.06</v>
      </c>
      <c r="E34" s="567">
        <v>0</v>
      </c>
      <c r="F34" s="574">
        <v>0.06</v>
      </c>
      <c r="G34" s="567">
        <v>0</v>
      </c>
      <c r="H34" s="574">
        <v>0.05</v>
      </c>
      <c r="I34" s="567">
        <v>0</v>
      </c>
      <c r="J34" s="574">
        <v>0</v>
      </c>
      <c r="K34" s="567">
        <v>0</v>
      </c>
      <c r="L34" s="574">
        <v>0.08</v>
      </c>
      <c r="M34" s="567">
        <v>0</v>
      </c>
      <c r="N34" s="574">
        <v>0.09</v>
      </c>
      <c r="O34" s="567">
        <v>0</v>
      </c>
      <c r="P34" s="577">
        <v>0</v>
      </c>
      <c r="Q34" s="567">
        <v>0</v>
      </c>
      <c r="R34" s="174"/>
      <c r="S34" s="412" t="s">
        <v>335</v>
      </c>
      <c r="T34" s="412" t="s">
        <v>336</v>
      </c>
      <c r="U34" s="413" t="s">
        <v>70</v>
      </c>
      <c r="Z34" s="188"/>
      <c r="AA34" s="461">
        <v>1752</v>
      </c>
      <c r="AB34" s="461">
        <v>2628</v>
      </c>
      <c r="AC34" s="190">
        <v>7.0000000000000007E-2</v>
      </c>
      <c r="AD34" s="196"/>
    </row>
    <row r="35" spans="2:30" ht="12" customHeight="1">
      <c r="B35" s="570" t="s">
        <v>16</v>
      </c>
      <c r="C35" s="185"/>
      <c r="D35" s="574">
        <v>0.03</v>
      </c>
      <c r="E35" s="567">
        <v>0</v>
      </c>
      <c r="F35" s="577">
        <v>0</v>
      </c>
      <c r="G35" s="567">
        <v>0</v>
      </c>
      <c r="H35" s="574">
        <v>0.03</v>
      </c>
      <c r="I35" s="567">
        <v>0</v>
      </c>
      <c r="J35" s="577">
        <v>0</v>
      </c>
      <c r="K35" s="567">
        <v>0</v>
      </c>
      <c r="L35" s="577">
        <v>0</v>
      </c>
      <c r="M35" s="567">
        <v>0</v>
      </c>
      <c r="N35" s="577">
        <v>0</v>
      </c>
      <c r="O35" s="567">
        <v>0</v>
      </c>
      <c r="P35" s="577">
        <v>0</v>
      </c>
      <c r="Q35" s="567">
        <v>0</v>
      </c>
      <c r="R35" s="174"/>
      <c r="S35" s="445">
        <v>1</v>
      </c>
      <c r="T35" s="445">
        <v>920</v>
      </c>
      <c r="U35" s="190">
        <v>2.6699999999999998E-2</v>
      </c>
      <c r="Z35" s="188"/>
      <c r="AA35" s="461">
        <v>2628</v>
      </c>
      <c r="AB35" s="461">
        <v>3504</v>
      </c>
      <c r="AC35" s="190">
        <v>0.64</v>
      </c>
      <c r="AD35" s="196"/>
    </row>
    <row r="36" spans="2:30" ht="12" customHeight="1">
      <c r="B36" s="570" t="s">
        <v>17</v>
      </c>
      <c r="C36" s="185"/>
      <c r="D36" s="574">
        <v>0.08</v>
      </c>
      <c r="E36" s="567">
        <v>0</v>
      </c>
      <c r="F36" s="577">
        <v>0</v>
      </c>
      <c r="G36" s="567">
        <v>0</v>
      </c>
      <c r="H36" s="574">
        <v>7.0000000000000007E-2</v>
      </c>
      <c r="I36" s="567">
        <v>0</v>
      </c>
      <c r="J36" s="574">
        <v>0</v>
      </c>
      <c r="K36" s="567">
        <v>0</v>
      </c>
      <c r="L36" s="574">
        <v>0.11</v>
      </c>
      <c r="M36" s="567">
        <v>0</v>
      </c>
      <c r="N36" s="574">
        <v>0.40500000000000003</v>
      </c>
      <c r="O36" s="567">
        <v>0</v>
      </c>
      <c r="P36" s="574">
        <v>0.115</v>
      </c>
      <c r="Q36" s="567">
        <v>0</v>
      </c>
      <c r="S36" s="445">
        <v>920</v>
      </c>
      <c r="T36" s="445">
        <v>1791</v>
      </c>
      <c r="U36" s="190">
        <v>3.2000000000000001E-2</v>
      </c>
      <c r="Z36" s="188"/>
      <c r="AA36" s="461">
        <v>3504</v>
      </c>
      <c r="AB36" s="461">
        <v>4380</v>
      </c>
      <c r="AC36" s="190">
        <v>0</v>
      </c>
    </row>
    <row r="37" spans="2:30" ht="12" customHeight="1">
      <c r="B37" s="570" t="s">
        <v>77</v>
      </c>
      <c r="C37" s="185"/>
      <c r="D37" s="574">
        <v>0.3</v>
      </c>
      <c r="E37" s="567">
        <v>0</v>
      </c>
      <c r="F37" s="574">
        <v>0.33</v>
      </c>
      <c r="G37" s="567">
        <v>0</v>
      </c>
      <c r="H37" s="574">
        <v>0.25</v>
      </c>
      <c r="I37" s="567">
        <v>0</v>
      </c>
      <c r="J37" s="577">
        <v>0</v>
      </c>
      <c r="K37" s="567">
        <v>0</v>
      </c>
      <c r="L37" s="577">
        <v>0</v>
      </c>
      <c r="M37" s="567">
        <v>0</v>
      </c>
      <c r="N37" s="577">
        <v>0</v>
      </c>
      <c r="O37" s="567">
        <v>0</v>
      </c>
      <c r="P37" s="577">
        <v>0</v>
      </c>
      <c r="Q37" s="567">
        <v>0</v>
      </c>
      <c r="S37" s="445">
        <v>1791</v>
      </c>
      <c r="T37" s="445">
        <v>2662</v>
      </c>
      <c r="U37" s="190">
        <v>0.1101</v>
      </c>
      <c r="Z37" s="188"/>
      <c r="AA37" s="461">
        <v>4380</v>
      </c>
      <c r="AB37" s="461">
        <v>5256</v>
      </c>
      <c r="AC37" s="190">
        <v>0</v>
      </c>
    </row>
    <row r="38" spans="2:30" ht="12" customHeight="1">
      <c r="B38" s="570" t="s">
        <v>18</v>
      </c>
      <c r="C38" s="185"/>
      <c r="D38" s="574">
        <v>0.02</v>
      </c>
      <c r="E38" s="567">
        <v>0</v>
      </c>
      <c r="F38" s="574">
        <v>0.02</v>
      </c>
      <c r="G38" s="567">
        <v>0</v>
      </c>
      <c r="H38" s="574">
        <v>0.01</v>
      </c>
      <c r="I38" s="567">
        <v>0</v>
      </c>
      <c r="J38" s="574">
        <v>0.18</v>
      </c>
      <c r="K38" s="567">
        <v>0</v>
      </c>
      <c r="L38" s="574">
        <v>0.15</v>
      </c>
      <c r="M38" s="567">
        <v>0</v>
      </c>
      <c r="N38" s="574">
        <v>0.185</v>
      </c>
      <c r="O38" s="567">
        <v>0</v>
      </c>
      <c r="P38" s="574">
        <v>0.16500000000000001</v>
      </c>
      <c r="Q38" s="567">
        <v>0</v>
      </c>
      <c r="S38" s="445">
        <v>2662</v>
      </c>
      <c r="T38" s="445">
        <v>3533</v>
      </c>
      <c r="U38" s="190">
        <v>3.15E-2</v>
      </c>
      <c r="Z38" s="188"/>
      <c r="AA38" s="461">
        <v>5256</v>
      </c>
      <c r="AB38" s="461">
        <v>6132</v>
      </c>
      <c r="AC38" s="190">
        <v>0</v>
      </c>
    </row>
    <row r="39" spans="2:30" ht="12" customHeight="1">
      <c r="B39" s="570" t="s">
        <v>71</v>
      </c>
      <c r="C39" s="185"/>
      <c r="D39" s="575">
        <v>1</v>
      </c>
      <c r="E39" s="568">
        <v>0</v>
      </c>
      <c r="F39" s="575">
        <v>1</v>
      </c>
      <c r="G39" s="568">
        <v>0</v>
      </c>
      <c r="H39" s="575">
        <v>1</v>
      </c>
      <c r="I39" s="568">
        <v>0</v>
      </c>
      <c r="J39" s="575">
        <v>1</v>
      </c>
      <c r="K39" s="568">
        <v>0</v>
      </c>
      <c r="L39" s="575">
        <v>1</v>
      </c>
      <c r="M39" s="568">
        <v>0</v>
      </c>
      <c r="N39" s="575">
        <v>1</v>
      </c>
      <c r="O39" s="568">
        <v>0</v>
      </c>
      <c r="P39" s="575">
        <v>1</v>
      </c>
      <c r="Q39" s="568">
        <v>0</v>
      </c>
      <c r="S39" s="445">
        <v>3533</v>
      </c>
      <c r="T39" s="445">
        <v>4404</v>
      </c>
      <c r="U39" s="190">
        <v>8.5999999999999993E-2</v>
      </c>
      <c r="Z39" s="188"/>
      <c r="AA39" s="461">
        <v>6132</v>
      </c>
      <c r="AB39" s="461">
        <v>7008</v>
      </c>
      <c r="AC39" s="190">
        <v>0</v>
      </c>
    </row>
    <row r="40" spans="2:30" ht="12" customHeight="1">
      <c r="B40" s="565" t="s">
        <v>66</v>
      </c>
      <c r="C40" s="566"/>
      <c r="D40" s="565" t="s">
        <v>489</v>
      </c>
      <c r="E40" s="566" t="s">
        <v>490</v>
      </c>
      <c r="F40" s="565" t="s">
        <v>489</v>
      </c>
      <c r="G40" s="566" t="s">
        <v>490</v>
      </c>
      <c r="H40" s="565" t="s">
        <v>489</v>
      </c>
      <c r="I40" s="566" t="s">
        <v>490</v>
      </c>
      <c r="J40" s="565" t="s">
        <v>489</v>
      </c>
      <c r="K40" s="566" t="s">
        <v>490</v>
      </c>
      <c r="L40" s="565" t="s">
        <v>489</v>
      </c>
      <c r="M40" s="566" t="s">
        <v>490</v>
      </c>
      <c r="N40" s="565" t="s">
        <v>489</v>
      </c>
      <c r="O40" s="566" t="s">
        <v>490</v>
      </c>
      <c r="P40" s="565" t="s">
        <v>489</v>
      </c>
      <c r="Q40" s="566" t="s">
        <v>490</v>
      </c>
      <c r="S40" s="445">
        <v>4404</v>
      </c>
      <c r="T40" s="445">
        <v>5275</v>
      </c>
      <c r="U40" s="190">
        <v>0.129</v>
      </c>
      <c r="Z40" s="188"/>
      <c r="AA40" s="461">
        <v>7008</v>
      </c>
      <c r="AB40" s="461">
        <v>7884</v>
      </c>
      <c r="AC40" s="190">
        <v>0</v>
      </c>
    </row>
    <row r="41" spans="2:30" ht="12" customHeight="1">
      <c r="B41" s="570" t="s">
        <v>12</v>
      </c>
      <c r="C41" s="578"/>
      <c r="D41" s="574">
        <v>0</v>
      </c>
      <c r="E41" s="567">
        <v>0</v>
      </c>
      <c r="F41" s="574">
        <v>0.61</v>
      </c>
      <c r="G41" s="567">
        <v>0</v>
      </c>
      <c r="H41" s="574">
        <v>1</v>
      </c>
      <c r="I41" s="567">
        <v>0</v>
      </c>
      <c r="J41" s="574">
        <v>1</v>
      </c>
      <c r="K41" s="567">
        <v>0</v>
      </c>
      <c r="L41" s="574">
        <v>1</v>
      </c>
      <c r="M41" s="567">
        <v>0</v>
      </c>
      <c r="N41" s="574">
        <v>0</v>
      </c>
      <c r="O41" s="567">
        <v>0</v>
      </c>
      <c r="P41" s="574">
        <v>0</v>
      </c>
      <c r="Q41" s="567">
        <v>0</v>
      </c>
      <c r="S41" s="445">
        <v>5275</v>
      </c>
      <c r="T41" s="445">
        <v>6146</v>
      </c>
      <c r="U41" s="190">
        <v>9.1199999999999989E-2</v>
      </c>
      <c r="Z41" s="188"/>
      <c r="AA41" s="461">
        <v>7884</v>
      </c>
      <c r="AB41" s="461">
        <v>8759</v>
      </c>
      <c r="AC41" s="190">
        <v>0</v>
      </c>
    </row>
    <row r="42" spans="2:30" ht="12" customHeight="1">
      <c r="B42" s="570" t="s">
        <v>17</v>
      </c>
      <c r="C42" s="578"/>
      <c r="D42" s="574">
        <v>0</v>
      </c>
      <c r="E42" s="567">
        <v>0.16700000000000001</v>
      </c>
      <c r="F42" s="574">
        <v>0.39</v>
      </c>
      <c r="G42" s="567">
        <v>0</v>
      </c>
      <c r="H42" s="574">
        <v>0</v>
      </c>
      <c r="I42" s="567">
        <v>0.158</v>
      </c>
      <c r="J42" s="574">
        <v>0</v>
      </c>
      <c r="K42" s="567">
        <v>0.16700000000000001</v>
      </c>
      <c r="L42" s="574">
        <v>0</v>
      </c>
      <c r="M42" s="567">
        <v>0</v>
      </c>
      <c r="N42" s="574">
        <v>0</v>
      </c>
      <c r="O42" s="567">
        <v>0</v>
      </c>
      <c r="P42" s="574">
        <v>1</v>
      </c>
      <c r="Q42" s="567">
        <v>0</v>
      </c>
      <c r="S42" s="445">
        <v>6146</v>
      </c>
      <c r="T42" s="445">
        <v>7017</v>
      </c>
      <c r="U42" s="190">
        <v>7.8700000000000006E-2</v>
      </c>
      <c r="Z42" s="188"/>
      <c r="AA42" s="461">
        <v>8760</v>
      </c>
      <c r="AB42" s="461">
        <v>8760</v>
      </c>
      <c r="AC42" s="190">
        <v>0</v>
      </c>
    </row>
    <row r="43" spans="2:30" ht="12" customHeight="1">
      <c r="B43" s="570" t="s">
        <v>381</v>
      </c>
      <c r="C43" s="578"/>
      <c r="D43" s="574">
        <v>0</v>
      </c>
      <c r="E43" s="567">
        <v>0.66700000000000004</v>
      </c>
      <c r="F43" s="574">
        <v>0</v>
      </c>
      <c r="G43" s="567">
        <v>0</v>
      </c>
      <c r="H43" s="574">
        <v>0</v>
      </c>
      <c r="I43" s="567">
        <v>0.33200000000000002</v>
      </c>
      <c r="J43" s="574">
        <v>0</v>
      </c>
      <c r="K43" s="567">
        <v>0.66700000000000004</v>
      </c>
      <c r="L43" s="574">
        <v>0</v>
      </c>
      <c r="M43" s="567">
        <v>0</v>
      </c>
      <c r="N43" s="574">
        <v>0</v>
      </c>
      <c r="O43" s="567">
        <v>0</v>
      </c>
      <c r="P43" s="574">
        <v>0</v>
      </c>
      <c r="Q43" s="567">
        <v>0</v>
      </c>
      <c r="S43" s="445">
        <v>7017</v>
      </c>
      <c r="T43" s="445">
        <v>7888</v>
      </c>
      <c r="U43" s="190">
        <v>9.0700000000000003E-2</v>
      </c>
      <c r="Z43" s="188"/>
      <c r="AA43" s="723" t="s">
        <v>565</v>
      </c>
      <c r="AB43" s="723"/>
      <c r="AC43" s="461">
        <v>2505</v>
      </c>
    </row>
    <row r="44" spans="2:30" ht="12" customHeight="1">
      <c r="B44" s="570" t="s">
        <v>389</v>
      </c>
      <c r="C44" s="578"/>
      <c r="D44" s="574">
        <v>0</v>
      </c>
      <c r="E44" s="567">
        <v>0.16700000000000001</v>
      </c>
      <c r="F44" s="574">
        <v>0</v>
      </c>
      <c r="G44" s="567">
        <v>0</v>
      </c>
      <c r="H44" s="574">
        <v>0</v>
      </c>
      <c r="I44" s="567">
        <v>0.50900000000000001</v>
      </c>
      <c r="J44" s="574">
        <v>0</v>
      </c>
      <c r="K44" s="567">
        <v>0.16700000000000001</v>
      </c>
      <c r="L44" s="574">
        <v>0</v>
      </c>
      <c r="M44" s="567">
        <v>0</v>
      </c>
      <c r="N44" s="574">
        <v>0</v>
      </c>
      <c r="O44" s="567">
        <v>0</v>
      </c>
      <c r="P44" s="574">
        <v>0</v>
      </c>
      <c r="Q44" s="567">
        <v>0</v>
      </c>
      <c r="S44" s="445">
        <v>7888</v>
      </c>
      <c r="T44" s="445">
        <v>8759</v>
      </c>
      <c r="U44" s="190">
        <v>0.16519999999999999</v>
      </c>
      <c r="Z44" s="188"/>
      <c r="AA44" s="724" t="s">
        <v>629</v>
      </c>
      <c r="AB44" s="724"/>
      <c r="AC44" s="724"/>
    </row>
    <row r="45" spans="2:30" ht="12" customHeight="1">
      <c r="B45" s="570" t="s">
        <v>382</v>
      </c>
      <c r="C45" s="578"/>
      <c r="D45" s="574">
        <v>0</v>
      </c>
      <c r="E45" s="567">
        <v>0</v>
      </c>
      <c r="F45" s="574">
        <v>0</v>
      </c>
      <c r="G45" s="567">
        <v>1</v>
      </c>
      <c r="H45" s="574">
        <v>0</v>
      </c>
      <c r="I45" s="567">
        <v>0</v>
      </c>
      <c r="J45" s="574">
        <v>0</v>
      </c>
      <c r="K45" s="567">
        <v>0</v>
      </c>
      <c r="L45" s="574">
        <v>0</v>
      </c>
      <c r="M45" s="567">
        <v>0</v>
      </c>
      <c r="N45" s="574">
        <v>0</v>
      </c>
      <c r="O45" s="567">
        <v>0</v>
      </c>
      <c r="P45" s="574">
        <v>0</v>
      </c>
      <c r="Q45" s="567">
        <v>0</v>
      </c>
      <c r="S45" s="461">
        <v>8760</v>
      </c>
      <c r="T45" s="445">
        <v>8760</v>
      </c>
      <c r="U45" s="190">
        <v>0.15890000000000001</v>
      </c>
      <c r="Z45" s="188"/>
      <c r="AA45" s="412" t="s">
        <v>335</v>
      </c>
      <c r="AB45" s="412" t="s">
        <v>336</v>
      </c>
      <c r="AC45" s="413" t="s">
        <v>70</v>
      </c>
    </row>
    <row r="46" spans="2:30" ht="12" customHeight="1">
      <c r="B46" s="571" t="s">
        <v>71</v>
      </c>
      <c r="C46" s="579"/>
      <c r="D46" s="576">
        <f>SUM(D41:D45)</f>
        <v>0</v>
      </c>
      <c r="E46" s="569">
        <f t="shared" ref="E46:Q46" si="0">SUM(E41:E45)</f>
        <v>1.0010000000000001</v>
      </c>
      <c r="F46" s="576">
        <f t="shared" si="0"/>
        <v>1</v>
      </c>
      <c r="G46" s="569">
        <f t="shared" si="0"/>
        <v>1</v>
      </c>
      <c r="H46" s="576">
        <f t="shared" si="0"/>
        <v>1</v>
      </c>
      <c r="I46" s="569">
        <f t="shared" si="0"/>
        <v>0.999</v>
      </c>
      <c r="J46" s="576">
        <f t="shared" si="0"/>
        <v>1</v>
      </c>
      <c r="K46" s="569">
        <f t="shared" si="0"/>
        <v>1.0010000000000001</v>
      </c>
      <c r="L46" s="576">
        <f t="shared" si="0"/>
        <v>1</v>
      </c>
      <c r="M46" s="569">
        <f t="shared" si="0"/>
        <v>0</v>
      </c>
      <c r="N46" s="576">
        <f t="shared" si="0"/>
        <v>0</v>
      </c>
      <c r="O46" s="569">
        <f t="shared" si="0"/>
        <v>0</v>
      </c>
      <c r="P46" s="576">
        <f t="shared" si="0"/>
        <v>1</v>
      </c>
      <c r="Q46" s="569">
        <f t="shared" si="0"/>
        <v>0</v>
      </c>
      <c r="S46" s="723" t="s">
        <v>565</v>
      </c>
      <c r="T46" s="723"/>
      <c r="U46" s="461">
        <v>5894</v>
      </c>
      <c r="Z46" s="188"/>
      <c r="AA46" s="461">
        <v>1</v>
      </c>
      <c r="AB46" s="461">
        <v>1752</v>
      </c>
      <c r="AC46" s="190">
        <v>0.33333333333333331</v>
      </c>
    </row>
    <row r="47" spans="2:30" ht="12" customHeight="1">
      <c r="S47" s="725" t="s">
        <v>84</v>
      </c>
      <c r="T47" s="725"/>
      <c r="U47" s="725"/>
      <c r="Z47" s="188"/>
      <c r="AA47" s="461">
        <v>1752</v>
      </c>
      <c r="AB47" s="461">
        <v>2628</v>
      </c>
      <c r="AC47" s="190">
        <v>0.66666666666666663</v>
      </c>
    </row>
    <row r="48" spans="2:30" ht="12" customHeight="1">
      <c r="B48" s="722" t="s">
        <v>63</v>
      </c>
      <c r="C48" s="722"/>
      <c r="D48" s="722"/>
      <c r="E48" s="722"/>
      <c r="F48" s="722"/>
      <c r="G48" s="722"/>
      <c r="H48" s="722"/>
      <c r="I48" s="722"/>
      <c r="J48" s="722"/>
      <c r="K48" s="722"/>
      <c r="L48" s="722"/>
      <c r="M48" s="722"/>
      <c r="N48" s="722"/>
      <c r="O48" s="722"/>
      <c r="S48" s="412" t="s">
        <v>335</v>
      </c>
      <c r="T48" s="412" t="s">
        <v>336</v>
      </c>
      <c r="U48" s="413" t="s">
        <v>70</v>
      </c>
      <c r="Z48" s="188"/>
      <c r="AA48" s="461">
        <v>2628</v>
      </c>
      <c r="AB48" s="461">
        <v>3504</v>
      </c>
      <c r="AC48" s="190">
        <v>0</v>
      </c>
    </row>
    <row r="49" spans="2:29" ht="12" customHeight="1">
      <c r="B49" s="721" t="s">
        <v>609</v>
      </c>
      <c r="C49" s="721"/>
      <c r="D49" s="721"/>
      <c r="E49" s="721"/>
      <c r="F49" s="721"/>
      <c r="G49" s="721"/>
      <c r="H49" s="721"/>
      <c r="I49" s="721"/>
      <c r="J49" s="721"/>
      <c r="K49" s="721"/>
      <c r="L49" s="721"/>
      <c r="M49" s="721"/>
      <c r="N49" s="721"/>
      <c r="O49" s="721"/>
      <c r="S49" s="461">
        <v>1</v>
      </c>
      <c r="T49" s="461">
        <v>965</v>
      </c>
      <c r="U49" s="190">
        <v>1.2800000000000001E-2</v>
      </c>
      <c r="Z49" s="188"/>
      <c r="AA49" s="461">
        <v>3504</v>
      </c>
      <c r="AB49" s="461">
        <v>4380</v>
      </c>
      <c r="AC49" s="190">
        <v>0</v>
      </c>
    </row>
    <row r="50" spans="2:29" ht="12" customHeight="1">
      <c r="B50" s="721"/>
      <c r="C50" s="721"/>
      <c r="D50" s="721"/>
      <c r="E50" s="721"/>
      <c r="F50" s="721"/>
      <c r="G50" s="721"/>
      <c r="H50" s="721"/>
      <c r="I50" s="721"/>
      <c r="J50" s="721"/>
      <c r="K50" s="721"/>
      <c r="L50" s="721"/>
      <c r="M50" s="721"/>
      <c r="N50" s="721"/>
      <c r="O50" s="721"/>
      <c r="S50" s="461">
        <v>965</v>
      </c>
      <c r="T50" s="461">
        <v>1831</v>
      </c>
      <c r="U50" s="190">
        <v>2.0099999999999996E-2</v>
      </c>
      <c r="Z50" s="188"/>
      <c r="AA50" s="461">
        <v>4380</v>
      </c>
      <c r="AB50" s="461">
        <v>5256</v>
      </c>
      <c r="AC50" s="190">
        <v>0</v>
      </c>
    </row>
    <row r="51" spans="2:29" ht="12" customHeight="1">
      <c r="B51" s="721"/>
      <c r="C51" s="721"/>
      <c r="D51" s="721"/>
      <c r="E51" s="721"/>
      <c r="F51" s="721"/>
      <c r="G51" s="721"/>
      <c r="H51" s="721"/>
      <c r="I51" s="721"/>
      <c r="J51" s="721"/>
      <c r="K51" s="721"/>
      <c r="L51" s="721"/>
      <c r="M51" s="721"/>
      <c r="N51" s="721"/>
      <c r="O51" s="721"/>
      <c r="S51" s="461">
        <v>1831</v>
      </c>
      <c r="T51" s="461">
        <v>2697</v>
      </c>
      <c r="U51" s="190">
        <v>2.7400000000000001E-2</v>
      </c>
      <c r="Z51" s="188"/>
      <c r="AA51" s="461">
        <v>5256</v>
      </c>
      <c r="AB51" s="461">
        <v>6132</v>
      </c>
      <c r="AC51" s="190">
        <v>0</v>
      </c>
    </row>
    <row r="52" spans="2:29" ht="12" customHeight="1">
      <c r="B52" s="721"/>
      <c r="C52" s="721"/>
      <c r="D52" s="721"/>
      <c r="E52" s="721"/>
      <c r="F52" s="721"/>
      <c r="G52" s="721"/>
      <c r="H52" s="721"/>
      <c r="I52" s="721"/>
      <c r="J52" s="721"/>
      <c r="K52" s="721"/>
      <c r="L52" s="721"/>
      <c r="M52" s="721"/>
      <c r="N52" s="721"/>
      <c r="O52" s="721"/>
      <c r="S52" s="461">
        <v>2697</v>
      </c>
      <c r="T52" s="461">
        <v>3563</v>
      </c>
      <c r="U52" s="190">
        <v>2.5600000000000001E-2</v>
      </c>
      <c r="Z52" s="188"/>
      <c r="AA52" s="461">
        <v>6132</v>
      </c>
      <c r="AB52" s="461">
        <v>7008</v>
      </c>
      <c r="AC52" s="190">
        <v>0</v>
      </c>
    </row>
    <row r="53" spans="2:29" ht="12" customHeight="1">
      <c r="B53" s="721"/>
      <c r="C53" s="721"/>
      <c r="D53" s="721"/>
      <c r="E53" s="721"/>
      <c r="F53" s="721"/>
      <c r="G53" s="721"/>
      <c r="H53" s="721"/>
      <c r="I53" s="721"/>
      <c r="J53" s="721"/>
      <c r="K53" s="721"/>
      <c r="L53" s="721"/>
      <c r="M53" s="721"/>
      <c r="N53" s="721"/>
      <c r="O53" s="721"/>
      <c r="S53" s="461">
        <v>3563</v>
      </c>
      <c r="T53" s="461">
        <v>4429</v>
      </c>
      <c r="U53" s="190">
        <v>4.3899999999999995E-2</v>
      </c>
      <c r="Z53" s="188"/>
      <c r="AA53" s="461">
        <v>7008</v>
      </c>
      <c r="AB53" s="461">
        <v>7884</v>
      </c>
      <c r="AC53" s="190">
        <v>0</v>
      </c>
    </row>
    <row r="54" spans="2:29" ht="12" customHeight="1">
      <c r="B54" s="721"/>
      <c r="C54" s="721"/>
      <c r="D54" s="721"/>
      <c r="E54" s="721"/>
      <c r="F54" s="721"/>
      <c r="G54" s="721"/>
      <c r="H54" s="721"/>
      <c r="I54" s="721"/>
      <c r="J54" s="721"/>
      <c r="K54" s="721"/>
      <c r="L54" s="721"/>
      <c r="M54" s="721"/>
      <c r="N54" s="721"/>
      <c r="O54" s="721"/>
      <c r="S54" s="461">
        <v>4429</v>
      </c>
      <c r="T54" s="461">
        <v>5295</v>
      </c>
      <c r="U54" s="190">
        <v>5.1200000000000002E-2</v>
      </c>
      <c r="Z54" s="188"/>
      <c r="AA54" s="461">
        <v>7884</v>
      </c>
      <c r="AB54" s="461">
        <v>8759</v>
      </c>
      <c r="AC54" s="190">
        <v>0</v>
      </c>
    </row>
    <row r="55" spans="2:29" ht="12" customHeight="1">
      <c r="B55" s="721"/>
      <c r="C55" s="721"/>
      <c r="D55" s="721"/>
      <c r="E55" s="721"/>
      <c r="F55" s="721"/>
      <c r="G55" s="721"/>
      <c r="H55" s="721"/>
      <c r="I55" s="721"/>
      <c r="J55" s="721"/>
      <c r="K55" s="721"/>
      <c r="L55" s="721"/>
      <c r="M55" s="721"/>
      <c r="N55" s="721"/>
      <c r="O55" s="721"/>
      <c r="S55" s="461">
        <v>5295</v>
      </c>
      <c r="T55" s="461">
        <v>6161</v>
      </c>
      <c r="U55" s="190">
        <v>0.1883</v>
      </c>
      <c r="Z55" s="188"/>
      <c r="AA55" s="461">
        <v>8760</v>
      </c>
      <c r="AB55" s="461">
        <v>8760</v>
      </c>
      <c r="AC55" s="190">
        <v>0</v>
      </c>
    </row>
    <row r="56" spans="2:29" ht="12" customHeight="1">
      <c r="B56" s="721"/>
      <c r="C56" s="721"/>
      <c r="D56" s="721"/>
      <c r="E56" s="721"/>
      <c r="F56" s="721"/>
      <c r="G56" s="721"/>
      <c r="H56" s="721"/>
      <c r="I56" s="721"/>
      <c r="J56" s="721"/>
      <c r="K56" s="721"/>
      <c r="L56" s="721"/>
      <c r="M56" s="721"/>
      <c r="N56" s="721"/>
      <c r="O56" s="721"/>
      <c r="S56" s="461">
        <v>6161</v>
      </c>
      <c r="T56" s="461">
        <v>7027</v>
      </c>
      <c r="U56" s="190">
        <v>9.8699999999999996E-2</v>
      </c>
      <c r="Z56" s="188"/>
      <c r="AA56" s="723" t="s">
        <v>565</v>
      </c>
      <c r="AB56" s="723"/>
      <c r="AC56" s="461">
        <v>1883</v>
      </c>
    </row>
    <row r="57" spans="2:29" ht="12" customHeight="1">
      <c r="B57" s="721"/>
      <c r="C57" s="721"/>
      <c r="D57" s="721"/>
      <c r="E57" s="721"/>
      <c r="F57" s="721"/>
      <c r="G57" s="721"/>
      <c r="H57" s="721"/>
      <c r="I57" s="721"/>
      <c r="J57" s="721"/>
      <c r="K57" s="721"/>
      <c r="L57" s="721"/>
      <c r="M57" s="721"/>
      <c r="N57" s="721"/>
      <c r="O57" s="721"/>
      <c r="S57" s="461">
        <v>7027</v>
      </c>
      <c r="T57" s="461">
        <v>7893</v>
      </c>
      <c r="U57" s="190">
        <v>0.21760000000000002</v>
      </c>
      <c r="Z57" s="188"/>
      <c r="AA57" s="188"/>
      <c r="AB57" s="188"/>
      <c r="AC57" s="188"/>
    </row>
    <row r="58" spans="2:29" ht="12" customHeight="1">
      <c r="B58" s="721"/>
      <c r="C58" s="721"/>
      <c r="D58" s="721"/>
      <c r="E58" s="721"/>
      <c r="F58" s="721"/>
      <c r="G58" s="721"/>
      <c r="H58" s="721"/>
      <c r="I58" s="721"/>
      <c r="J58" s="721"/>
      <c r="K58" s="721"/>
      <c r="L58" s="721"/>
      <c r="M58" s="721"/>
      <c r="N58" s="721"/>
      <c r="O58" s="721"/>
      <c r="S58" s="461">
        <v>7893</v>
      </c>
      <c r="T58" s="461">
        <v>8759</v>
      </c>
      <c r="U58" s="190">
        <v>0.1956</v>
      </c>
      <c r="Z58" s="188"/>
      <c r="AA58" s="188"/>
      <c r="AB58" s="188"/>
      <c r="AC58" s="188"/>
    </row>
    <row r="59" spans="2:29" ht="12" customHeight="1">
      <c r="B59" s="721"/>
      <c r="C59" s="721"/>
      <c r="D59" s="721"/>
      <c r="E59" s="721"/>
      <c r="F59" s="721"/>
      <c r="G59" s="721"/>
      <c r="H59" s="721"/>
      <c r="I59" s="721"/>
      <c r="J59" s="721"/>
      <c r="K59" s="721"/>
      <c r="L59" s="721"/>
      <c r="M59" s="721"/>
      <c r="N59" s="721"/>
      <c r="O59" s="721"/>
      <c r="S59" s="461">
        <v>8760</v>
      </c>
      <c r="T59" s="461">
        <v>8760</v>
      </c>
      <c r="U59" s="190">
        <v>0.1188</v>
      </c>
      <c r="Z59" s="188"/>
      <c r="AA59" s="188"/>
      <c r="AB59" s="188"/>
      <c r="AC59" s="188"/>
    </row>
    <row r="60" spans="2:29" ht="12" customHeight="1">
      <c r="B60" s="721"/>
      <c r="C60" s="721"/>
      <c r="D60" s="721"/>
      <c r="E60" s="721"/>
      <c r="F60" s="721"/>
      <c r="G60" s="721"/>
      <c r="H60" s="721"/>
      <c r="I60" s="721"/>
      <c r="J60" s="721"/>
      <c r="K60" s="721"/>
      <c r="L60" s="721"/>
      <c r="M60" s="721"/>
      <c r="N60" s="721"/>
      <c r="O60" s="721"/>
      <c r="S60" s="723" t="s">
        <v>565</v>
      </c>
      <c r="T60" s="723"/>
      <c r="U60" s="461">
        <v>6556</v>
      </c>
      <c r="Z60" s="188"/>
      <c r="AA60" s="188"/>
      <c r="AB60" s="188"/>
      <c r="AC60" s="188"/>
    </row>
    <row r="61" spans="2:29" ht="12" customHeight="1">
      <c r="B61" s="721"/>
      <c r="C61" s="721"/>
      <c r="D61" s="721"/>
      <c r="E61" s="721"/>
      <c r="F61" s="721"/>
      <c r="G61" s="721"/>
      <c r="H61" s="721"/>
      <c r="I61" s="721"/>
      <c r="J61" s="721"/>
      <c r="K61" s="721"/>
      <c r="L61" s="721"/>
      <c r="M61" s="721"/>
      <c r="N61" s="721"/>
      <c r="O61" s="721"/>
      <c r="S61" s="725" t="s">
        <v>85</v>
      </c>
      <c r="T61" s="725"/>
      <c r="U61" s="725"/>
      <c r="Z61" s="188"/>
      <c r="AA61" s="188"/>
      <c r="AB61" s="188"/>
      <c r="AC61" s="188"/>
    </row>
    <row r="62" spans="2:29" ht="12" customHeight="1">
      <c r="B62" s="721"/>
      <c r="C62" s="721"/>
      <c r="D62" s="721"/>
      <c r="E62" s="721"/>
      <c r="F62" s="721"/>
      <c r="G62" s="721"/>
      <c r="H62" s="721"/>
      <c r="I62" s="721"/>
      <c r="J62" s="721"/>
      <c r="K62" s="721"/>
      <c r="L62" s="721"/>
      <c r="M62" s="721"/>
      <c r="N62" s="721"/>
      <c r="O62" s="721"/>
      <c r="S62" s="412" t="s">
        <v>335</v>
      </c>
      <c r="T62" s="412" t="s">
        <v>336</v>
      </c>
      <c r="U62" s="413" t="s">
        <v>70</v>
      </c>
      <c r="Z62" s="188"/>
      <c r="AA62" s="188"/>
      <c r="AB62" s="188"/>
      <c r="AC62" s="188"/>
    </row>
    <row r="63" spans="2:29" ht="12" customHeight="1">
      <c r="B63" s="721"/>
      <c r="C63" s="721"/>
      <c r="D63" s="721"/>
      <c r="E63" s="721"/>
      <c r="F63" s="721"/>
      <c r="G63" s="721"/>
      <c r="H63" s="721"/>
      <c r="I63" s="721"/>
      <c r="J63" s="721"/>
      <c r="K63" s="721"/>
      <c r="L63" s="721"/>
      <c r="M63" s="721"/>
      <c r="N63" s="721"/>
      <c r="O63" s="721"/>
      <c r="S63" s="461">
        <v>1</v>
      </c>
      <c r="T63" s="461">
        <v>882</v>
      </c>
      <c r="U63" s="190">
        <v>3.9000000000000003E-3</v>
      </c>
      <c r="W63" s="479"/>
      <c r="Z63" s="198"/>
      <c r="AA63" s="198"/>
      <c r="AB63" s="198"/>
      <c r="AC63" s="198"/>
    </row>
    <row r="64" spans="2:29" ht="12" customHeight="1">
      <c r="B64" s="721"/>
      <c r="C64" s="721"/>
      <c r="D64" s="721"/>
      <c r="E64" s="721"/>
      <c r="F64" s="721"/>
      <c r="G64" s="721"/>
      <c r="H64" s="721"/>
      <c r="I64" s="721"/>
      <c r="J64" s="721"/>
      <c r="K64" s="721"/>
      <c r="L64" s="721"/>
      <c r="M64" s="721"/>
      <c r="N64" s="721"/>
      <c r="O64" s="721"/>
      <c r="S64" s="461">
        <v>882</v>
      </c>
      <c r="T64" s="461">
        <v>1757</v>
      </c>
      <c r="U64" s="190">
        <v>2.41E-2</v>
      </c>
      <c r="W64" s="479"/>
      <c r="Z64" s="199"/>
    </row>
    <row r="65" spans="2:26" ht="12" customHeight="1">
      <c r="B65" s="721"/>
      <c r="C65" s="721"/>
      <c r="D65" s="721"/>
      <c r="E65" s="721"/>
      <c r="F65" s="721"/>
      <c r="G65" s="721"/>
      <c r="H65" s="721"/>
      <c r="I65" s="721"/>
      <c r="J65" s="721"/>
      <c r="K65" s="721"/>
      <c r="L65" s="721"/>
      <c r="M65" s="721"/>
      <c r="N65" s="721"/>
      <c r="O65" s="721"/>
      <c r="S65" s="461">
        <v>1757</v>
      </c>
      <c r="T65" s="461">
        <v>2633</v>
      </c>
      <c r="U65" s="190">
        <v>9.5000000000000001E-2</v>
      </c>
      <c r="W65" s="479"/>
      <c r="Z65" s="199"/>
    </row>
    <row r="66" spans="2:26" ht="12" customHeight="1">
      <c r="B66" s="721"/>
      <c r="C66" s="721"/>
      <c r="D66" s="721"/>
      <c r="E66" s="721"/>
      <c r="F66" s="721"/>
      <c r="G66" s="721"/>
      <c r="H66" s="721"/>
      <c r="I66" s="721"/>
      <c r="J66" s="721"/>
      <c r="K66" s="721"/>
      <c r="L66" s="721"/>
      <c r="M66" s="721"/>
      <c r="N66" s="721"/>
      <c r="O66" s="721"/>
      <c r="S66" s="461">
        <v>2633</v>
      </c>
      <c r="T66" s="461">
        <v>3508</v>
      </c>
      <c r="U66" s="190">
        <v>1.23E-2</v>
      </c>
      <c r="W66" s="479"/>
    </row>
    <row r="67" spans="2:26" ht="12" customHeight="1">
      <c r="B67" s="721"/>
      <c r="C67" s="721"/>
      <c r="D67" s="721"/>
      <c r="E67" s="721"/>
      <c r="F67" s="721"/>
      <c r="G67" s="721"/>
      <c r="H67" s="721"/>
      <c r="I67" s="721"/>
      <c r="J67" s="721"/>
      <c r="K67" s="721"/>
      <c r="L67" s="721"/>
      <c r="M67" s="721"/>
      <c r="N67" s="721"/>
      <c r="O67" s="721"/>
      <c r="S67" s="461">
        <v>3508</v>
      </c>
      <c r="T67" s="461">
        <v>4383</v>
      </c>
      <c r="U67" s="190">
        <v>4.58E-2</v>
      </c>
      <c r="W67" s="479"/>
    </row>
    <row r="68" spans="2:26" ht="12" customHeight="1">
      <c r="B68" s="721"/>
      <c r="C68" s="721"/>
      <c r="D68" s="721"/>
      <c r="E68" s="721"/>
      <c r="F68" s="721"/>
      <c r="G68" s="721"/>
      <c r="H68" s="721"/>
      <c r="I68" s="721"/>
      <c r="J68" s="721"/>
      <c r="K68" s="721"/>
      <c r="L68" s="721"/>
      <c r="M68" s="721"/>
      <c r="N68" s="721"/>
      <c r="O68" s="721"/>
      <c r="S68" s="461">
        <v>4383</v>
      </c>
      <c r="T68" s="461">
        <v>5258</v>
      </c>
      <c r="U68" s="190">
        <v>4.6300000000000001E-2</v>
      </c>
      <c r="W68" s="479"/>
    </row>
    <row r="69" spans="2:26" ht="12" customHeight="1">
      <c r="B69" s="721"/>
      <c r="C69" s="721"/>
      <c r="D69" s="721"/>
      <c r="E69" s="721"/>
      <c r="F69" s="721"/>
      <c r="G69" s="721"/>
      <c r="H69" s="721"/>
      <c r="I69" s="721"/>
      <c r="J69" s="721"/>
      <c r="K69" s="721"/>
      <c r="L69" s="721"/>
      <c r="M69" s="721"/>
      <c r="N69" s="721"/>
      <c r="O69" s="721"/>
      <c r="S69" s="461">
        <v>5258</v>
      </c>
      <c r="T69" s="461">
        <v>6133</v>
      </c>
      <c r="U69" s="190">
        <v>4.4299999999999999E-2</v>
      </c>
      <c r="W69" s="479"/>
    </row>
    <row r="70" spans="2:26" ht="12" customHeight="1">
      <c r="B70" s="721"/>
      <c r="C70" s="721"/>
      <c r="D70" s="721"/>
      <c r="E70" s="721"/>
      <c r="F70" s="721"/>
      <c r="G70" s="721"/>
      <c r="H70" s="721"/>
      <c r="I70" s="721"/>
      <c r="J70" s="721"/>
      <c r="K70" s="721"/>
      <c r="L70" s="721"/>
      <c r="M70" s="721"/>
      <c r="N70" s="721"/>
      <c r="O70" s="721"/>
      <c r="S70" s="461">
        <v>6133</v>
      </c>
      <c r="T70" s="461">
        <v>7009</v>
      </c>
      <c r="U70" s="190">
        <v>5.5099999999999996E-2</v>
      </c>
      <c r="W70" s="479"/>
    </row>
    <row r="71" spans="2:26" ht="12" customHeight="1">
      <c r="B71" s="721"/>
      <c r="C71" s="721"/>
      <c r="D71" s="721"/>
      <c r="E71" s="721"/>
      <c r="F71" s="721"/>
      <c r="G71" s="721"/>
      <c r="H71" s="721"/>
      <c r="I71" s="721"/>
      <c r="J71" s="721"/>
      <c r="K71" s="721"/>
      <c r="L71" s="721"/>
      <c r="M71" s="721"/>
      <c r="N71" s="721"/>
      <c r="O71" s="721"/>
      <c r="S71" s="461">
        <v>7009</v>
      </c>
      <c r="T71" s="461">
        <v>7884</v>
      </c>
      <c r="U71" s="190">
        <v>0.23569999999999999</v>
      </c>
      <c r="W71" s="479"/>
    </row>
    <row r="72" spans="2:26" ht="12" customHeight="1">
      <c r="B72" s="721"/>
      <c r="C72" s="721"/>
      <c r="D72" s="721"/>
      <c r="E72" s="721"/>
      <c r="F72" s="721"/>
      <c r="G72" s="721"/>
      <c r="H72" s="721"/>
      <c r="I72" s="721"/>
      <c r="J72" s="721"/>
      <c r="K72" s="721"/>
      <c r="L72" s="721"/>
      <c r="M72" s="721"/>
      <c r="N72" s="721"/>
      <c r="O72" s="721"/>
      <c r="S72" s="461">
        <v>7884</v>
      </c>
      <c r="T72" s="461">
        <v>8759</v>
      </c>
      <c r="U72" s="190">
        <v>0.20670000000000002</v>
      </c>
      <c r="W72" s="479"/>
    </row>
    <row r="73" spans="2:26" ht="12" customHeight="1">
      <c r="B73" s="721"/>
      <c r="C73" s="721"/>
      <c r="D73" s="721"/>
      <c r="E73" s="721"/>
      <c r="F73" s="721"/>
      <c r="G73" s="721"/>
      <c r="H73" s="721"/>
      <c r="I73" s="721"/>
      <c r="J73" s="721"/>
      <c r="K73" s="721"/>
      <c r="L73" s="721"/>
      <c r="M73" s="721"/>
      <c r="N73" s="721"/>
      <c r="O73" s="721"/>
      <c r="S73" s="461">
        <v>8760</v>
      </c>
      <c r="T73" s="461">
        <v>8760</v>
      </c>
      <c r="U73" s="190">
        <v>0.23079999999999998</v>
      </c>
      <c r="W73" s="479"/>
    </row>
    <row r="74" spans="2:26" ht="12" customHeight="1">
      <c r="B74" s="721"/>
      <c r="C74" s="721"/>
      <c r="D74" s="721"/>
      <c r="E74" s="721"/>
      <c r="F74" s="721"/>
      <c r="G74" s="721"/>
      <c r="H74" s="721"/>
      <c r="I74" s="721"/>
      <c r="J74" s="721"/>
      <c r="K74" s="721"/>
      <c r="L74" s="721"/>
      <c r="M74" s="721"/>
      <c r="N74" s="721"/>
      <c r="O74" s="721"/>
      <c r="S74" s="723" t="s">
        <v>565</v>
      </c>
      <c r="T74" s="723"/>
      <c r="U74" s="461">
        <v>6692</v>
      </c>
    </row>
    <row r="75" spans="2:26" ht="12" customHeight="1">
      <c r="B75" s="721"/>
      <c r="C75" s="721"/>
      <c r="D75" s="721"/>
      <c r="E75" s="721"/>
      <c r="F75" s="721"/>
      <c r="G75" s="721"/>
      <c r="H75" s="721"/>
      <c r="I75" s="721"/>
      <c r="J75" s="721"/>
      <c r="K75" s="721"/>
      <c r="L75" s="721"/>
      <c r="M75" s="721"/>
      <c r="N75" s="721"/>
      <c r="O75" s="721"/>
      <c r="S75" s="731" t="s">
        <v>86</v>
      </c>
      <c r="T75" s="731"/>
      <c r="U75" s="731"/>
    </row>
    <row r="76" spans="2:26" ht="12" customHeight="1">
      <c r="B76" s="721"/>
      <c r="C76" s="721"/>
      <c r="D76" s="721"/>
      <c r="E76" s="721"/>
      <c r="F76" s="721"/>
      <c r="G76" s="721"/>
      <c r="H76" s="721"/>
      <c r="I76" s="721"/>
      <c r="J76" s="721"/>
      <c r="K76" s="721"/>
      <c r="L76" s="721"/>
      <c r="M76" s="721"/>
      <c r="N76" s="721"/>
      <c r="O76" s="721"/>
      <c r="S76" s="412" t="s">
        <v>335</v>
      </c>
      <c r="T76" s="412" t="s">
        <v>336</v>
      </c>
      <c r="U76" s="413" t="s">
        <v>70</v>
      </c>
    </row>
    <row r="77" spans="2:26" ht="12" customHeight="1">
      <c r="B77" s="721"/>
      <c r="C77" s="721"/>
      <c r="D77" s="721"/>
      <c r="E77" s="721"/>
      <c r="F77" s="721"/>
      <c r="G77" s="721"/>
      <c r="H77" s="721"/>
      <c r="I77" s="721"/>
      <c r="J77" s="721"/>
      <c r="K77" s="721"/>
      <c r="L77" s="721"/>
      <c r="M77" s="721"/>
      <c r="N77" s="721"/>
      <c r="O77" s="721"/>
      <c r="S77" s="197">
        <v>1</v>
      </c>
      <c r="T77" s="197">
        <v>1110</v>
      </c>
      <c r="U77" s="190">
        <v>3.4200000000000001E-2</v>
      </c>
    </row>
    <row r="78" spans="2:26" ht="12" customHeight="1">
      <c r="B78" s="721"/>
      <c r="C78" s="721"/>
      <c r="D78" s="721"/>
      <c r="E78" s="721"/>
      <c r="F78" s="721"/>
      <c r="G78" s="721"/>
      <c r="H78" s="721"/>
      <c r="I78" s="721"/>
      <c r="J78" s="721"/>
      <c r="K78" s="721"/>
      <c r="L78" s="721"/>
      <c r="M78" s="721"/>
      <c r="N78" s="721"/>
      <c r="O78" s="721"/>
      <c r="S78" s="197">
        <v>1110</v>
      </c>
      <c r="T78" s="197">
        <v>1960</v>
      </c>
      <c r="U78" s="190">
        <v>2.7999999999999997E-2</v>
      </c>
    </row>
    <row r="79" spans="2:26" ht="12" customHeight="1">
      <c r="B79" s="721"/>
      <c r="C79" s="721"/>
      <c r="D79" s="721"/>
      <c r="E79" s="721"/>
      <c r="F79" s="721"/>
      <c r="G79" s="721"/>
      <c r="H79" s="721"/>
      <c r="I79" s="721"/>
      <c r="J79" s="721"/>
      <c r="K79" s="721"/>
      <c r="L79" s="721"/>
      <c r="M79" s="721"/>
      <c r="N79" s="721"/>
      <c r="O79" s="721"/>
      <c r="S79" s="197">
        <v>1960</v>
      </c>
      <c r="T79" s="197">
        <v>2810</v>
      </c>
      <c r="U79" s="190">
        <v>2.1700000000000001E-2</v>
      </c>
    </row>
    <row r="80" spans="2:26" ht="12" customHeight="1">
      <c r="B80" s="721"/>
      <c r="C80" s="721"/>
      <c r="D80" s="721"/>
      <c r="E80" s="721"/>
      <c r="F80" s="721"/>
      <c r="G80" s="721"/>
      <c r="H80" s="721"/>
      <c r="I80" s="721"/>
      <c r="J80" s="721"/>
      <c r="K80" s="721"/>
      <c r="L80" s="721"/>
      <c r="M80" s="721"/>
      <c r="N80" s="721"/>
      <c r="O80" s="721"/>
      <c r="S80" s="197">
        <v>2810</v>
      </c>
      <c r="T80" s="197">
        <v>3660</v>
      </c>
      <c r="U80" s="190">
        <v>1.24E-2</v>
      </c>
    </row>
    <row r="81" spans="2:21" ht="12" customHeight="1">
      <c r="B81" s="721"/>
      <c r="C81" s="721"/>
      <c r="D81" s="721"/>
      <c r="E81" s="721"/>
      <c r="F81" s="721"/>
      <c r="G81" s="721"/>
      <c r="H81" s="721"/>
      <c r="I81" s="721"/>
      <c r="J81" s="721"/>
      <c r="K81" s="721"/>
      <c r="L81" s="721"/>
      <c r="M81" s="721"/>
      <c r="N81" s="721"/>
      <c r="O81" s="721"/>
      <c r="S81" s="197">
        <v>3660</v>
      </c>
      <c r="T81" s="197">
        <v>4510</v>
      </c>
      <c r="U81" s="190">
        <v>0.1242</v>
      </c>
    </row>
    <row r="82" spans="2:21" ht="12" customHeight="1">
      <c r="B82" s="721"/>
      <c r="C82" s="721"/>
      <c r="D82" s="721"/>
      <c r="E82" s="721"/>
      <c r="F82" s="721"/>
      <c r="G82" s="721"/>
      <c r="H82" s="721"/>
      <c r="I82" s="721"/>
      <c r="J82" s="721"/>
      <c r="K82" s="721"/>
      <c r="L82" s="721"/>
      <c r="M82" s="721"/>
      <c r="N82" s="721"/>
      <c r="O82" s="721"/>
      <c r="S82" s="197">
        <v>4510</v>
      </c>
      <c r="T82" s="197">
        <v>5359</v>
      </c>
      <c r="U82" s="190">
        <v>2.1700000000000001E-2</v>
      </c>
    </row>
    <row r="83" spans="2:21" ht="12" customHeight="1">
      <c r="B83" s="721"/>
      <c r="C83" s="721"/>
      <c r="D83" s="721"/>
      <c r="E83" s="721"/>
      <c r="F83" s="721"/>
      <c r="G83" s="721"/>
      <c r="H83" s="721"/>
      <c r="I83" s="721"/>
      <c r="J83" s="721"/>
      <c r="K83" s="721"/>
      <c r="L83" s="721"/>
      <c r="M83" s="721"/>
      <c r="N83" s="721"/>
      <c r="O83" s="721"/>
      <c r="S83" s="197">
        <v>5359</v>
      </c>
      <c r="T83" s="197">
        <v>6209</v>
      </c>
      <c r="U83" s="190">
        <v>6.2100000000000002E-2</v>
      </c>
    </row>
    <row r="84" spans="2:21" ht="12" customHeight="1">
      <c r="S84" s="197">
        <v>6209</v>
      </c>
      <c r="T84" s="197">
        <v>7059</v>
      </c>
      <c r="U84" s="190">
        <v>0.1273</v>
      </c>
    </row>
    <row r="85" spans="2:21" ht="12" customHeight="1">
      <c r="S85" s="197">
        <v>7059</v>
      </c>
      <c r="T85" s="197">
        <v>7909</v>
      </c>
      <c r="U85" s="190">
        <v>8.6999999999999994E-2</v>
      </c>
    </row>
    <row r="86" spans="2:21" ht="12" customHeight="1">
      <c r="S86" s="197">
        <v>7909</v>
      </c>
      <c r="T86" s="197">
        <v>8759</v>
      </c>
      <c r="U86" s="190">
        <v>0.21739999999999998</v>
      </c>
    </row>
    <row r="87" spans="2:21" ht="12" customHeight="1">
      <c r="S87" s="197">
        <v>8760</v>
      </c>
      <c r="T87" s="197">
        <v>8760</v>
      </c>
      <c r="U87" s="190">
        <v>0.26400000000000001</v>
      </c>
    </row>
    <row r="88" spans="2:21" ht="12" customHeight="1">
      <c r="S88" s="723" t="s">
        <v>565</v>
      </c>
      <c r="T88" s="723"/>
      <c r="U88" s="461">
        <v>6665</v>
      </c>
    </row>
    <row r="89" spans="2:21" ht="12" customHeight="1">
      <c r="S89" s="731" t="s">
        <v>377</v>
      </c>
      <c r="T89" s="731"/>
      <c r="U89" s="731"/>
    </row>
    <row r="90" spans="2:21" ht="12" customHeight="1">
      <c r="S90" s="412" t="s">
        <v>335</v>
      </c>
      <c r="T90" s="412" t="s">
        <v>336</v>
      </c>
      <c r="U90" s="413" t="s">
        <v>70</v>
      </c>
    </row>
    <row r="91" spans="2:21" ht="12" customHeight="1">
      <c r="S91" s="446">
        <v>1</v>
      </c>
      <c r="T91" s="446">
        <v>876</v>
      </c>
      <c r="U91" s="190">
        <v>1.2800000000000001E-2</v>
      </c>
    </row>
    <row r="92" spans="2:21" ht="12" customHeight="1">
      <c r="S92" s="446">
        <v>876</v>
      </c>
      <c r="T92" s="446">
        <v>1752</v>
      </c>
      <c r="U92" s="190">
        <v>2.3199999999999998E-2</v>
      </c>
    </row>
    <row r="93" spans="2:21" ht="12" customHeight="1">
      <c r="S93" s="446">
        <v>1752</v>
      </c>
      <c r="T93" s="446">
        <v>2628</v>
      </c>
      <c r="U93" s="190">
        <v>0.1376</v>
      </c>
    </row>
    <row r="94" spans="2:21" ht="12" customHeight="1">
      <c r="S94" s="446">
        <v>2628</v>
      </c>
      <c r="T94" s="446">
        <v>3504</v>
      </c>
      <c r="U94" s="190">
        <v>4.8000000000000001E-2</v>
      </c>
    </row>
    <row r="95" spans="2:21" ht="12" customHeight="1">
      <c r="S95" s="446">
        <v>3504</v>
      </c>
      <c r="T95" s="446">
        <v>4380</v>
      </c>
      <c r="U95" s="190">
        <v>7.1199999999999999E-2</v>
      </c>
    </row>
    <row r="96" spans="2:21" ht="12" customHeight="1">
      <c r="S96" s="446">
        <v>4380</v>
      </c>
      <c r="T96" s="446">
        <v>5255</v>
      </c>
      <c r="U96" s="190">
        <v>3.7599999999999995E-2</v>
      </c>
    </row>
    <row r="97" spans="19:21" ht="12" customHeight="1">
      <c r="S97" s="446">
        <v>5255</v>
      </c>
      <c r="T97" s="446">
        <v>6131</v>
      </c>
      <c r="U97" s="190">
        <v>0.152</v>
      </c>
    </row>
    <row r="98" spans="19:21" ht="12" customHeight="1">
      <c r="S98" s="446">
        <v>6131</v>
      </c>
      <c r="T98" s="446">
        <v>7007</v>
      </c>
      <c r="U98" s="190">
        <v>5.5199999999999999E-2</v>
      </c>
    </row>
    <row r="99" spans="19:21" ht="12" customHeight="1">
      <c r="S99" s="446">
        <v>7007</v>
      </c>
      <c r="T99" s="446">
        <v>7883</v>
      </c>
      <c r="U99" s="190">
        <v>0.1288</v>
      </c>
    </row>
    <row r="100" spans="19:21" ht="12" customHeight="1">
      <c r="S100" s="446">
        <v>7883</v>
      </c>
      <c r="T100" s="446">
        <v>8759</v>
      </c>
      <c r="U100" s="190">
        <v>0.1328</v>
      </c>
    </row>
    <row r="101" spans="19:21" ht="12" customHeight="1">
      <c r="S101" s="461">
        <v>8760</v>
      </c>
      <c r="T101" s="446">
        <v>8760</v>
      </c>
      <c r="U101" s="190">
        <v>0.20079999999999998</v>
      </c>
    </row>
    <row r="102" spans="19:21" ht="12" customHeight="1">
      <c r="S102" s="723" t="s">
        <v>565</v>
      </c>
      <c r="T102" s="723"/>
      <c r="U102" s="461">
        <v>5927</v>
      </c>
    </row>
  </sheetData>
  <mergeCells count="62">
    <mergeCell ref="AE3:AK3"/>
    <mergeCell ref="B29:Q29"/>
    <mergeCell ref="AE13:AK13"/>
    <mergeCell ref="B3:Q3"/>
    <mergeCell ref="D4:E4"/>
    <mergeCell ref="F4:G4"/>
    <mergeCell ref="H4:I4"/>
    <mergeCell ref="J4:K4"/>
    <mergeCell ref="L4:M4"/>
    <mergeCell ref="N4:O4"/>
    <mergeCell ref="P4:Q4"/>
    <mergeCell ref="S4:U4"/>
    <mergeCell ref="W4:Y4"/>
    <mergeCell ref="AA4:AC4"/>
    <mergeCell ref="AE4:AK4"/>
    <mergeCell ref="AE7:AK7"/>
    <mergeCell ref="D30:E30"/>
    <mergeCell ref="F30:G30"/>
    <mergeCell ref="H30:I30"/>
    <mergeCell ref="J30:K30"/>
    <mergeCell ref="L30:M30"/>
    <mergeCell ref="J17:K17"/>
    <mergeCell ref="L17:M17"/>
    <mergeCell ref="N17:O17"/>
    <mergeCell ref="P17:Q17"/>
    <mergeCell ref="W17:X17"/>
    <mergeCell ref="AE10:AK10"/>
    <mergeCell ref="S19:U19"/>
    <mergeCell ref="W18:Y18"/>
    <mergeCell ref="N30:O30"/>
    <mergeCell ref="P30:Q30"/>
    <mergeCell ref="AA17:AB17"/>
    <mergeCell ref="AA3:AC3"/>
    <mergeCell ref="S3:Y3"/>
    <mergeCell ref="AA5:AC5"/>
    <mergeCell ref="AA18:AC18"/>
    <mergeCell ref="AA30:AB30"/>
    <mergeCell ref="AA31:AC31"/>
    <mergeCell ref="W5:Y5"/>
    <mergeCell ref="S102:T102"/>
    <mergeCell ref="S60:T60"/>
    <mergeCell ref="S88:T88"/>
    <mergeCell ref="S74:T74"/>
    <mergeCell ref="S61:U61"/>
    <mergeCell ref="S75:U75"/>
    <mergeCell ref="S89:U89"/>
    <mergeCell ref="B49:O83"/>
    <mergeCell ref="B48:O48"/>
    <mergeCell ref="AA43:AB43"/>
    <mergeCell ref="AA44:AC44"/>
    <mergeCell ref="S5:U5"/>
    <mergeCell ref="S18:T18"/>
    <mergeCell ref="AA56:AB56"/>
    <mergeCell ref="S47:U47"/>
    <mergeCell ref="S33:U33"/>
    <mergeCell ref="S46:T46"/>
    <mergeCell ref="B16:Q16"/>
    <mergeCell ref="D17:E17"/>
    <mergeCell ref="F17:G17"/>
    <mergeCell ref="H17:I17"/>
    <mergeCell ref="W30:X30"/>
    <mergeCell ref="S32:T3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B1:O87"/>
  <sheetViews>
    <sheetView zoomScale="115" zoomScaleNormal="115" zoomScalePageLayoutView="115" workbookViewId="0">
      <selection activeCell="B1" sqref="B1"/>
    </sheetView>
  </sheetViews>
  <sheetFormatPr defaultColWidth="12.6640625" defaultRowHeight="10.199999999999999"/>
  <cols>
    <col min="1" max="1" width="3" style="330" customWidth="1"/>
    <col min="2" max="6" width="12.6640625" style="330"/>
    <col min="7" max="7" width="3" style="330" customWidth="1"/>
    <col min="8" max="16384" width="12.6640625" style="330"/>
  </cols>
  <sheetData>
    <row r="1" spans="2:13" s="329" customFormat="1" ht="10.95">
      <c r="B1" s="33" t="s">
        <v>4</v>
      </c>
      <c r="H1" s="33"/>
      <c r="I1" s="33"/>
    </row>
    <row r="2" spans="2:13" s="581" customFormat="1" ht="10.95">
      <c r="B2" s="580"/>
      <c r="H2" s="580"/>
      <c r="I2" s="580"/>
    </row>
    <row r="3" spans="2:13" ht="10.95">
      <c r="B3" s="742" t="s">
        <v>388</v>
      </c>
      <c r="C3" s="743"/>
      <c r="D3" s="744"/>
    </row>
    <row r="4" spans="2:13" ht="10.95">
      <c r="B4" s="451"/>
      <c r="C4" s="453" t="s">
        <v>489</v>
      </c>
      <c r="D4" s="453" t="s">
        <v>490</v>
      </c>
    </row>
    <row r="5" spans="2:13" ht="10.95">
      <c r="B5" s="452" t="s">
        <v>88</v>
      </c>
      <c r="C5" s="459">
        <v>2</v>
      </c>
      <c r="D5" s="453">
        <v>2</v>
      </c>
    </row>
    <row r="6" spans="2:13" ht="10.95">
      <c r="B6" s="452" t="s">
        <v>89</v>
      </c>
      <c r="C6" s="460">
        <v>160000</v>
      </c>
      <c r="D6" s="453">
        <v>48500</v>
      </c>
    </row>
    <row r="7" spans="2:13" ht="10.95">
      <c r="B7" s="452" t="s">
        <v>90</v>
      </c>
      <c r="C7" s="460">
        <f>0.075*$C$6</f>
        <v>12000</v>
      </c>
      <c r="D7" s="453">
        <v>3638</v>
      </c>
    </row>
    <row r="9" spans="2:13" ht="10.95">
      <c r="H9" s="741" t="s">
        <v>512</v>
      </c>
      <c r="I9" s="741"/>
      <c r="J9" s="741"/>
      <c r="K9" s="741"/>
      <c r="L9" s="741"/>
      <c r="M9" s="741"/>
    </row>
    <row r="10" spans="2:13" ht="10.95">
      <c r="H10" s="745" t="s">
        <v>392</v>
      </c>
      <c r="I10" s="746"/>
      <c r="J10" s="747"/>
      <c r="K10" s="745" t="s">
        <v>393</v>
      </c>
      <c r="L10" s="746"/>
      <c r="M10" s="747"/>
    </row>
    <row r="11" spans="2:13" ht="33">
      <c r="H11" s="472" t="s">
        <v>386</v>
      </c>
      <c r="I11" s="473" t="s">
        <v>387</v>
      </c>
      <c r="J11" s="454" t="s">
        <v>87</v>
      </c>
      <c r="K11" s="472" t="s">
        <v>386</v>
      </c>
      <c r="L11" s="473" t="s">
        <v>387</v>
      </c>
      <c r="M11" s="454" t="s">
        <v>87</v>
      </c>
    </row>
    <row r="12" spans="2:13" ht="10.95">
      <c r="H12" s="463">
        <v>36000</v>
      </c>
      <c r="I12" s="467">
        <v>0</v>
      </c>
      <c r="J12" s="456">
        <f>1-I12</f>
        <v>1</v>
      </c>
      <c r="K12" s="470">
        <v>9000</v>
      </c>
      <c r="L12" s="455">
        <v>0</v>
      </c>
      <c r="M12" s="464">
        <f>1-L12</f>
        <v>1</v>
      </c>
    </row>
    <row r="13" spans="2:13" ht="10.95">
      <c r="H13" s="463">
        <v>48000</v>
      </c>
      <c r="I13" s="467">
        <v>5.609209308919106E-3</v>
      </c>
      <c r="J13" s="456">
        <f t="shared" ref="J13:J46" si="0">1-I13</f>
        <v>0.99439079069108094</v>
      </c>
      <c r="K13" s="470">
        <v>12637.5</v>
      </c>
      <c r="L13" s="455">
        <v>5.609209308919106E-3</v>
      </c>
      <c r="M13" s="464">
        <f t="shared" ref="M13:M46" si="1">1-L13</f>
        <v>0.99439079069108094</v>
      </c>
    </row>
    <row r="14" spans="2:13" ht="10.95">
      <c r="H14" s="463">
        <v>60000</v>
      </c>
      <c r="I14" s="467">
        <v>2.224876280666363E-2</v>
      </c>
      <c r="J14" s="456">
        <f t="shared" si="0"/>
        <v>0.97775123719333634</v>
      </c>
      <c r="K14" s="470">
        <v>16275</v>
      </c>
      <c r="L14" s="455">
        <v>2.224876280666363E-2</v>
      </c>
      <c r="M14" s="464">
        <f t="shared" si="1"/>
        <v>0.97775123719333634</v>
      </c>
    </row>
    <row r="15" spans="2:13" ht="10.95">
      <c r="H15" s="463">
        <v>72000</v>
      </c>
      <c r="I15" s="467">
        <v>4.9364908141301546E-2</v>
      </c>
      <c r="J15" s="456">
        <f t="shared" si="0"/>
        <v>0.95063509185869843</v>
      </c>
      <c r="K15" s="470">
        <v>19912.5</v>
      </c>
      <c r="L15" s="455">
        <v>4.9364908141301546E-2</v>
      </c>
      <c r="M15" s="464">
        <f t="shared" si="1"/>
        <v>0.95063509185869843</v>
      </c>
    </row>
    <row r="16" spans="2:13" ht="10.95">
      <c r="H16" s="463">
        <v>84000</v>
      </c>
      <c r="I16" s="467">
        <v>8.60688147287718E-2</v>
      </c>
      <c r="J16" s="456">
        <f t="shared" si="0"/>
        <v>0.91393118527122819</v>
      </c>
      <c r="K16" s="470">
        <v>23550</v>
      </c>
      <c r="L16" s="455">
        <v>8.60688147287718E-2</v>
      </c>
      <c r="M16" s="464">
        <f t="shared" si="1"/>
        <v>0.91393118527122819</v>
      </c>
    </row>
    <row r="17" spans="2:13" ht="10.95">
      <c r="H17" s="463">
        <v>96000</v>
      </c>
      <c r="I17" s="467">
        <v>0.13118494373715683</v>
      </c>
      <c r="J17" s="456">
        <f t="shared" si="0"/>
        <v>0.86881505626284317</v>
      </c>
      <c r="K17" s="470">
        <v>27187.5</v>
      </c>
      <c r="L17" s="455">
        <v>0.13118494373715683</v>
      </c>
      <c r="M17" s="464">
        <f t="shared" si="1"/>
        <v>0.86881505626284317</v>
      </c>
    </row>
    <row r="18" spans="2:13" ht="10.95">
      <c r="H18" s="463">
        <v>108000</v>
      </c>
      <c r="I18" s="467">
        <v>0.18331351740188917</v>
      </c>
      <c r="J18" s="456">
        <f t="shared" si="0"/>
        <v>0.81668648259811083</v>
      </c>
      <c r="K18" s="470">
        <v>30825</v>
      </c>
      <c r="L18" s="455">
        <v>0.18331351740188917</v>
      </c>
      <c r="M18" s="464">
        <f t="shared" si="1"/>
        <v>0.81668648259811083</v>
      </c>
    </row>
    <row r="19" spans="2:13" ht="10.95">
      <c r="H19" s="463">
        <v>120000</v>
      </c>
      <c r="I19" s="467">
        <v>0.2409024610290191</v>
      </c>
      <c r="J19" s="456">
        <f t="shared" si="0"/>
        <v>0.75909753897098087</v>
      </c>
      <c r="K19" s="470">
        <v>34462.5</v>
      </c>
      <c r="L19" s="455">
        <v>0.2409024610290191</v>
      </c>
      <c r="M19" s="464">
        <f t="shared" si="1"/>
        <v>0.75909753897098087</v>
      </c>
    </row>
    <row r="20" spans="2:13" ht="10.95">
      <c r="H20" s="463">
        <v>132000</v>
      </c>
      <c r="I20" s="467">
        <v>0.30232367392896892</v>
      </c>
      <c r="J20" s="456">
        <f t="shared" si="0"/>
        <v>0.69767632607103103</v>
      </c>
      <c r="K20" s="470">
        <v>38100</v>
      </c>
      <c r="L20" s="455">
        <v>0.30232367392896892</v>
      </c>
      <c r="M20" s="464">
        <f t="shared" si="1"/>
        <v>0.69767632607103103</v>
      </c>
    </row>
    <row r="21" spans="2:13" ht="10.95">
      <c r="H21" s="463">
        <v>144000</v>
      </c>
      <c r="I21" s="467">
        <v>0.36594843814193251</v>
      </c>
      <c r="J21" s="456">
        <f t="shared" si="0"/>
        <v>0.63405156185806755</v>
      </c>
      <c r="K21" s="470">
        <v>41737.5</v>
      </c>
      <c r="L21" s="455">
        <v>0.36594843814193251</v>
      </c>
      <c r="M21" s="464">
        <f t="shared" si="1"/>
        <v>0.63405156185806755</v>
      </c>
    </row>
    <row r="22" spans="2:13" ht="10.95">
      <c r="H22" s="463">
        <v>156000</v>
      </c>
      <c r="I22" s="467">
        <v>0.43021717526907699</v>
      </c>
      <c r="J22" s="456">
        <f t="shared" si="0"/>
        <v>0.56978282473092301</v>
      </c>
      <c r="K22" s="470">
        <v>45375</v>
      </c>
      <c r="L22" s="455">
        <v>0.43021717526907699</v>
      </c>
      <c r="M22" s="464">
        <f t="shared" si="1"/>
        <v>0.56978282473092301</v>
      </c>
    </row>
    <row r="23" spans="2:13" ht="10.95">
      <c r="H23" s="463">
        <v>168000</v>
      </c>
      <c r="I23" s="467">
        <v>0.49369954432661861</v>
      </c>
      <c r="J23" s="456">
        <f t="shared" si="0"/>
        <v>0.50630045567338144</v>
      </c>
      <c r="K23" s="470">
        <v>49012.5</v>
      </c>
      <c r="L23" s="455">
        <v>0.49369954432661861</v>
      </c>
      <c r="M23" s="464">
        <f t="shared" si="1"/>
        <v>0.50630045567338144</v>
      </c>
    </row>
    <row r="24" spans="2:13" ht="10.95">
      <c r="H24" s="463">
        <v>180000</v>
      </c>
      <c r="I24" s="467">
        <v>0.55514193377705889</v>
      </c>
      <c r="J24" s="456">
        <f t="shared" si="0"/>
        <v>0.44485806622294111</v>
      </c>
      <c r="K24" s="470">
        <v>52650</v>
      </c>
      <c r="L24" s="455">
        <v>0.55514193377705889</v>
      </c>
      <c r="M24" s="464">
        <f t="shared" si="1"/>
        <v>0.44485806622294111</v>
      </c>
    </row>
    <row r="25" spans="2:13" ht="10.95">
      <c r="H25" s="463">
        <v>192000</v>
      </c>
      <c r="I25" s="467">
        <v>0.6135006141655357</v>
      </c>
      <c r="J25" s="456">
        <f t="shared" si="0"/>
        <v>0.3864993858344643</v>
      </c>
      <c r="K25" s="470">
        <v>56287.5</v>
      </c>
      <c r="L25" s="455">
        <v>0.6135006141655357</v>
      </c>
      <c r="M25" s="464">
        <f t="shared" si="1"/>
        <v>0.3864993858344643</v>
      </c>
    </row>
    <row r="26" spans="2:13" ht="10.95">
      <c r="B26" s="425" t="s">
        <v>63</v>
      </c>
      <c r="C26" s="582"/>
      <c r="D26" s="582"/>
      <c r="E26" s="582"/>
      <c r="F26" s="582"/>
      <c r="H26" s="463">
        <v>204000</v>
      </c>
      <c r="I26" s="467">
        <v>0.66796005465533936</v>
      </c>
      <c r="J26" s="456">
        <f t="shared" si="0"/>
        <v>0.33203994534466064</v>
      </c>
      <c r="K26" s="470">
        <v>59925</v>
      </c>
      <c r="L26" s="455">
        <v>0.66796005465533936</v>
      </c>
      <c r="M26" s="464">
        <f t="shared" si="1"/>
        <v>0.33203994534466064</v>
      </c>
    </row>
    <row r="27" spans="2:13" ht="11.25" customHeight="1">
      <c r="B27" s="748" t="s">
        <v>575</v>
      </c>
      <c r="C27" s="748"/>
      <c r="D27" s="748"/>
      <c r="E27" s="748"/>
      <c r="F27" s="748"/>
      <c r="H27" s="463">
        <v>216000</v>
      </c>
      <c r="I27" s="467">
        <v>0.71793704830618454</v>
      </c>
      <c r="J27" s="456">
        <f t="shared" si="0"/>
        <v>0.28206295169381546</v>
      </c>
      <c r="K27" s="470">
        <v>63562.5</v>
      </c>
      <c r="L27" s="455">
        <v>0.71793704830618454</v>
      </c>
      <c r="M27" s="464">
        <f t="shared" si="1"/>
        <v>0.28206295169381546</v>
      </c>
    </row>
    <row r="28" spans="2:13">
      <c r="B28" s="748"/>
      <c r="C28" s="748"/>
      <c r="D28" s="748"/>
      <c r="E28" s="748"/>
      <c r="F28" s="748"/>
      <c r="H28" s="463">
        <v>228000</v>
      </c>
      <c r="I28" s="467">
        <v>0.76307224131787821</v>
      </c>
      <c r="J28" s="456">
        <f t="shared" si="0"/>
        <v>0.23692775868212179</v>
      </c>
      <c r="K28" s="470">
        <v>67200</v>
      </c>
      <c r="L28" s="455">
        <v>0.76307224131787821</v>
      </c>
      <c r="M28" s="464">
        <f t="shared" si="1"/>
        <v>0.23692775868212179</v>
      </c>
    </row>
    <row r="29" spans="2:13">
      <c r="B29" s="748"/>
      <c r="C29" s="748"/>
      <c r="D29" s="748"/>
      <c r="E29" s="748"/>
      <c r="F29" s="748"/>
      <c r="H29" s="463">
        <v>240000</v>
      </c>
      <c r="I29" s="467">
        <v>0.80321135614150807</v>
      </c>
      <c r="J29" s="456">
        <f t="shared" si="0"/>
        <v>0.19678864385849193</v>
      </c>
      <c r="K29" s="470">
        <v>70837.5</v>
      </c>
      <c r="L29" s="455">
        <v>0.80321135614150807</v>
      </c>
      <c r="M29" s="464">
        <f t="shared" si="1"/>
        <v>0.19678864385849193</v>
      </c>
    </row>
    <row r="30" spans="2:13">
      <c r="B30" s="748"/>
      <c r="C30" s="748"/>
      <c r="D30" s="748"/>
      <c r="E30" s="748"/>
      <c r="F30" s="748"/>
      <c r="H30" s="463">
        <v>252000</v>
      </c>
      <c r="I30" s="467">
        <v>0.83837880753466076</v>
      </c>
      <c r="J30" s="456">
        <f t="shared" si="0"/>
        <v>0.16162119246533924</v>
      </c>
      <c r="K30" s="470">
        <v>74475</v>
      </c>
      <c r="L30" s="455">
        <v>0.83837880753466076</v>
      </c>
      <c r="M30" s="464">
        <f t="shared" si="1"/>
        <v>0.16162119246533924</v>
      </c>
    </row>
    <row r="31" spans="2:13">
      <c r="B31" s="748"/>
      <c r="C31" s="748"/>
      <c r="D31" s="748"/>
      <c r="E31" s="748"/>
      <c r="F31" s="748"/>
      <c r="H31" s="463">
        <v>264000</v>
      </c>
      <c r="I31" s="467">
        <v>0.86874653790609901</v>
      </c>
      <c r="J31" s="456">
        <f t="shared" si="0"/>
        <v>0.13125346209390099</v>
      </c>
      <c r="K31" s="470">
        <v>78112.5</v>
      </c>
      <c r="L31" s="455">
        <v>0.86874653790609901</v>
      </c>
      <c r="M31" s="464">
        <f t="shared" si="1"/>
        <v>0.13125346209390099</v>
      </c>
    </row>
    <row r="32" spans="2:13">
      <c r="B32" s="748"/>
      <c r="C32" s="748"/>
      <c r="D32" s="748"/>
      <c r="E32" s="748"/>
      <c r="F32" s="748"/>
      <c r="H32" s="463">
        <v>276000</v>
      </c>
      <c r="I32" s="467">
        <v>0.89460077543813565</v>
      </c>
      <c r="J32" s="456">
        <f t="shared" si="0"/>
        <v>0.10539922456186435</v>
      </c>
      <c r="K32" s="470">
        <v>81750</v>
      </c>
      <c r="L32" s="455">
        <v>0.89460077543813565</v>
      </c>
      <c r="M32" s="464">
        <f t="shared" si="1"/>
        <v>0.10539922456186435</v>
      </c>
    </row>
    <row r="33" spans="2:13">
      <c r="B33" s="748"/>
      <c r="C33" s="748"/>
      <c r="D33" s="748"/>
      <c r="E33" s="748"/>
      <c r="F33" s="748"/>
      <c r="H33" s="463">
        <v>288000</v>
      </c>
      <c r="I33" s="467">
        <v>0.91630909757110734</v>
      </c>
      <c r="J33" s="456">
        <f t="shared" si="0"/>
        <v>8.3690902428892655E-2</v>
      </c>
      <c r="K33" s="470">
        <v>85387.5</v>
      </c>
      <c r="L33" s="455">
        <v>0.91630909757110734</v>
      </c>
      <c r="M33" s="464">
        <f t="shared" si="1"/>
        <v>8.3690902428892655E-2</v>
      </c>
    </row>
    <row r="34" spans="2:13">
      <c r="B34" s="748"/>
      <c r="C34" s="748"/>
      <c r="D34" s="748"/>
      <c r="E34" s="748"/>
      <c r="F34" s="748"/>
      <c r="H34" s="463">
        <v>300000</v>
      </c>
      <c r="I34" s="467">
        <v>0.93428972677249711</v>
      </c>
      <c r="J34" s="456">
        <f t="shared" si="0"/>
        <v>6.5710273227502891E-2</v>
      </c>
      <c r="K34" s="470">
        <v>89025</v>
      </c>
      <c r="L34" s="455">
        <v>0.93428972677249711</v>
      </c>
      <c r="M34" s="464">
        <f t="shared" si="1"/>
        <v>6.5710273227502891E-2</v>
      </c>
    </row>
    <row r="35" spans="2:13">
      <c r="B35" s="748"/>
      <c r="C35" s="748"/>
      <c r="D35" s="748"/>
      <c r="E35" s="748"/>
      <c r="F35" s="748"/>
      <c r="H35" s="463">
        <v>312000</v>
      </c>
      <c r="I35" s="467">
        <v>0.94898446067397302</v>
      </c>
      <c r="J35" s="456">
        <f t="shared" si="0"/>
        <v>5.1015539326026982E-2</v>
      </c>
      <c r="K35" s="470">
        <v>92662.5</v>
      </c>
      <c r="L35" s="455">
        <v>0.94898446067397302</v>
      </c>
      <c r="M35" s="464">
        <f t="shared" si="1"/>
        <v>5.1015539326026982E-2</v>
      </c>
    </row>
    <row r="36" spans="2:13">
      <c r="B36" s="748"/>
      <c r="C36" s="748"/>
      <c r="D36" s="748"/>
      <c r="E36" s="748"/>
      <c r="F36" s="748"/>
      <c r="H36" s="463">
        <v>324000</v>
      </c>
      <c r="I36" s="467">
        <v>0.9608361049010129</v>
      </c>
      <c r="J36" s="456">
        <f t="shared" si="0"/>
        <v>3.91638950989871E-2</v>
      </c>
      <c r="K36" s="470">
        <v>96300</v>
      </c>
      <c r="L36" s="455">
        <v>0.9608361049010129</v>
      </c>
      <c r="M36" s="464">
        <f t="shared" si="1"/>
        <v>3.91638950989871E-2</v>
      </c>
    </row>
    <row r="37" spans="2:13">
      <c r="B37" s="748"/>
      <c r="C37" s="748"/>
      <c r="D37" s="748"/>
      <c r="E37" s="748"/>
      <c r="F37" s="748"/>
      <c r="H37" s="463">
        <v>336000</v>
      </c>
      <c r="I37" s="467">
        <v>0.97027078361384123</v>
      </c>
      <c r="J37" s="456">
        <f t="shared" si="0"/>
        <v>2.9729216386158774E-2</v>
      </c>
      <c r="K37" s="470">
        <v>99937.5</v>
      </c>
      <c r="L37" s="455">
        <v>0.97027078361384123</v>
      </c>
      <c r="M37" s="464">
        <f t="shared" si="1"/>
        <v>2.9729216386158774E-2</v>
      </c>
    </row>
    <row r="38" spans="2:13">
      <c r="B38" s="748"/>
      <c r="C38" s="748"/>
      <c r="D38" s="748"/>
      <c r="E38" s="748"/>
      <c r="F38" s="748"/>
      <c r="H38" s="463">
        <v>348000</v>
      </c>
      <c r="I38" s="467">
        <v>0.97768508522303355</v>
      </c>
      <c r="J38" s="456">
        <f t="shared" si="0"/>
        <v>2.2314914776966455E-2</v>
      </c>
      <c r="K38" s="470">
        <v>103575</v>
      </c>
      <c r="L38" s="455">
        <v>0.97768508522303355</v>
      </c>
      <c r="M38" s="464">
        <f t="shared" si="1"/>
        <v>2.2314914776966455E-2</v>
      </c>
    </row>
    <row r="39" spans="2:13">
      <c r="B39" s="748"/>
      <c r="C39" s="748"/>
      <c r="D39" s="748"/>
      <c r="E39" s="748"/>
      <c r="F39" s="748"/>
      <c r="H39" s="463">
        <v>360000</v>
      </c>
      <c r="I39" s="467">
        <v>0.98343767928418846</v>
      </c>
      <c r="J39" s="456">
        <f t="shared" si="0"/>
        <v>1.656232071581154E-2</v>
      </c>
      <c r="K39" s="470">
        <v>107212.5</v>
      </c>
      <c r="L39" s="455">
        <v>0.98343767928418846</v>
      </c>
      <c r="M39" s="464">
        <f t="shared" si="1"/>
        <v>1.656232071581154E-2</v>
      </c>
    </row>
    <row r="40" spans="2:13">
      <c r="B40" s="748"/>
      <c r="C40" s="748"/>
      <c r="D40" s="748"/>
      <c r="E40" s="748"/>
      <c r="F40" s="748"/>
      <c r="H40" s="463">
        <v>372000</v>
      </c>
      <c r="I40" s="467">
        <v>0.98784482167008503</v>
      </c>
      <c r="J40" s="456">
        <f t="shared" si="0"/>
        <v>1.2155178329914973E-2</v>
      </c>
      <c r="K40" s="470">
        <v>110850</v>
      </c>
      <c r="L40" s="455">
        <v>0.98784482167008503</v>
      </c>
      <c r="M40" s="464">
        <f t="shared" si="1"/>
        <v>1.2155178329914973E-2</v>
      </c>
    </row>
    <row r="41" spans="2:13">
      <c r="B41" s="748"/>
      <c r="C41" s="748"/>
      <c r="D41" s="748"/>
      <c r="E41" s="748"/>
      <c r="F41" s="748"/>
      <c r="H41" s="463">
        <v>384000</v>
      </c>
      <c r="I41" s="467">
        <v>0.9911790437811121</v>
      </c>
      <c r="J41" s="456">
        <f t="shared" si="0"/>
        <v>8.8209562188878987E-3</v>
      </c>
      <c r="K41" s="470">
        <v>114487.5</v>
      </c>
      <c r="L41" s="455">
        <v>0.9911790437811121</v>
      </c>
      <c r="M41" s="464">
        <f t="shared" si="1"/>
        <v>8.8209562188878987E-3</v>
      </c>
    </row>
    <row r="42" spans="2:13">
      <c r="B42" s="748"/>
      <c r="C42" s="748"/>
      <c r="D42" s="748"/>
      <c r="E42" s="748"/>
      <c r="F42" s="748"/>
      <c r="G42" s="458"/>
      <c r="H42" s="463">
        <v>396000</v>
      </c>
      <c r="I42" s="467">
        <v>0.99367028457251427</v>
      </c>
      <c r="J42" s="456">
        <f t="shared" si="0"/>
        <v>6.329715427485727E-3</v>
      </c>
      <c r="K42" s="470">
        <v>118125</v>
      </c>
      <c r="L42" s="455">
        <v>0.99367028457251427</v>
      </c>
      <c r="M42" s="464">
        <f t="shared" si="1"/>
        <v>6.329715427485727E-3</v>
      </c>
    </row>
    <row r="43" spans="2:13">
      <c r="B43" s="748"/>
      <c r="C43" s="748"/>
      <c r="D43" s="748"/>
      <c r="E43" s="748"/>
      <c r="F43" s="748"/>
      <c r="H43" s="463">
        <v>408000</v>
      </c>
      <c r="I43" s="467">
        <v>0.99550875350525514</v>
      </c>
      <c r="J43" s="456">
        <f t="shared" si="0"/>
        <v>4.4912464947448605E-3</v>
      </c>
      <c r="K43" s="470">
        <v>121762.5</v>
      </c>
      <c r="L43" s="455">
        <v>0.99550875350525514</v>
      </c>
      <c r="M43" s="464">
        <f t="shared" si="1"/>
        <v>4.4912464947448605E-3</v>
      </c>
    </row>
    <row r="44" spans="2:13" ht="11.25" customHeight="1">
      <c r="B44" s="748"/>
      <c r="C44" s="748"/>
      <c r="D44" s="748"/>
      <c r="E44" s="748"/>
      <c r="F44" s="748"/>
      <c r="H44" s="463">
        <v>420000</v>
      </c>
      <c r="I44" s="467">
        <v>0.99684888840155561</v>
      </c>
      <c r="J44" s="456">
        <f t="shared" si="0"/>
        <v>3.1511115984443894E-3</v>
      </c>
      <c r="K44" s="470">
        <v>125400</v>
      </c>
      <c r="L44" s="455">
        <v>0.99684888840155561</v>
      </c>
      <c r="M44" s="464">
        <f t="shared" si="1"/>
        <v>3.1511115984443894E-3</v>
      </c>
    </row>
    <row r="45" spans="2:13">
      <c r="B45" s="748"/>
      <c r="C45" s="748"/>
      <c r="D45" s="748"/>
      <c r="E45" s="748"/>
      <c r="F45" s="748"/>
      <c r="H45" s="463">
        <v>432000</v>
      </c>
      <c r="I45" s="467">
        <v>0.99781387563661061</v>
      </c>
      <c r="J45" s="456">
        <f t="shared" si="0"/>
        <v>2.1861243633893856E-3</v>
      </c>
      <c r="K45" s="470">
        <v>129037.5</v>
      </c>
      <c r="L45" s="455">
        <v>0.99781387563661061</v>
      </c>
      <c r="M45" s="464">
        <f t="shared" si="1"/>
        <v>2.1861243633893856E-3</v>
      </c>
    </row>
    <row r="46" spans="2:13">
      <c r="B46" s="748"/>
      <c r="C46" s="748"/>
      <c r="D46" s="748"/>
      <c r="E46" s="748"/>
      <c r="F46" s="748"/>
      <c r="H46" s="469">
        <v>436000</v>
      </c>
      <c r="I46" s="468">
        <v>0.99806954586377228</v>
      </c>
      <c r="J46" s="457">
        <f t="shared" si="0"/>
        <v>1.9304541362277217E-3</v>
      </c>
      <c r="K46" s="471">
        <v>132675</v>
      </c>
      <c r="L46" s="465">
        <v>0.99850031471067013</v>
      </c>
      <c r="M46" s="466">
        <f t="shared" si="1"/>
        <v>1.4996852893298662E-3</v>
      </c>
    </row>
    <row r="47" spans="2:13" ht="15.75" customHeight="1">
      <c r="B47" s="748"/>
      <c r="C47" s="748"/>
      <c r="D47" s="748"/>
      <c r="E47" s="748"/>
      <c r="F47" s="748"/>
    </row>
    <row r="48" spans="2:13">
      <c r="B48" s="748"/>
      <c r="C48" s="748"/>
      <c r="D48" s="748"/>
      <c r="E48" s="748"/>
      <c r="F48" s="748"/>
    </row>
    <row r="49" spans="2:15">
      <c r="B49" s="748"/>
      <c r="C49" s="748"/>
      <c r="D49" s="748"/>
      <c r="E49" s="748"/>
      <c r="F49" s="748"/>
      <c r="O49" s="583"/>
    </row>
    <row r="50" spans="2:15">
      <c r="B50" s="748"/>
      <c r="C50" s="748"/>
      <c r="D50" s="748"/>
      <c r="E50" s="748"/>
      <c r="F50" s="748"/>
    </row>
    <row r="51" spans="2:15">
      <c r="B51" s="748"/>
      <c r="C51" s="748"/>
      <c r="D51" s="748"/>
      <c r="E51" s="748"/>
      <c r="F51" s="748"/>
    </row>
    <row r="52" spans="2:15">
      <c r="B52" s="748"/>
      <c r="C52" s="748"/>
      <c r="D52" s="748"/>
      <c r="E52" s="748"/>
      <c r="F52" s="748"/>
    </row>
    <row r="53" spans="2:15">
      <c r="B53" s="748"/>
      <c r="C53" s="748"/>
      <c r="D53" s="748"/>
      <c r="E53" s="748"/>
      <c r="F53" s="748"/>
    </row>
    <row r="54" spans="2:15">
      <c r="B54" s="748"/>
      <c r="C54" s="748"/>
      <c r="D54" s="748"/>
      <c r="E54" s="748"/>
      <c r="F54" s="748"/>
    </row>
    <row r="55" spans="2:15">
      <c r="B55" s="748"/>
      <c r="C55" s="748"/>
      <c r="D55" s="748"/>
      <c r="E55" s="748"/>
      <c r="F55" s="748"/>
    </row>
    <row r="56" spans="2:15">
      <c r="B56" s="748"/>
      <c r="C56" s="748"/>
      <c r="D56" s="748"/>
      <c r="E56" s="748"/>
      <c r="F56" s="748"/>
    </row>
    <row r="57" spans="2:15">
      <c r="B57" s="748"/>
      <c r="C57" s="748"/>
      <c r="D57" s="748"/>
      <c r="E57" s="748"/>
      <c r="F57" s="748"/>
    </row>
    <row r="58" spans="2:15">
      <c r="B58" s="748"/>
      <c r="C58" s="748"/>
      <c r="D58" s="748"/>
      <c r="E58" s="748"/>
      <c r="F58" s="748"/>
    </row>
    <row r="59" spans="2:15">
      <c r="B59" s="748"/>
      <c r="C59" s="748"/>
      <c r="D59" s="748"/>
      <c r="E59" s="748"/>
      <c r="F59" s="748"/>
    </row>
    <row r="60" spans="2:15">
      <c r="B60" s="748"/>
      <c r="C60" s="748"/>
      <c r="D60" s="748"/>
      <c r="E60" s="748"/>
      <c r="F60" s="748"/>
    </row>
    <row r="61" spans="2:15">
      <c r="B61" s="748"/>
      <c r="C61" s="748"/>
      <c r="D61" s="748"/>
      <c r="E61" s="748"/>
      <c r="F61" s="748"/>
    </row>
    <row r="62" spans="2:15">
      <c r="B62" s="748"/>
      <c r="C62" s="748"/>
      <c r="D62" s="748"/>
      <c r="E62" s="748"/>
      <c r="F62" s="748"/>
    </row>
    <row r="63" spans="2:15">
      <c r="B63" s="748"/>
      <c r="C63" s="748"/>
      <c r="D63" s="748"/>
      <c r="E63" s="748"/>
      <c r="F63" s="748"/>
    </row>
    <row r="64" spans="2:15">
      <c r="B64" s="748"/>
      <c r="C64" s="748"/>
      <c r="D64" s="748"/>
      <c r="E64" s="748"/>
      <c r="F64" s="748"/>
    </row>
    <row r="65" spans="2:6">
      <c r="B65" s="748"/>
      <c r="C65" s="748"/>
      <c r="D65" s="748"/>
      <c r="E65" s="748"/>
      <c r="F65" s="748"/>
    </row>
    <row r="66" spans="2:6">
      <c r="B66" s="748"/>
      <c r="C66" s="748"/>
      <c r="D66" s="748"/>
      <c r="E66" s="748"/>
      <c r="F66" s="748"/>
    </row>
    <row r="67" spans="2:6">
      <c r="B67" s="748"/>
      <c r="C67" s="748"/>
      <c r="D67" s="748"/>
      <c r="E67" s="748"/>
      <c r="F67" s="748"/>
    </row>
    <row r="68" spans="2:6">
      <c r="B68" s="748"/>
      <c r="C68" s="748"/>
      <c r="D68" s="748"/>
      <c r="E68" s="748"/>
      <c r="F68" s="748"/>
    </row>
    <row r="69" spans="2:6">
      <c r="B69" s="748"/>
      <c r="C69" s="748"/>
      <c r="D69" s="748"/>
      <c r="E69" s="748"/>
      <c r="F69" s="748"/>
    </row>
    <row r="70" spans="2:6">
      <c r="B70" s="748"/>
      <c r="C70" s="748"/>
      <c r="D70" s="748"/>
      <c r="E70" s="748"/>
      <c r="F70" s="748"/>
    </row>
    <row r="71" spans="2:6">
      <c r="B71" s="748"/>
      <c r="C71" s="748"/>
      <c r="D71" s="748"/>
      <c r="E71" s="748"/>
      <c r="F71" s="748"/>
    </row>
    <row r="72" spans="2:6">
      <c r="B72" s="748"/>
      <c r="C72" s="748"/>
      <c r="D72" s="748"/>
      <c r="E72" s="748"/>
      <c r="F72" s="748"/>
    </row>
    <row r="73" spans="2:6">
      <c r="B73" s="748"/>
      <c r="C73" s="748"/>
      <c r="D73" s="748"/>
      <c r="E73" s="748"/>
      <c r="F73" s="748"/>
    </row>
    <row r="74" spans="2:6">
      <c r="B74" s="748"/>
      <c r="C74" s="748"/>
      <c r="D74" s="748"/>
      <c r="E74" s="748"/>
      <c r="F74" s="748"/>
    </row>
    <row r="75" spans="2:6">
      <c r="B75" s="748"/>
      <c r="C75" s="748"/>
      <c r="D75" s="748"/>
      <c r="E75" s="748"/>
      <c r="F75" s="748"/>
    </row>
    <row r="76" spans="2:6">
      <c r="B76" s="748"/>
      <c r="C76" s="748"/>
      <c r="D76" s="748"/>
      <c r="E76" s="748"/>
      <c r="F76" s="748"/>
    </row>
    <row r="77" spans="2:6">
      <c r="B77" s="748"/>
      <c r="C77" s="748"/>
      <c r="D77" s="748"/>
      <c r="E77" s="748"/>
      <c r="F77" s="748"/>
    </row>
    <row r="78" spans="2:6">
      <c r="B78" s="748"/>
      <c r="C78" s="748"/>
      <c r="D78" s="748"/>
      <c r="E78" s="748"/>
      <c r="F78" s="748"/>
    </row>
    <row r="79" spans="2:6">
      <c r="B79" s="748"/>
      <c r="C79" s="748"/>
      <c r="D79" s="748"/>
      <c r="E79" s="748"/>
      <c r="F79" s="748"/>
    </row>
    <row r="80" spans="2:6">
      <c r="B80" s="748"/>
      <c r="C80" s="748"/>
      <c r="D80" s="748"/>
      <c r="E80" s="748"/>
      <c r="F80" s="748"/>
    </row>
    <row r="81" spans="2:6">
      <c r="B81" s="748"/>
      <c r="C81" s="748"/>
      <c r="D81" s="748"/>
      <c r="E81" s="748"/>
      <c r="F81" s="748"/>
    </row>
    <row r="82" spans="2:6">
      <c r="B82" s="748"/>
      <c r="C82" s="748"/>
      <c r="D82" s="748"/>
      <c r="E82" s="748"/>
      <c r="F82" s="748"/>
    </row>
    <row r="83" spans="2:6">
      <c r="B83" s="748"/>
      <c r="C83" s="748"/>
      <c r="D83" s="748"/>
      <c r="E83" s="748"/>
      <c r="F83" s="748"/>
    </row>
    <row r="84" spans="2:6">
      <c r="B84" s="748"/>
      <c r="C84" s="748"/>
      <c r="D84" s="748"/>
      <c r="E84" s="748"/>
      <c r="F84" s="748"/>
    </row>
    <row r="85" spans="2:6">
      <c r="B85" s="748"/>
      <c r="C85" s="748"/>
      <c r="D85" s="748"/>
      <c r="E85" s="748"/>
      <c r="F85" s="748"/>
    </row>
    <row r="86" spans="2:6">
      <c r="B86" s="748"/>
      <c r="C86" s="748"/>
      <c r="D86" s="748"/>
      <c r="E86" s="748"/>
      <c r="F86" s="748"/>
    </row>
    <row r="87" spans="2:6">
      <c r="B87" s="748"/>
      <c r="C87" s="748"/>
      <c r="D87" s="748"/>
      <c r="E87" s="748"/>
      <c r="F87" s="748"/>
    </row>
  </sheetData>
  <mergeCells count="5">
    <mergeCell ref="H9:M9"/>
    <mergeCell ref="B3:D3"/>
    <mergeCell ref="H10:J10"/>
    <mergeCell ref="K10:M10"/>
    <mergeCell ref="B27:F8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B1:R52"/>
  <sheetViews>
    <sheetView zoomScale="122" zoomScaleNormal="122" zoomScalePageLayoutView="122" workbookViewId="0">
      <selection activeCell="O37" sqref="O37"/>
    </sheetView>
  </sheetViews>
  <sheetFormatPr defaultColWidth="15.6640625" defaultRowHeight="12" customHeight="1"/>
  <cols>
    <col min="1" max="1" width="2.44140625" style="331" customWidth="1"/>
    <col min="2" max="8" width="15.6640625" style="331"/>
    <col min="9" max="9" width="4.109375" style="331" customWidth="1"/>
    <col min="10" max="10" width="18.44140625" style="331" customWidth="1"/>
    <col min="11" max="13" width="15.6640625" style="331"/>
    <col min="14" max="14" width="3.44140625" style="331" customWidth="1"/>
    <col min="15" max="15" width="17.44140625" style="331" customWidth="1"/>
    <col min="16" max="16384" width="15.6640625" style="331"/>
  </cols>
  <sheetData>
    <row r="1" spans="2:18" s="172" customFormat="1" ht="12" customHeight="1">
      <c r="B1" s="173" t="s">
        <v>92</v>
      </c>
      <c r="C1" s="173"/>
      <c r="J1" s="584"/>
      <c r="K1" s="584"/>
      <c r="L1" s="584"/>
      <c r="M1" s="584"/>
      <c r="N1" s="584"/>
      <c r="O1" s="584"/>
      <c r="P1" s="584"/>
      <c r="Q1" s="584"/>
      <c r="R1" s="584"/>
    </row>
    <row r="2" spans="2:18" s="424" customFormat="1" ht="12" customHeight="1">
      <c r="B2" s="423"/>
      <c r="C2" s="423"/>
      <c r="J2" s="585"/>
      <c r="K2" s="585"/>
      <c r="L2" s="585"/>
      <c r="M2" s="585"/>
      <c r="N2" s="585"/>
      <c r="O2" s="585"/>
      <c r="P2" s="585"/>
      <c r="Q2" s="585"/>
      <c r="R2" s="585"/>
    </row>
    <row r="3" spans="2:18" s="424" customFormat="1" ht="12" customHeight="1">
      <c r="B3" s="332"/>
      <c r="C3" s="741" t="s">
        <v>95</v>
      </c>
      <c r="D3" s="741"/>
      <c r="E3" s="741"/>
      <c r="F3" s="741" t="s">
        <v>96</v>
      </c>
      <c r="G3" s="741"/>
      <c r="H3" s="741"/>
      <c r="J3" s="661" t="s">
        <v>357</v>
      </c>
      <c r="K3" s="661"/>
      <c r="L3" s="661"/>
      <c r="M3" s="661"/>
      <c r="N3" s="427"/>
      <c r="O3" s="661" t="s">
        <v>358</v>
      </c>
      <c r="P3" s="661"/>
      <c r="Q3" s="661"/>
      <c r="R3" s="585"/>
    </row>
    <row r="4" spans="2:18" s="424" customFormat="1" ht="24.75" customHeight="1">
      <c r="B4" s="333" t="s">
        <v>98</v>
      </c>
      <c r="C4" s="333" t="s">
        <v>235</v>
      </c>
      <c r="D4" s="333" t="s">
        <v>234</v>
      </c>
      <c r="E4" s="333" t="s">
        <v>236</v>
      </c>
      <c r="F4" s="422" t="s">
        <v>237</v>
      </c>
      <c r="G4" s="333" t="s">
        <v>93</v>
      </c>
      <c r="H4" s="333" t="s">
        <v>236</v>
      </c>
      <c r="J4" s="555" t="s">
        <v>370</v>
      </c>
      <c r="K4" s="555" t="s">
        <v>235</v>
      </c>
      <c r="L4" s="555" t="s">
        <v>234</v>
      </c>
      <c r="M4" s="555" t="s">
        <v>94</v>
      </c>
      <c r="N4" s="586"/>
      <c r="O4" s="555" t="s">
        <v>370</v>
      </c>
      <c r="P4" s="555" t="s">
        <v>234</v>
      </c>
      <c r="Q4" s="428" t="s">
        <v>236</v>
      </c>
      <c r="R4" s="585"/>
    </row>
    <row r="5" spans="2:18" s="424" customFormat="1" ht="12" customHeight="1">
      <c r="B5" s="334" t="s">
        <v>99</v>
      </c>
      <c r="C5" s="335">
        <v>1.54</v>
      </c>
      <c r="D5" s="335"/>
      <c r="E5" s="336"/>
      <c r="F5" s="335">
        <v>1.34</v>
      </c>
      <c r="G5" s="335"/>
      <c r="H5" s="335"/>
      <c r="J5" s="557" t="s">
        <v>383</v>
      </c>
      <c r="K5" s="426">
        <v>0.47049999999999997</v>
      </c>
      <c r="L5" s="426">
        <v>0.26779999999999998</v>
      </c>
      <c r="M5" s="426">
        <v>0.26169999999999999</v>
      </c>
      <c r="N5" s="427"/>
      <c r="O5" s="557" t="s">
        <v>383</v>
      </c>
      <c r="P5" s="426">
        <v>0.5</v>
      </c>
      <c r="Q5" s="426">
        <v>0.5</v>
      </c>
      <c r="R5" s="585"/>
    </row>
    <row r="6" spans="2:18" s="424" customFormat="1" ht="12" customHeight="1">
      <c r="B6" s="334" t="s">
        <v>100</v>
      </c>
      <c r="C6" s="335">
        <v>1.39</v>
      </c>
      <c r="D6" s="335">
        <v>1.39</v>
      </c>
      <c r="E6" s="336">
        <v>1.39</v>
      </c>
      <c r="F6" s="335">
        <v>1.23</v>
      </c>
      <c r="G6" s="335">
        <v>1.23</v>
      </c>
      <c r="H6" s="335">
        <v>1.23</v>
      </c>
      <c r="J6" s="557" t="s">
        <v>384</v>
      </c>
      <c r="K6" s="426">
        <v>0.34</v>
      </c>
      <c r="L6" s="426">
        <v>0.56999999999999995</v>
      </c>
      <c r="M6" s="426">
        <v>0.09</v>
      </c>
      <c r="N6" s="427"/>
      <c r="O6" s="557" t="s">
        <v>384</v>
      </c>
      <c r="P6" s="426">
        <v>1</v>
      </c>
      <c r="Q6" s="426">
        <v>0</v>
      </c>
      <c r="R6" s="585"/>
    </row>
    <row r="7" spans="2:18" s="424" customFormat="1" ht="12" customHeight="1">
      <c r="B7" s="337" t="s">
        <v>101</v>
      </c>
      <c r="C7" s="338"/>
      <c r="D7" s="338">
        <v>1.1000000000000001</v>
      </c>
      <c r="E7" s="339"/>
      <c r="F7" s="338"/>
      <c r="G7" s="338">
        <v>1.1000000000000001</v>
      </c>
      <c r="H7" s="338"/>
      <c r="J7" s="557" t="s">
        <v>29</v>
      </c>
      <c r="K7" s="426">
        <v>0.32429999999999998</v>
      </c>
      <c r="L7" s="426">
        <v>0.2298</v>
      </c>
      <c r="M7" s="426">
        <v>0.44590000000000002</v>
      </c>
      <c r="N7" s="427"/>
      <c r="O7" s="557" t="s">
        <v>29</v>
      </c>
      <c r="P7" s="426">
        <v>0.65</v>
      </c>
      <c r="Q7" s="426">
        <v>0.35</v>
      </c>
      <c r="R7" s="585"/>
    </row>
    <row r="8" spans="2:18" s="424" customFormat="1" ht="12" customHeight="1">
      <c r="B8" s="334" t="s">
        <v>102</v>
      </c>
      <c r="C8" s="335">
        <f>PRODUCT(C5:C6)</f>
        <v>2.1406000000000001</v>
      </c>
      <c r="D8" s="335">
        <f>PRODUCT(D6:D7)</f>
        <v>1.5289999999999999</v>
      </c>
      <c r="E8" s="336">
        <f>E6</f>
        <v>1.39</v>
      </c>
      <c r="F8" s="335">
        <f>PRODUCT(F5:F6)</f>
        <v>1.6482000000000001</v>
      </c>
      <c r="G8" s="335">
        <f>PRODUCT(G6:G7)</f>
        <v>1.353</v>
      </c>
      <c r="H8" s="335">
        <f>H6</f>
        <v>1.23</v>
      </c>
      <c r="J8" s="557" t="s">
        <v>30</v>
      </c>
      <c r="K8" s="426">
        <v>0.4</v>
      </c>
      <c r="L8" s="426">
        <v>0.06</v>
      </c>
      <c r="M8" s="426">
        <v>0.54</v>
      </c>
      <c r="N8" s="427"/>
      <c r="O8" s="557" t="s">
        <v>30</v>
      </c>
      <c r="P8" s="426">
        <v>0.5</v>
      </c>
      <c r="Q8" s="426">
        <v>0.5</v>
      </c>
      <c r="R8" s="585"/>
    </row>
    <row r="9" spans="2:18" s="424" customFormat="1" ht="12" customHeight="1">
      <c r="B9" s="337" t="s">
        <v>103</v>
      </c>
      <c r="C9" s="338">
        <v>1.0713999999999999</v>
      </c>
      <c r="D9" s="338">
        <v>1.0713999999999999</v>
      </c>
      <c r="E9" s="339">
        <v>1.0713999999999999</v>
      </c>
      <c r="F9" s="338">
        <v>1.0713999999999999</v>
      </c>
      <c r="G9" s="338">
        <v>1.0713999999999999</v>
      </c>
      <c r="H9" s="338">
        <v>1.0713999999999999</v>
      </c>
      <c r="J9" s="557" t="s">
        <v>31</v>
      </c>
      <c r="K9" s="426">
        <v>0.08</v>
      </c>
      <c r="L9" s="426">
        <v>0.85</v>
      </c>
      <c r="M9" s="426">
        <v>7.0000000000000007E-2</v>
      </c>
      <c r="N9" s="427"/>
      <c r="O9" s="557" t="s">
        <v>31</v>
      </c>
      <c r="P9" s="426" t="s">
        <v>321</v>
      </c>
      <c r="Q9" s="426" t="s">
        <v>321</v>
      </c>
      <c r="R9" s="585"/>
    </row>
    <row r="10" spans="2:18" s="424" customFormat="1" ht="12" customHeight="1">
      <c r="B10" s="334" t="s">
        <v>104</v>
      </c>
      <c r="C10" s="335">
        <f t="shared" ref="C10:H10" si="0">C9*C8</f>
        <v>2.2934388399999999</v>
      </c>
      <c r="D10" s="335">
        <f t="shared" si="0"/>
        <v>1.6381705999999998</v>
      </c>
      <c r="E10" s="336">
        <f t="shared" si="0"/>
        <v>1.4892459999999998</v>
      </c>
      <c r="F10" s="335">
        <f t="shared" si="0"/>
        <v>1.76588148</v>
      </c>
      <c r="G10" s="335">
        <f t="shared" si="0"/>
        <v>1.4496041999999998</v>
      </c>
      <c r="H10" s="335">
        <f t="shared" si="0"/>
        <v>1.3178219999999998</v>
      </c>
      <c r="J10" s="557" t="s">
        <v>97</v>
      </c>
      <c r="K10" s="426">
        <v>5.0999999999999997E-2</v>
      </c>
      <c r="L10" s="426">
        <v>3.0599999999999999E-2</v>
      </c>
      <c r="M10" s="426">
        <v>0.91839999999999999</v>
      </c>
      <c r="N10" s="427"/>
      <c r="O10" s="557" t="s">
        <v>97</v>
      </c>
      <c r="P10" s="426" t="s">
        <v>321</v>
      </c>
      <c r="Q10" s="426" t="s">
        <v>321</v>
      </c>
      <c r="R10" s="585"/>
    </row>
    <row r="11" spans="2:18" ht="12" customHeight="1">
      <c r="J11" s="557" t="s">
        <v>64</v>
      </c>
      <c r="K11" s="426">
        <v>4.9399999999999999E-2</v>
      </c>
      <c r="L11" s="426">
        <v>0.89359999999999995</v>
      </c>
      <c r="M11" s="426">
        <v>5.7099999999999998E-2</v>
      </c>
      <c r="N11" s="427"/>
      <c r="O11" s="557" t="s">
        <v>64</v>
      </c>
      <c r="P11" s="426" t="s">
        <v>321</v>
      </c>
      <c r="Q11" s="426" t="s">
        <v>321</v>
      </c>
      <c r="R11" s="427"/>
    </row>
    <row r="12" spans="2:18" ht="12" customHeight="1">
      <c r="B12" s="425" t="s">
        <v>63</v>
      </c>
      <c r="C12" s="425"/>
      <c r="D12" s="425"/>
      <c r="E12" s="425"/>
      <c r="F12" s="425"/>
      <c r="G12" s="425"/>
      <c r="H12" s="425"/>
      <c r="J12" s="427"/>
      <c r="K12" s="427"/>
      <c r="L12" s="427"/>
      <c r="M12" s="427"/>
      <c r="N12" s="427"/>
      <c r="O12" s="427"/>
      <c r="P12" s="427"/>
      <c r="Q12" s="427"/>
      <c r="R12" s="427"/>
    </row>
    <row r="13" spans="2:18" ht="12" customHeight="1">
      <c r="B13" s="749" t="s">
        <v>610</v>
      </c>
      <c r="C13" s="749"/>
      <c r="D13" s="749"/>
      <c r="E13" s="749"/>
      <c r="F13" s="749"/>
      <c r="G13" s="749"/>
      <c r="H13" s="749"/>
      <c r="J13" s="661" t="s">
        <v>359</v>
      </c>
      <c r="K13" s="661"/>
      <c r="L13" s="661"/>
      <c r="M13" s="427"/>
      <c r="N13" s="427"/>
      <c r="O13" s="661" t="s">
        <v>361</v>
      </c>
      <c r="P13" s="661"/>
      <c r="Q13" s="661"/>
      <c r="R13" s="427"/>
    </row>
    <row r="14" spans="2:18" ht="12" customHeight="1">
      <c r="B14" s="749"/>
      <c r="C14" s="749"/>
      <c r="D14" s="749"/>
      <c r="E14" s="749"/>
      <c r="F14" s="749"/>
      <c r="G14" s="749"/>
      <c r="H14" s="749"/>
      <c r="J14" s="555" t="s">
        <v>370</v>
      </c>
      <c r="K14" s="555" t="s">
        <v>95</v>
      </c>
      <c r="L14" s="555" t="s">
        <v>96</v>
      </c>
      <c r="M14" s="427"/>
      <c r="N14" s="427"/>
      <c r="O14" s="555" t="s">
        <v>370</v>
      </c>
      <c r="P14" s="555" t="s">
        <v>95</v>
      </c>
      <c r="Q14" s="555" t="s">
        <v>96</v>
      </c>
      <c r="R14" s="427"/>
    </row>
    <row r="15" spans="2:18" ht="12" customHeight="1">
      <c r="B15" s="749"/>
      <c r="C15" s="749"/>
      <c r="D15" s="749"/>
      <c r="E15" s="749"/>
      <c r="F15" s="749"/>
      <c r="G15" s="749"/>
      <c r="H15" s="749"/>
      <c r="J15" s="429" t="s">
        <v>383</v>
      </c>
      <c r="K15" s="335">
        <f>SUMPRODUCT('Markups &amp; Distribution Channels'!$L5:$M5,$D$10:$E$10)/SUM($L5:$M5)</f>
        <v>1.5645661281964116</v>
      </c>
      <c r="L15" s="430">
        <f>SUMPRODUCT(L5:M5,$G$10:$H$10)/SUM(L5:M5)</f>
        <v>1.3844721853824362</v>
      </c>
      <c r="M15" s="427"/>
      <c r="N15" s="427"/>
      <c r="O15" s="429" t="s">
        <v>383</v>
      </c>
      <c r="P15" s="335">
        <f>SUMPRODUCT(P5:Q5,$D$10:$E$10)</f>
        <v>1.5637082999999998</v>
      </c>
      <c r="Q15" s="430">
        <f>SUMPRODUCT(P5:Q5,$G$10:$H$10)</f>
        <v>1.3837130999999998</v>
      </c>
      <c r="R15" s="427"/>
    </row>
    <row r="16" spans="2:18" ht="12" customHeight="1">
      <c r="B16" s="749"/>
      <c r="C16" s="749"/>
      <c r="D16" s="749"/>
      <c r="E16" s="749"/>
      <c r="F16" s="749"/>
      <c r="G16" s="749"/>
      <c r="H16" s="749"/>
      <c r="J16" s="429" t="s">
        <v>384</v>
      </c>
      <c r="K16" s="335">
        <f>SUMPRODUCT('Markups &amp; Distribution Channels'!$L6:$M6,$D$10:$E$10)/SUM($L6:$M6)</f>
        <v>1.6178626999999999</v>
      </c>
      <c r="L16" s="430">
        <f t="shared" ref="L16:L21" si="1">SUMPRODUCT(L6:M6,$G$10:$H$10)/SUM(L6:M6)</f>
        <v>1.4316338999999998</v>
      </c>
      <c r="M16" s="427"/>
      <c r="N16" s="427"/>
      <c r="O16" s="429" t="s">
        <v>384</v>
      </c>
      <c r="P16" s="335">
        <f>SUMPRODUCT(P6:Q6,$D$10:$E$10)</f>
        <v>1.6381705999999998</v>
      </c>
      <c r="Q16" s="430">
        <f>SUMPRODUCT(P6:Q6,$G$10:$H$10)</f>
        <v>1.4496041999999998</v>
      </c>
      <c r="R16" s="427"/>
    </row>
    <row r="17" spans="2:18" ht="12" customHeight="1">
      <c r="B17" s="749"/>
      <c r="C17" s="749"/>
      <c r="D17" s="749"/>
      <c r="E17" s="749"/>
      <c r="F17" s="749"/>
      <c r="G17" s="749"/>
      <c r="H17" s="749"/>
      <c r="J17" s="429" t="s">
        <v>29</v>
      </c>
      <c r="K17" s="335">
        <f>SUMPRODUCT('Markups &amp; Distribution Channels'!$L7:$M7,$D$10:$E$10)/SUM($L7:$M7)</f>
        <v>1.5398940288293621</v>
      </c>
      <c r="L17" s="430">
        <f t="shared" si="1"/>
        <v>1.3626400398993634</v>
      </c>
      <c r="M17" s="427"/>
      <c r="N17" s="427"/>
      <c r="O17" s="429" t="s">
        <v>29</v>
      </c>
      <c r="P17" s="335">
        <f>SUMPRODUCT(P7:Q7,$D$10:$E$10)</f>
        <v>1.5860469899999998</v>
      </c>
      <c r="Q17" s="430">
        <f>SUMPRODUCT(P7:Q7,$G$10:$H$10)</f>
        <v>1.4034804299999999</v>
      </c>
      <c r="R17" s="427"/>
    </row>
    <row r="18" spans="2:18" ht="12" customHeight="1">
      <c r="B18" s="749"/>
      <c r="C18" s="749"/>
      <c r="D18" s="749"/>
      <c r="E18" s="749"/>
      <c r="F18" s="749"/>
      <c r="G18" s="749"/>
      <c r="H18" s="749"/>
      <c r="J18" s="429" t="s">
        <v>30</v>
      </c>
      <c r="K18" s="335">
        <f>SUMPRODUCT('Markups &amp; Distribution Channels'!$L8:$M8,$D$10:$E$10)/SUM($L8:$M8)</f>
        <v>1.5041384599999998</v>
      </c>
      <c r="L18" s="430">
        <f t="shared" si="1"/>
        <v>1.3310002199999997</v>
      </c>
      <c r="M18" s="427"/>
      <c r="N18" s="427"/>
      <c r="O18" s="429" t="s">
        <v>30</v>
      </c>
      <c r="P18" s="335">
        <f>SUMPRODUCT(P8:Q8,$D$10:$E$10)</f>
        <v>1.5637082999999998</v>
      </c>
      <c r="Q18" s="430">
        <f>SUMPRODUCT(P8:Q8,$G$10:$H$10)</f>
        <v>1.3837130999999998</v>
      </c>
      <c r="R18" s="427"/>
    </row>
    <row r="19" spans="2:18" ht="12" customHeight="1">
      <c r="B19" s="749"/>
      <c r="C19" s="749"/>
      <c r="D19" s="749"/>
      <c r="E19" s="749"/>
      <c r="F19" s="749"/>
      <c r="G19" s="749"/>
      <c r="H19" s="749"/>
      <c r="J19" s="429" t="s">
        <v>31</v>
      </c>
      <c r="K19" s="335">
        <f>SUMPRODUCT('Markups &amp; Distribution Channels'!$L9:$M9,$D$10:$E$10)/SUM($L9:$M9)</f>
        <v>1.6268393804347825</v>
      </c>
      <c r="L19" s="430">
        <f t="shared" si="1"/>
        <v>1.4395772934782607</v>
      </c>
      <c r="M19" s="427"/>
      <c r="N19" s="427"/>
      <c r="O19" s="429" t="s">
        <v>31</v>
      </c>
      <c r="P19" s="426" t="s">
        <v>321</v>
      </c>
      <c r="Q19" s="426" t="s">
        <v>321</v>
      </c>
      <c r="R19" s="427"/>
    </row>
    <row r="20" spans="2:18" ht="12" customHeight="1">
      <c r="B20" s="749"/>
      <c r="C20" s="749"/>
      <c r="D20" s="749"/>
      <c r="E20" s="749"/>
      <c r="F20" s="749"/>
      <c r="G20" s="749"/>
      <c r="H20" s="749"/>
      <c r="J20" s="429" t="s">
        <v>97</v>
      </c>
      <c r="K20" s="335">
        <f>SUMPRODUCT('Markups &amp; Distribution Channels'!$L10:$M10,$D$10:$E$10)/SUM($L10:$M10)</f>
        <v>1.4940479944783982</v>
      </c>
      <c r="L20" s="430">
        <f t="shared" si="1"/>
        <v>1.3220712469125395</v>
      </c>
      <c r="M20" s="427"/>
      <c r="N20" s="427"/>
      <c r="O20" s="429" t="s">
        <v>97</v>
      </c>
      <c r="P20" s="426" t="s">
        <v>321</v>
      </c>
      <c r="Q20" s="426" t="s">
        <v>321</v>
      </c>
      <c r="R20" s="427"/>
    </row>
    <row r="21" spans="2:18" ht="12" customHeight="1">
      <c r="B21" s="749"/>
      <c r="C21" s="749"/>
      <c r="D21" s="749"/>
      <c r="E21" s="749"/>
      <c r="F21" s="749"/>
      <c r="G21" s="749"/>
      <c r="H21" s="749"/>
      <c r="J21" s="429" t="s">
        <v>64</v>
      </c>
      <c r="K21" s="335">
        <f>SUMPRODUCT('Markups &amp; Distribution Channels'!$L11:$M11,$D$10:$E$10)/SUM($L11:$M11)</f>
        <v>1.6292260384558743</v>
      </c>
      <c r="L21" s="430">
        <f t="shared" si="1"/>
        <v>1.4416892282739033</v>
      </c>
      <c r="M21" s="427"/>
      <c r="N21" s="427"/>
      <c r="O21" s="429" t="s">
        <v>64</v>
      </c>
      <c r="P21" s="426" t="s">
        <v>321</v>
      </c>
      <c r="Q21" s="426" t="s">
        <v>321</v>
      </c>
      <c r="R21" s="427"/>
    </row>
    <row r="22" spans="2:18" ht="12" customHeight="1">
      <c r="B22" s="749"/>
      <c r="C22" s="749"/>
      <c r="D22" s="749"/>
      <c r="E22" s="749"/>
      <c r="F22" s="749"/>
      <c r="G22" s="749"/>
      <c r="H22" s="749"/>
      <c r="J22" s="427"/>
      <c r="K22" s="427"/>
      <c r="L22" s="427"/>
      <c r="M22" s="427"/>
      <c r="N22" s="427"/>
      <c r="O22" s="427"/>
      <c r="P22" s="427"/>
      <c r="Q22" s="427"/>
      <c r="R22" s="427"/>
    </row>
    <row r="23" spans="2:18" ht="12" customHeight="1">
      <c r="B23" s="749"/>
      <c r="C23" s="749"/>
      <c r="D23" s="749"/>
      <c r="E23" s="749"/>
      <c r="F23" s="749"/>
      <c r="G23" s="749"/>
      <c r="H23" s="749"/>
      <c r="J23" s="661" t="s">
        <v>360</v>
      </c>
      <c r="K23" s="661"/>
      <c r="L23" s="661"/>
      <c r="M23" s="427"/>
      <c r="N23" s="427"/>
      <c r="O23" s="427"/>
      <c r="P23" s="427"/>
      <c r="Q23" s="427"/>
      <c r="R23" s="427"/>
    </row>
    <row r="24" spans="2:18" ht="12" customHeight="1">
      <c r="B24" s="749"/>
      <c r="C24" s="749"/>
      <c r="D24" s="749"/>
      <c r="E24" s="749"/>
      <c r="F24" s="749"/>
      <c r="G24" s="749"/>
      <c r="H24" s="749"/>
      <c r="J24" s="555" t="s">
        <v>370</v>
      </c>
      <c r="K24" s="555" t="s">
        <v>95</v>
      </c>
      <c r="L24" s="555" t="s">
        <v>96</v>
      </c>
      <c r="M24" s="427"/>
      <c r="N24" s="427"/>
      <c r="O24" s="427"/>
      <c r="P24" s="427"/>
      <c r="Q24" s="427"/>
      <c r="R24" s="427"/>
    </row>
    <row r="25" spans="2:18" ht="12" customHeight="1">
      <c r="B25" s="749"/>
      <c r="C25" s="749"/>
      <c r="D25" s="749"/>
      <c r="E25" s="749"/>
      <c r="F25" s="749"/>
      <c r="G25" s="749"/>
      <c r="H25" s="749"/>
      <c r="J25" s="429" t="s">
        <v>383</v>
      </c>
      <c r="K25" s="335">
        <f>$C$10</f>
        <v>2.2934388399999999</v>
      </c>
      <c r="L25" s="430">
        <f>$F$10</f>
        <v>1.76588148</v>
      </c>
      <c r="M25" s="427"/>
      <c r="N25" s="427"/>
      <c r="O25" s="427"/>
      <c r="P25" s="427"/>
      <c r="Q25" s="427"/>
      <c r="R25" s="427"/>
    </row>
    <row r="26" spans="2:18" ht="12" customHeight="1">
      <c r="B26" s="749"/>
      <c r="C26" s="749"/>
      <c r="D26" s="749"/>
      <c r="E26" s="749"/>
      <c r="F26" s="749"/>
      <c r="G26" s="749"/>
      <c r="H26" s="749"/>
      <c r="J26" s="429" t="s">
        <v>384</v>
      </c>
      <c r="K26" s="335">
        <f t="shared" ref="K26:K31" si="2">$C$10</f>
        <v>2.2934388399999999</v>
      </c>
      <c r="L26" s="430">
        <f t="shared" ref="L26:L31" si="3">$F$10</f>
        <v>1.76588148</v>
      </c>
      <c r="M26" s="427"/>
      <c r="N26" s="427"/>
      <c r="O26" s="427"/>
      <c r="P26" s="427"/>
      <c r="Q26" s="427"/>
      <c r="R26" s="427"/>
    </row>
    <row r="27" spans="2:18" ht="12" customHeight="1">
      <c r="B27" s="749"/>
      <c r="C27" s="749"/>
      <c r="D27" s="749"/>
      <c r="E27" s="749"/>
      <c r="F27" s="749"/>
      <c r="G27" s="749"/>
      <c r="H27" s="749"/>
      <c r="J27" s="429" t="s">
        <v>29</v>
      </c>
      <c r="K27" s="335">
        <f t="shared" si="2"/>
        <v>2.2934388399999999</v>
      </c>
      <c r="L27" s="430">
        <f t="shared" si="3"/>
        <v>1.76588148</v>
      </c>
      <c r="M27" s="427"/>
      <c r="N27" s="427"/>
      <c r="O27" s="427"/>
      <c r="P27" s="427"/>
      <c r="Q27" s="427"/>
      <c r="R27" s="427"/>
    </row>
    <row r="28" spans="2:18" ht="12" customHeight="1">
      <c r="B28" s="749"/>
      <c r="C28" s="749"/>
      <c r="D28" s="749"/>
      <c r="E28" s="749"/>
      <c r="F28" s="749"/>
      <c r="G28" s="749"/>
      <c r="H28" s="749"/>
      <c r="J28" s="429" t="s">
        <v>30</v>
      </c>
      <c r="K28" s="335">
        <f t="shared" si="2"/>
        <v>2.2934388399999999</v>
      </c>
      <c r="L28" s="430">
        <f t="shared" si="3"/>
        <v>1.76588148</v>
      </c>
      <c r="M28" s="427"/>
      <c r="N28" s="427"/>
      <c r="O28" s="427"/>
      <c r="P28" s="427"/>
      <c r="Q28" s="427"/>
      <c r="R28" s="427"/>
    </row>
    <row r="29" spans="2:18" ht="12" customHeight="1">
      <c r="B29" s="749"/>
      <c r="C29" s="749"/>
      <c r="D29" s="749"/>
      <c r="E29" s="749"/>
      <c r="F29" s="749"/>
      <c r="G29" s="749"/>
      <c r="H29" s="749"/>
      <c r="J29" s="429" t="s">
        <v>31</v>
      </c>
      <c r="K29" s="335">
        <f t="shared" si="2"/>
        <v>2.2934388399999999</v>
      </c>
      <c r="L29" s="430">
        <f t="shared" si="3"/>
        <v>1.76588148</v>
      </c>
      <c r="M29" s="427"/>
      <c r="N29" s="427"/>
    </row>
    <row r="30" spans="2:18" ht="12" customHeight="1">
      <c r="B30" s="749"/>
      <c r="C30" s="749"/>
      <c r="D30" s="749"/>
      <c r="E30" s="749"/>
      <c r="F30" s="749"/>
      <c r="G30" s="749"/>
      <c r="H30" s="749"/>
      <c r="J30" s="429" t="s">
        <v>97</v>
      </c>
      <c r="K30" s="335">
        <f t="shared" si="2"/>
        <v>2.2934388399999999</v>
      </c>
      <c r="L30" s="430">
        <f t="shared" si="3"/>
        <v>1.76588148</v>
      </c>
      <c r="M30" s="427"/>
      <c r="N30" s="427"/>
    </row>
    <row r="31" spans="2:18" ht="12" customHeight="1">
      <c r="B31" s="749"/>
      <c r="C31" s="749"/>
      <c r="D31" s="749"/>
      <c r="E31" s="749"/>
      <c r="F31" s="749"/>
      <c r="G31" s="749"/>
      <c r="H31" s="749"/>
      <c r="J31" s="429" t="s">
        <v>64</v>
      </c>
      <c r="K31" s="335">
        <f t="shared" si="2"/>
        <v>2.2934388399999999</v>
      </c>
      <c r="L31" s="430">
        <f t="shared" si="3"/>
        <v>1.76588148</v>
      </c>
      <c r="M31" s="427"/>
      <c r="N31" s="427"/>
    </row>
    <row r="32" spans="2:18" ht="12" customHeight="1">
      <c r="B32" s="749"/>
      <c r="C32" s="749"/>
      <c r="D32" s="749"/>
      <c r="E32" s="749"/>
      <c r="F32" s="749"/>
      <c r="G32" s="749"/>
      <c r="H32" s="749"/>
      <c r="J32" s="427"/>
      <c r="K32" s="427"/>
      <c r="L32" s="427"/>
      <c r="M32" s="427"/>
      <c r="N32" s="427"/>
    </row>
    <row r="33" spans="2:14" ht="12" customHeight="1">
      <c r="B33" s="749"/>
      <c r="C33" s="749"/>
      <c r="D33" s="749"/>
      <c r="E33" s="749"/>
      <c r="F33" s="749"/>
      <c r="G33" s="749"/>
      <c r="H33" s="749"/>
      <c r="J33" s="427"/>
      <c r="K33" s="427"/>
      <c r="L33" s="427"/>
      <c r="M33" s="427"/>
      <c r="N33" s="427"/>
    </row>
    <row r="34" spans="2:14" ht="12" customHeight="1">
      <c r="B34" s="749"/>
      <c r="C34" s="749"/>
      <c r="D34" s="749"/>
      <c r="E34" s="749"/>
      <c r="F34" s="749"/>
      <c r="G34" s="749"/>
      <c r="H34" s="749"/>
      <c r="J34" s="427"/>
      <c r="K34" s="427"/>
      <c r="L34" s="427"/>
      <c r="M34" s="427"/>
      <c r="N34" s="427"/>
    </row>
    <row r="35" spans="2:14" ht="12" customHeight="1">
      <c r="B35" s="749"/>
      <c r="C35" s="749"/>
      <c r="D35" s="749"/>
      <c r="E35" s="749"/>
      <c r="F35" s="749"/>
      <c r="G35" s="749"/>
      <c r="H35" s="749"/>
      <c r="J35" s="427"/>
      <c r="K35" s="427"/>
      <c r="L35" s="427"/>
      <c r="M35" s="427"/>
      <c r="N35" s="427"/>
    </row>
    <row r="36" spans="2:14" ht="12" customHeight="1">
      <c r="B36" s="749"/>
      <c r="C36" s="749"/>
      <c r="D36" s="749"/>
      <c r="E36" s="749"/>
      <c r="F36" s="749"/>
      <c r="G36" s="749"/>
      <c r="H36" s="749"/>
      <c r="J36" s="427"/>
      <c r="K36" s="427"/>
      <c r="L36" s="427"/>
      <c r="M36" s="427"/>
      <c r="N36" s="427"/>
    </row>
    <row r="41" spans="2:14" ht="12" customHeight="1">
      <c r="B41" s="427"/>
      <c r="C41" s="427"/>
      <c r="D41" s="427"/>
    </row>
    <row r="51" spans="2:4" ht="12" customHeight="1">
      <c r="B51" s="427"/>
      <c r="C51" s="427"/>
      <c r="D51" s="427"/>
    </row>
    <row r="52" spans="2:4" ht="12" customHeight="1">
      <c r="B52" s="427"/>
      <c r="C52" s="427"/>
      <c r="D52" s="427"/>
    </row>
  </sheetData>
  <mergeCells count="8">
    <mergeCell ref="O13:Q13"/>
    <mergeCell ref="J13:L13"/>
    <mergeCell ref="F3:H3"/>
    <mergeCell ref="C3:E3"/>
    <mergeCell ref="J23:L23"/>
    <mergeCell ref="J3:M3"/>
    <mergeCell ref="O3:Q3"/>
    <mergeCell ref="B13:H36"/>
  </mergeCells>
  <pageMargins left="0.7" right="0.7" top="0.75" bottom="0.75" header="0.3" footer="0.3"/>
  <pageSetup orientation="portrait" r:id="rId1"/>
  <ignoredErrors>
    <ignoredError sqref="L15:L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Air-Conditioning, Heating, &amp; Refrigeration Institute (AHRI)</Received_x0020_From>
    <Docket_x0020_Number xmlns="8eef3743-c7b3-4cbe-8837-b6e805be353c">17-AAER-06</Docket_x0020_Number>
    <TaxCatchAll xmlns="8eef3743-c7b3-4cbe-8837-b6e805be353c">
      <Value>7</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5fee9918-69d5-40f5-9767-4e66d03898ce</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Z5JXHV6S7NA6-3-112965</_dlc_DocId>
    <_dlc_DocIdUrl xmlns="8eef3743-c7b3-4cbe-8837-b6e805be353c">
      <Url>http://efilingspinternal/_layouts/DocIdRedir.aspx?ID=Z5JXHV6S7NA6-3-112965</Url>
      <Description>Z5JXHV6S7NA6-3-112965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9429D0-3086-4035-8F83-3F459C667615}"/>
</file>

<file path=customXml/itemProps2.xml><?xml version="1.0" encoding="utf-8"?>
<ds:datastoreItem xmlns:ds="http://schemas.openxmlformats.org/officeDocument/2006/customXml" ds:itemID="{19535D2C-CD77-4437-9154-0FAA6F6D0C60}"/>
</file>

<file path=customXml/itemProps3.xml><?xml version="1.0" encoding="utf-8"?>
<ds:datastoreItem xmlns:ds="http://schemas.openxmlformats.org/officeDocument/2006/customXml" ds:itemID="{003BA02D-3CBB-4CA8-AFA1-FB01EE6B6B9F}"/>
</file>

<file path=customXml/itemProps4.xml><?xml version="1.0" encoding="utf-8"?>
<ds:datastoreItem xmlns:ds="http://schemas.openxmlformats.org/officeDocument/2006/customXml" ds:itemID="{FC47757C-B0F6-4EB9-9EE8-2CE9B40FEC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Introduction</vt:lpstr>
      <vt:lpstr>Summary by EC</vt:lpstr>
      <vt:lpstr>Summary by Family</vt:lpstr>
      <vt:lpstr>LCC results</vt:lpstr>
      <vt:lpstr>LCC Sample</vt:lpstr>
      <vt:lpstr>Example Calculation</vt:lpstr>
      <vt:lpstr>Sectors and Applications</vt:lpstr>
      <vt:lpstr>Lifetime</vt:lpstr>
      <vt:lpstr>Markups &amp; Distribution Channels</vt:lpstr>
      <vt:lpstr>Equipment Price</vt:lpstr>
      <vt:lpstr>Revised Equipment Price</vt:lpstr>
      <vt:lpstr>Electricity Prices &amp; Trends</vt:lpstr>
      <vt:lpstr>Discount Rate</vt:lpstr>
      <vt:lpstr>Default Losses </vt:lpstr>
      <vt:lpstr>_DuctedWt</vt:lpstr>
      <vt:lpstr>_UnDuctedWt</vt:lpstr>
      <vt:lpstr>Axial_Housed_Emb_weight</vt:lpstr>
      <vt:lpstr>Axial_Housed_Stdalone_weight</vt:lpstr>
      <vt:lpstr>Axial_housed_weight</vt:lpstr>
      <vt:lpstr>Axial_unhoused_weight</vt:lpstr>
      <vt:lpstr>Centrifugal_Housed_Emb_weight</vt:lpstr>
      <vt:lpstr>Centrifugal_Housed_Stdalone_weight</vt:lpstr>
      <vt:lpstr>Centrifugal_housed_weight</vt:lpstr>
      <vt:lpstr>Centrifugal_Unh_Emb_weight</vt:lpstr>
      <vt:lpstr>Centrifugal_Unh_Stdalone_weight</vt:lpstr>
      <vt:lpstr>Centrifugal_unhoused_weight</vt:lpstr>
      <vt:lpstr>Inline_Mixed_Stdalone_weight</vt:lpstr>
      <vt:lpstr>Inline_Mixed_weight</vt:lpstr>
      <vt:lpstr>MSP_A</vt:lpstr>
      <vt:lpstr>MSP_B</vt:lpstr>
      <vt:lpstr>MSP_MM</vt:lpstr>
      <vt:lpstr>Panel_Emb_weight</vt:lpstr>
      <vt:lpstr>Panel_Stdalone_weight</vt:lpstr>
      <vt:lpstr>PRV_Stdalone_weight</vt:lpstr>
      <vt:lpstr>PRV_weight</vt:lpstr>
      <vt:lpstr>Radial_Stdalone_weight</vt:lpstr>
      <vt:lpstr>Radial_weight</vt:lpstr>
      <vt:lpstr>'Example Calculation'!RandRow</vt:lpstr>
    </vt:vector>
  </TitlesOfParts>
  <Company>AMCA International, Inc.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AHRI MPC and MSP Calculation from Engineering and MIA Analysis</dc:title>
  <dc:creator>Wade Smith</dc:creator>
  <cp:lastModifiedBy>Paul, Patricia@Energy</cp:lastModifiedBy>
  <cp:lastPrinted>2016-04-22T18:21:43Z</cp:lastPrinted>
  <dcterms:created xsi:type="dcterms:W3CDTF">2014-09-19T17:55:16Z</dcterms:created>
  <dcterms:modified xsi:type="dcterms:W3CDTF">2017-09-18T20:19:18Z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6de6f17a-dde7-4bb3-8288-1b15ad19caf1</vt:lpwstr>
  </property>
  <property fmtid="{D5CDD505-2E9C-101B-9397-08002B2CF9AE}" pid="4" name="Subject_x0020_Areas">
    <vt:lpwstr/>
  </property>
  <property fmtid="{D5CDD505-2E9C-101B-9397-08002B2CF9AE}" pid="5" name="_CopySource">
    <vt:lpwstr>http://efilingspinternal/PendingDocuments/17-AAER-06/20170918T134624_AHRI_MPC_and_MSP_Calculation_from_Engineering_and_MIA_Analysis.xlsx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7;#Public|5fee9918-69d5-40f5-9767-4e66d03898ce</vt:lpwstr>
  </property>
  <property fmtid="{D5CDD505-2E9C-101B-9397-08002B2CF9AE}" pid="9" name="Order">
    <vt:r8>2441800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