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updateLinks="always" defaultThemeVersion="124226"/>
  <mc:AlternateContent xmlns:mc="http://schemas.openxmlformats.org/markup-compatibility/2006">
    <mc:Choice Requires="x15">
      <x15ac:absPath xmlns:x15ac="http://schemas.microsoft.com/office/spreadsheetml/2010/11/ac" url="https://sempra.sharepoint.com/teams/sacramento-ops/Shared Documents/Sacramento Regulatory Agency Issues/CEC/IEPR/2024/Supply Forms/Finals for Filing/"/>
    </mc:Choice>
  </mc:AlternateContent>
  <xr:revisionPtr revIDLastSave="0" documentId="8_{62007B13-EC28-4080-8FCE-A87F4D59F08F}" xr6:coauthVersionLast="47" xr6:coauthVersionMax="47" xr10:uidLastSave="{00000000-0000-0000-0000-000000000000}"/>
  <bookViews>
    <workbookView xWindow="-110" yWindow="-110" windowWidth="38620" windowHeight="21220" firstSheet="1" activeTab="1" xr2:uid="{00000000-000D-0000-FFFF-FFFF00000000}"/>
  </bookViews>
  <sheets>
    <sheet name="Change Log" sheetId="19" r:id="rId1"/>
    <sheet name="Project List" sheetId="2" r:id="rId2"/>
    <sheet name="Data Fields" sheetId="1" r:id="rId3"/>
    <sheet name="Options Lists" sheetId="18" r:id="rId4"/>
  </sheets>
  <definedNames>
    <definedName name="_xlnm._FilterDatabase" localSheetId="2"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170" i="2" l="1"/>
  <c r="BL70" i="2" l="1"/>
  <c r="CF200" i="2"/>
  <c r="BW200" i="2"/>
  <c r="BV200" i="2"/>
  <c r="BU200" i="2"/>
  <c r="BT200" i="2"/>
  <c r="BS200" i="2"/>
  <c r="BR200" i="2"/>
  <c r="BQ200" i="2"/>
  <c r="BP200" i="2"/>
  <c r="BO200" i="2"/>
  <c r="BN200" i="2"/>
  <c r="CF193" i="2"/>
  <c r="BW193" i="2"/>
  <c r="BV193" i="2"/>
  <c r="BU193" i="2"/>
  <c r="BT193" i="2"/>
  <c r="BS193" i="2"/>
  <c r="BR193" i="2"/>
  <c r="BQ193" i="2"/>
  <c r="BP193" i="2"/>
  <c r="BO193" i="2"/>
  <c r="BN193" i="2"/>
  <c r="CF190" i="2"/>
  <c r="BW190" i="2"/>
  <c r="BV190" i="2"/>
  <c r="BU190" i="2"/>
  <c r="BT190" i="2"/>
  <c r="BS190" i="2"/>
  <c r="BR190" i="2"/>
  <c r="BQ190" i="2"/>
  <c r="BP190" i="2"/>
  <c r="BO190" i="2"/>
  <c r="BN190" i="2"/>
  <c r="CF186" i="2"/>
  <c r="BW186" i="2"/>
  <c r="BV186" i="2"/>
  <c r="BU186" i="2"/>
  <c r="BT186" i="2"/>
  <c r="BS186" i="2"/>
  <c r="BR186" i="2"/>
  <c r="BQ186" i="2"/>
  <c r="BP186" i="2"/>
  <c r="BO186" i="2"/>
  <c r="BN186" i="2"/>
  <c r="CF184" i="2"/>
  <c r="BW184" i="2"/>
  <c r="BV184" i="2"/>
  <c r="BU184" i="2"/>
  <c r="BT184" i="2"/>
  <c r="BS184" i="2"/>
  <c r="BR184" i="2"/>
  <c r="BQ184" i="2"/>
  <c r="BP184" i="2"/>
  <c r="BO184" i="2"/>
  <c r="BN184" i="2"/>
  <c r="CF181" i="2"/>
  <c r="BW181" i="2"/>
  <c r="BV181" i="2"/>
  <c r="BU181" i="2"/>
  <c r="BT181" i="2"/>
  <c r="BS181" i="2"/>
  <c r="BR181" i="2"/>
  <c r="BQ181" i="2"/>
  <c r="BP181" i="2"/>
  <c r="BO181" i="2"/>
  <c r="BN181" i="2"/>
  <c r="BM200" i="2"/>
  <c r="BM193" i="2"/>
  <c r="BM190" i="2"/>
  <c r="BM186" i="2"/>
  <c r="BM184" i="2"/>
  <c r="BM181" i="2"/>
  <c r="CF174" i="2"/>
  <c r="BW174" i="2"/>
  <c r="BV174" i="2"/>
  <c r="BU174" i="2"/>
  <c r="BT174" i="2"/>
  <c r="BS174" i="2"/>
  <c r="BR174" i="2"/>
  <c r="BQ174" i="2"/>
  <c r="BP174" i="2"/>
  <c r="BO174" i="2"/>
  <c r="BN174" i="2"/>
  <c r="BM174" i="2"/>
  <c r="BL193" i="2"/>
  <c r="BL190" i="2"/>
  <c r="BL186" i="2"/>
  <c r="BL184" i="2"/>
  <c r="BL181" i="2"/>
  <c r="BL174" i="2"/>
  <c r="BL200" i="2"/>
  <c r="CF172" i="2"/>
  <c r="BW172" i="2"/>
  <c r="BV172" i="2"/>
  <c r="BU172" i="2"/>
  <c r="BT172" i="2"/>
  <c r="BS172" i="2"/>
  <c r="BR172" i="2"/>
  <c r="BQ172" i="2"/>
  <c r="BP172" i="2"/>
  <c r="BO172" i="2"/>
  <c r="BN172" i="2"/>
  <c r="BM172" i="2"/>
  <c r="BL172" i="2"/>
  <c r="CF170" i="2"/>
  <c r="BW170" i="2"/>
  <c r="BU170" i="2"/>
  <c r="BT170" i="2"/>
  <c r="BS170" i="2"/>
  <c r="BR170" i="2"/>
  <c r="BQ170" i="2"/>
  <c r="BP170" i="2"/>
  <c r="BO170" i="2"/>
  <c r="BN170" i="2"/>
  <c r="BM170" i="2"/>
  <c r="BL170" i="2"/>
  <c r="CF168" i="2"/>
  <c r="BW168" i="2"/>
  <c r="BV168" i="2"/>
  <c r="BU168" i="2"/>
  <c r="BT168" i="2"/>
  <c r="BS168" i="2"/>
  <c r="BR168" i="2"/>
  <c r="BQ168" i="2"/>
  <c r="BP168" i="2"/>
  <c r="BO168" i="2"/>
  <c r="BN168" i="2"/>
  <c r="BM168" i="2"/>
  <c r="BL168" i="2"/>
  <c r="CF157" i="2"/>
  <c r="BW157" i="2"/>
  <c r="BV157" i="2"/>
  <c r="BU157" i="2"/>
  <c r="BT157" i="2"/>
  <c r="BS157" i="2"/>
  <c r="BR157" i="2"/>
  <c r="BQ157" i="2"/>
  <c r="BP157" i="2"/>
  <c r="BO157" i="2"/>
  <c r="BN157" i="2"/>
  <c r="BM157" i="2"/>
  <c r="BL157" i="2"/>
  <c r="CF126" i="2"/>
  <c r="BW126" i="2"/>
  <c r="BV126" i="2"/>
  <c r="BU126" i="2"/>
  <c r="BT126" i="2"/>
  <c r="BS126" i="2"/>
  <c r="BR126" i="2"/>
  <c r="BQ126" i="2"/>
  <c r="BP126" i="2"/>
  <c r="BO126" i="2"/>
  <c r="CF113" i="2"/>
  <c r="BW113" i="2"/>
  <c r="BV113" i="2"/>
  <c r="BU113" i="2"/>
  <c r="BT113" i="2"/>
  <c r="BS113" i="2"/>
  <c r="BR113" i="2"/>
  <c r="BQ113" i="2"/>
  <c r="BP113" i="2"/>
  <c r="BO113" i="2"/>
  <c r="BN126" i="2"/>
  <c r="BN113" i="2"/>
  <c r="BM126" i="2"/>
  <c r="BM113" i="2"/>
  <c r="BL126" i="2"/>
  <c r="BL113" i="2"/>
  <c r="CF105" i="2"/>
  <c r="BW105" i="2"/>
  <c r="BV105" i="2"/>
  <c r="BU105" i="2"/>
  <c r="BT105" i="2"/>
  <c r="BS105" i="2"/>
  <c r="BR105" i="2"/>
  <c r="BQ105" i="2"/>
  <c r="BP105" i="2"/>
  <c r="BO105" i="2"/>
  <c r="BN105" i="2"/>
  <c r="BM105" i="2"/>
  <c r="BL105" i="2"/>
  <c r="CF98" i="2"/>
  <c r="BW98" i="2"/>
  <c r="BV98" i="2"/>
  <c r="BU98" i="2"/>
  <c r="BT98" i="2"/>
  <c r="BS98" i="2"/>
  <c r="BR98" i="2"/>
  <c r="BQ98" i="2"/>
  <c r="BP98" i="2"/>
  <c r="BO98" i="2"/>
  <c r="BN98" i="2"/>
  <c r="BM98" i="2"/>
  <c r="BL98" i="2"/>
  <c r="CF86" i="2"/>
  <c r="BW86" i="2"/>
  <c r="BV86" i="2"/>
  <c r="BU86" i="2"/>
  <c r="BT86" i="2"/>
  <c r="BS86" i="2"/>
  <c r="BR86" i="2"/>
  <c r="BQ86" i="2"/>
  <c r="BP86" i="2"/>
  <c r="BO86" i="2"/>
  <c r="BN86" i="2"/>
  <c r="BM86" i="2"/>
  <c r="BL86" i="2"/>
  <c r="CF70" i="2"/>
  <c r="BW70" i="2"/>
  <c r="BV70" i="2"/>
  <c r="BU70" i="2"/>
  <c r="BT70" i="2"/>
  <c r="BS70" i="2"/>
  <c r="BR70" i="2"/>
  <c r="BQ70" i="2"/>
  <c r="BP70" i="2"/>
  <c r="BO70" i="2"/>
  <c r="BN70" i="2"/>
  <c r="BM70" i="2"/>
  <c r="CF66" i="2"/>
  <c r="BW66" i="2"/>
  <c r="BV66" i="2"/>
  <c r="BU66" i="2"/>
  <c r="BT66" i="2"/>
  <c r="BS66" i="2"/>
  <c r="BR66" i="2"/>
  <c r="BQ66" i="2"/>
  <c r="BP66" i="2"/>
  <c r="BO66" i="2"/>
  <c r="BN66" i="2"/>
  <c r="BM66" i="2"/>
  <c r="BL66" i="2"/>
  <c r="CF62" i="2"/>
  <c r="BW62" i="2"/>
  <c r="BV62" i="2"/>
  <c r="BU62" i="2"/>
  <c r="BT62" i="2"/>
  <c r="BS62" i="2"/>
  <c r="BR62" i="2"/>
  <c r="BQ62" i="2"/>
  <c r="BP62" i="2"/>
  <c r="BO62" i="2"/>
  <c r="BN62" i="2"/>
  <c r="BM62" i="2"/>
  <c r="BL62" i="2"/>
  <c r="CF130" i="2"/>
  <c r="BW130" i="2"/>
  <c r="BV130" i="2"/>
  <c r="BU130" i="2"/>
  <c r="BT130" i="2"/>
  <c r="BS130" i="2"/>
  <c r="BR130" i="2"/>
  <c r="BQ130" i="2"/>
  <c r="BP130" i="2"/>
  <c r="BO130" i="2"/>
  <c r="BN130" i="2"/>
  <c r="BM130" i="2"/>
  <c r="BL130" i="2"/>
  <c r="CF60" i="2"/>
  <c r="BW60" i="2"/>
  <c r="BV60" i="2"/>
  <c r="BU60" i="2"/>
  <c r="BT60" i="2"/>
  <c r="BS60" i="2"/>
  <c r="BR60" i="2"/>
  <c r="BQ60" i="2"/>
  <c r="BP60" i="2"/>
  <c r="BO60" i="2"/>
  <c r="BN60" i="2"/>
  <c r="BM60" i="2"/>
  <c r="BL60" i="2"/>
  <c r="CF55" i="2"/>
  <c r="BW55" i="2"/>
  <c r="BV55" i="2"/>
  <c r="BU55" i="2"/>
  <c r="BT55" i="2"/>
  <c r="BS55" i="2"/>
  <c r="BR55" i="2"/>
  <c r="BQ55" i="2"/>
  <c r="BP55" i="2"/>
  <c r="BO55" i="2"/>
  <c r="BN55" i="2"/>
  <c r="BM55" i="2"/>
  <c r="BL55" i="2"/>
  <c r="BW51" i="2"/>
  <c r="BV51" i="2"/>
  <c r="BU51" i="2"/>
  <c r="BT51" i="2"/>
  <c r="BS51" i="2"/>
  <c r="BR51" i="2"/>
  <c r="BQ51" i="2"/>
  <c r="BP51" i="2"/>
  <c r="BO51" i="2"/>
  <c r="BN51" i="2"/>
  <c r="BM51" i="2"/>
  <c r="BL51" i="2"/>
  <c r="CF51" i="2"/>
  <c r="CF45" i="2"/>
  <c r="BW45" i="2"/>
  <c r="BV45" i="2"/>
  <c r="BU45" i="2"/>
  <c r="BT45" i="2"/>
  <c r="BS45" i="2"/>
  <c r="BR45" i="2"/>
  <c r="BQ45" i="2"/>
  <c r="BP45" i="2"/>
  <c r="BO45" i="2"/>
  <c r="BN45" i="2"/>
  <c r="BM45" i="2"/>
  <c r="BL45" i="2"/>
  <c r="CF18" i="2"/>
  <c r="CF16" i="2"/>
  <c r="CF13" i="2"/>
  <c r="CF4" i="2"/>
  <c r="CF35" i="2"/>
  <c r="BW35" i="2"/>
  <c r="BW18" i="2"/>
  <c r="BW16" i="2"/>
  <c r="BW13" i="2"/>
  <c r="BM4" i="2" l="1"/>
  <c r="BL4" i="2"/>
  <c r="CC35" i="2"/>
  <c r="CB35" i="2"/>
  <c r="CA35" i="2"/>
  <c r="CE18" i="2"/>
  <c r="CD18" i="2"/>
  <c r="CC18" i="2"/>
  <c r="CB18" i="2"/>
  <c r="CA18" i="2"/>
  <c r="CB13" i="2"/>
  <c r="CA13" i="2"/>
  <c r="CE4" i="2" l="1"/>
  <c r="CD4" i="2"/>
  <c r="CB4" i="2"/>
  <c r="CA4" i="2"/>
  <c r="CC4" i="2" l="1"/>
  <c r="BV35" i="2" l="1"/>
  <c r="BU35" i="2"/>
  <c r="BT35" i="2"/>
  <c r="BS35" i="2"/>
  <c r="BR35" i="2"/>
  <c r="BQ35" i="2"/>
  <c r="BP35" i="2"/>
  <c r="BO35" i="2"/>
  <c r="BN35" i="2"/>
  <c r="BM35" i="2"/>
  <c r="BL35" i="2"/>
  <c r="BV18" i="2"/>
  <c r="BU18" i="2"/>
  <c r="BT18" i="2"/>
  <c r="BS18" i="2"/>
  <c r="BR18" i="2"/>
  <c r="BQ18" i="2"/>
  <c r="BP18" i="2"/>
  <c r="BO18" i="2"/>
  <c r="BN18" i="2"/>
  <c r="BM18" i="2"/>
  <c r="BL18" i="2"/>
  <c r="BV16" i="2"/>
  <c r="BU16" i="2"/>
  <c r="BT16" i="2"/>
  <c r="BS16" i="2"/>
  <c r="BR16" i="2"/>
  <c r="BQ16" i="2"/>
  <c r="BP16" i="2"/>
  <c r="BO16" i="2"/>
  <c r="BN16" i="2"/>
  <c r="BM16" i="2"/>
  <c r="BL16" i="2"/>
  <c r="BV13" i="2"/>
  <c r="BU13" i="2"/>
  <c r="BT13" i="2"/>
  <c r="BS13" i="2"/>
  <c r="BR13" i="2"/>
  <c r="BQ13" i="2"/>
  <c r="BP13" i="2"/>
  <c r="BO13" i="2"/>
  <c r="BN13" i="2"/>
  <c r="BM13" i="2"/>
  <c r="BL13" i="2"/>
  <c r="BW4" i="2"/>
  <c r="BV4" i="2"/>
  <c r="BU4" i="2"/>
  <c r="BT4" i="2"/>
  <c r="BS4" i="2"/>
  <c r="BR4" i="2"/>
  <c r="BQ4" i="2"/>
  <c r="BP4" i="2"/>
  <c r="BO4" i="2"/>
  <c r="BN4" i="2"/>
</calcChain>
</file>

<file path=xl/sharedStrings.xml><?xml version="1.0" encoding="utf-8"?>
<sst xmlns="http://schemas.openxmlformats.org/spreadsheetml/2006/main" count="17735" uniqueCount="2226">
  <si>
    <t>Change Number</t>
  </si>
  <si>
    <t>Type</t>
  </si>
  <si>
    <t>Description</t>
  </si>
  <si>
    <t>Date Modified</t>
  </si>
  <si>
    <t>Data Request 01-58</t>
  </si>
  <si>
    <r>
      <t xml:space="preserve">Fields </t>
    </r>
    <r>
      <rPr>
        <b/>
        <sz val="10"/>
        <color rgb="FF000000"/>
        <rFont val="Times New Roman"/>
        <family val="1"/>
      </rPr>
      <t>56, 57, 58, 59, 63</t>
    </r>
    <r>
      <rPr>
        <sz val="10"/>
        <color rgb="FF000000"/>
        <rFont val="Times New Roman"/>
        <family val="1"/>
      </rPr>
      <t xml:space="preserve">: Added a summation formula to each blanket budget's budget code level row that aggregates the spend for individual project work orders under $1 milion.
-Row | Line No. </t>
    </r>
    <r>
      <rPr>
        <b/>
        <sz val="10"/>
        <color rgb="FF000000"/>
        <rFont val="Times New Roman"/>
        <family val="1"/>
      </rPr>
      <t>2, 11, 14, 16, 33, 43, 49, 53, 58, 60, 64, 68, 84, 96, 103, 111, 124, 128, 155, 166, 168, 170, 172, 179, 182, 184, 188, 191, 198
All impacted cells are highlighted in green.</t>
    </r>
    <r>
      <rPr>
        <sz val="10"/>
        <color rgb="FF000000"/>
        <rFont val="Times New Roman"/>
        <family val="1"/>
      </rPr>
      <t xml:space="preserve">
</t>
    </r>
  </si>
  <si>
    <t>Correction / Data Request 01-23</t>
  </si>
  <si>
    <r>
      <t xml:space="preserve">Field </t>
    </r>
    <r>
      <rPr>
        <b/>
        <sz val="10"/>
        <color rgb="FF000000"/>
        <rFont val="Times New Roman"/>
        <family val="1"/>
      </rPr>
      <t>63</t>
    </r>
    <r>
      <rPr>
        <sz val="10"/>
        <color rgb="FF000000"/>
        <rFont val="Times New Roman"/>
        <family val="1"/>
      </rPr>
      <t xml:space="preserve">: Corrections to ratebase additions for years 2023 (recorded) and 2024 (projected).
-Row | Line No. </t>
    </r>
    <r>
      <rPr>
        <b/>
        <sz val="10"/>
        <color rgb="FF000000"/>
        <rFont val="Times New Roman"/>
        <family val="1"/>
      </rPr>
      <t>306</t>
    </r>
  </si>
  <si>
    <t>Correction / Data Request 01-30</t>
  </si>
  <si>
    <r>
      <t xml:space="preserve">Field </t>
    </r>
    <r>
      <rPr>
        <b/>
        <sz val="10"/>
        <color rgb="FF000000"/>
        <rFont val="Times New Roman"/>
        <family val="1"/>
      </rPr>
      <t>47</t>
    </r>
    <r>
      <rPr>
        <sz val="10"/>
        <color rgb="FF000000"/>
        <rFont val="Times New Roman"/>
        <family val="1"/>
      </rPr>
      <t xml:space="preserve">: Updated Project Status field from "Operational" to "Engineering more than 50% complete".
-Row | Line No. </t>
    </r>
    <r>
      <rPr>
        <b/>
        <sz val="10"/>
        <color rgb="FF000000"/>
        <rFont val="Times New Roman"/>
        <family val="1"/>
      </rPr>
      <t>199</t>
    </r>
  </si>
  <si>
    <t>Correction / Data Request 01-36</t>
  </si>
  <si>
    <r>
      <t xml:space="preserve">Field </t>
    </r>
    <r>
      <rPr>
        <b/>
        <sz val="10"/>
        <color rgb="FF000000"/>
        <rFont val="Times New Roman"/>
        <family val="1"/>
      </rPr>
      <t>63</t>
    </r>
    <r>
      <rPr>
        <sz val="10"/>
        <color rgb="FF000000"/>
        <rFont val="Times New Roman"/>
        <family val="1"/>
      </rPr>
      <t xml:space="preserve">: Correction to ratebase additions for year 2024 (projected).
-Row | Line No. </t>
    </r>
    <r>
      <rPr>
        <b/>
        <sz val="10"/>
        <color rgb="FF000000"/>
        <rFont val="Times New Roman"/>
        <family val="1"/>
      </rPr>
      <t>131</t>
    </r>
  </si>
  <si>
    <t>Correction / Data Request 01-46</t>
  </si>
  <si>
    <r>
      <t xml:space="preserve">Field </t>
    </r>
    <r>
      <rPr>
        <b/>
        <sz val="10"/>
        <color rgb="FF000000"/>
        <rFont val="Times New Roman"/>
        <family val="1"/>
      </rPr>
      <t>63</t>
    </r>
    <r>
      <rPr>
        <sz val="10"/>
        <color rgb="FF000000"/>
        <rFont val="Times New Roman"/>
        <family val="1"/>
      </rPr>
      <t xml:space="preserve">: Correction to ratebase additions for years 2020-2022.
-Row | Line No. </t>
    </r>
    <r>
      <rPr>
        <b/>
        <sz val="10"/>
        <color rgb="FF000000"/>
        <rFont val="Times New Roman"/>
        <family val="1"/>
      </rPr>
      <t>309</t>
    </r>
  </si>
  <si>
    <t>Correction / Data Request 01-47</t>
  </si>
  <si>
    <r>
      <t xml:space="preserve">Field </t>
    </r>
    <r>
      <rPr>
        <b/>
        <sz val="10"/>
        <color rgb="FF000000"/>
        <rFont val="Times New Roman"/>
        <family val="1"/>
      </rPr>
      <t>63</t>
    </r>
    <r>
      <rPr>
        <sz val="10"/>
        <color rgb="FF000000"/>
        <rFont val="Times New Roman"/>
        <family val="1"/>
      </rPr>
      <t xml:space="preserve">: Correction to ratebase additions for years 2021-2023.
-Row | Line No. </t>
    </r>
    <r>
      <rPr>
        <b/>
        <sz val="10"/>
        <color rgb="FF000000"/>
        <rFont val="Times New Roman"/>
        <family val="1"/>
      </rPr>
      <t>307</t>
    </r>
  </si>
  <si>
    <t>Correction / Data Request 01-48</t>
  </si>
  <si>
    <r>
      <t xml:space="preserve">Field </t>
    </r>
    <r>
      <rPr>
        <b/>
        <sz val="10"/>
        <color rgb="FF000000"/>
        <rFont val="Times New Roman"/>
        <family val="1"/>
      </rPr>
      <t>63</t>
    </r>
    <r>
      <rPr>
        <sz val="10"/>
        <color rgb="FF000000"/>
        <rFont val="Times New Roman"/>
        <family val="1"/>
      </rPr>
      <t xml:space="preserve">: Correction to ratebase additions for years 2022- 2023.
-Row | Line No. </t>
    </r>
    <r>
      <rPr>
        <b/>
        <sz val="10"/>
        <color rgb="FF000000"/>
        <rFont val="Times New Roman"/>
        <family val="1"/>
      </rPr>
      <t>308</t>
    </r>
  </si>
  <si>
    <t>Correction / Data Request 01-52</t>
  </si>
  <si>
    <r>
      <t xml:space="preserve">Field </t>
    </r>
    <r>
      <rPr>
        <b/>
        <sz val="10"/>
        <color rgb="FF000000"/>
        <rFont val="Times New Roman"/>
        <family val="1"/>
      </rPr>
      <t>58</t>
    </r>
    <r>
      <rPr>
        <sz val="10"/>
        <color rgb="FF000000"/>
        <rFont val="Times New Roman"/>
        <family val="1"/>
      </rPr>
      <t xml:space="preserve">: Correction to projected capital expenditures for years 2026-2028.
-Row | Line No. </t>
    </r>
    <r>
      <rPr>
        <b/>
        <sz val="10"/>
        <color rgb="FF000000"/>
        <rFont val="Times New Roman"/>
        <family val="1"/>
      </rPr>
      <t>54</t>
    </r>
  </si>
  <si>
    <t>Correction</t>
  </si>
  <si>
    <r>
      <t xml:space="preserve">Field </t>
    </r>
    <r>
      <rPr>
        <b/>
        <sz val="10"/>
        <color rgb="FF000000"/>
        <rFont val="Times New Roman"/>
        <family val="1"/>
      </rPr>
      <t>63</t>
    </r>
    <r>
      <rPr>
        <sz val="10"/>
        <color rgb="FF000000"/>
        <rFont val="Times New Roman"/>
        <family val="1"/>
      </rPr>
      <t xml:space="preserve">: Correction to projected ratebase additions for year 2024.
-Row | Line No. </t>
    </r>
    <r>
      <rPr>
        <b/>
        <sz val="10"/>
        <color rgb="FF000000"/>
        <rFont val="Times New Roman"/>
        <family val="1"/>
      </rPr>
      <t>85</t>
    </r>
  </si>
  <si>
    <r>
      <t xml:space="preserve">Field </t>
    </r>
    <r>
      <rPr>
        <b/>
        <sz val="10"/>
        <color rgb="FF000000"/>
        <rFont val="Times New Roman"/>
        <family val="1"/>
      </rPr>
      <t>62</t>
    </r>
    <r>
      <rPr>
        <sz val="10"/>
        <color rgb="FF000000"/>
        <rFont val="Times New Roman"/>
        <family val="1"/>
      </rPr>
      <t xml:space="preserve">: Updated to 'NA'
-Row | Line No. </t>
    </r>
    <r>
      <rPr>
        <b/>
        <sz val="10"/>
        <color rgb="FF000000"/>
        <rFont val="Times New Roman"/>
        <family val="1"/>
      </rPr>
      <t>85</t>
    </r>
  </si>
  <si>
    <r>
      <t xml:space="preserve">Field </t>
    </r>
    <r>
      <rPr>
        <b/>
        <sz val="10"/>
        <color rgb="FF000000"/>
        <rFont val="Times New Roman"/>
        <family val="1"/>
      </rPr>
      <t>53</t>
    </r>
    <r>
      <rPr>
        <sz val="10"/>
        <color rgb="FF000000"/>
        <rFont val="Times New Roman"/>
        <family val="1"/>
      </rPr>
      <t xml:space="preserve">: Updated to 'FALSE'
-Row | Line No. </t>
    </r>
    <r>
      <rPr>
        <b/>
        <sz val="10"/>
        <color rgb="FF000000"/>
        <rFont val="Times New Roman"/>
        <family val="1"/>
      </rPr>
      <t>85</t>
    </r>
  </si>
  <si>
    <r>
      <t xml:space="preserve">Field </t>
    </r>
    <r>
      <rPr>
        <b/>
        <sz val="10"/>
        <color rgb="FF000000"/>
        <rFont val="Times New Roman"/>
        <family val="1"/>
      </rPr>
      <t>13</t>
    </r>
    <r>
      <rPr>
        <sz val="10"/>
        <color rgb="FF000000"/>
        <rFont val="Times New Roman"/>
        <family val="1"/>
      </rPr>
      <t xml:space="preserve">: Updated Age of Asset
-Row | Line </t>
    </r>
    <r>
      <rPr>
        <b/>
        <sz val="10"/>
        <color rgb="FF000000"/>
        <rFont val="Times New Roman"/>
        <family val="1"/>
      </rPr>
      <t>129</t>
    </r>
  </si>
  <si>
    <t>3a</t>
  </si>
  <si>
    <t>3b</t>
  </si>
  <si>
    <t>15a</t>
  </si>
  <si>
    <t>15b</t>
  </si>
  <si>
    <t>40a</t>
  </si>
  <si>
    <t>40b</t>
  </si>
  <si>
    <t>41a</t>
  </si>
  <si>
    <t>41b</t>
  </si>
  <si>
    <t>42a</t>
  </si>
  <si>
    <t>42b</t>
  </si>
  <si>
    <t>Row |Line No.</t>
  </si>
  <si>
    <t xml:space="preserve"> Project Name </t>
  </si>
  <si>
    <t xml:space="preserve"> Latitude </t>
  </si>
  <si>
    <t xml:space="preserve"> Longitude </t>
  </si>
  <si>
    <t xml:space="preserve"> Location 2 </t>
  </si>
  <si>
    <t xml:space="preserve"> Project Description </t>
  </si>
  <si>
    <t xml:space="preserve"> Project Description - What </t>
  </si>
  <si>
    <t xml:space="preserve"> Project Description - Action Taken </t>
  </si>
  <si>
    <t xml:space="preserve"> Project Description - Action Taken (2) </t>
  </si>
  <si>
    <t xml:space="preserve"> Project Dependencies </t>
  </si>
  <si>
    <t xml:space="preserve"> Primary Purpose </t>
  </si>
  <si>
    <t xml:space="preserve"> Secondary Purpose </t>
  </si>
  <si>
    <t xml:space="preserve"> NERC / WECC / CAISO </t>
  </si>
  <si>
    <t xml:space="preserve"> NERC/WECC/CAISO Standard/Requirement/Contingency (2) </t>
  </si>
  <si>
    <t xml:space="preserve"> Last Inspection </t>
  </si>
  <si>
    <t xml:space="preserve"> Age of Asset </t>
  </si>
  <si>
    <t xml:space="preserve"> Types of Analyses </t>
  </si>
  <si>
    <t xml:space="preserve"> Alternative Solutions and Costs - Solutions </t>
  </si>
  <si>
    <t xml:space="preserve"> Alternative Solutions and Costs - Costs </t>
  </si>
  <si>
    <t xml:space="preserve"> CPUC Fire Threat </t>
  </si>
  <si>
    <t xml:space="preserve"> Wildfire Related </t>
  </si>
  <si>
    <t xml:space="preserve"> RAMP </t>
  </si>
  <si>
    <t xml:space="preserve"> Other Environmental Factors </t>
  </si>
  <si>
    <t xml:space="preserve"> Project Manager2 </t>
  </si>
  <si>
    <t xml:space="preserve"> Transmission Project Size </t>
  </si>
  <si>
    <t xml:space="preserve"> Substation Project </t>
  </si>
  <si>
    <t xml:space="preserve"> Transmission Voltage </t>
  </si>
  <si>
    <t xml:space="preserve"> Substation or Transformer Capacity (MVA and/or kV) </t>
  </si>
  <si>
    <t xml:space="preserve"> Utility Prioritization Ranking </t>
  </si>
  <si>
    <t xml:space="preserve"> Work Order (Utility Unique ID #1)</t>
  </si>
  <si>
    <t xml:space="preserve"> Project ID (Utility Unique ID #2) </t>
  </si>
  <si>
    <t xml:space="preserve"> Budget Code (Utility Unique ID #3) </t>
  </si>
  <si>
    <t xml:space="preserve"> Changes in Unique IDs </t>
  </si>
  <si>
    <t xml:space="preserve"> Utility Approval </t>
  </si>
  <si>
    <t xml:space="preserve"> Year of Internal Utility </t>
  </si>
  <si>
    <t xml:space="preserve"> Process(es) for Utility Approval </t>
  </si>
  <si>
    <t xml:space="preserve"> Long term Transmission Investment Plan Inclusion </t>
  </si>
  <si>
    <t xml:space="preserve"> CAISO Year </t>
  </si>
  <si>
    <t xml:space="preserve"> Transmission Planning Process ("TPP") Phase 3 </t>
  </si>
  <si>
    <t xml:space="preserve"> Year(s) when considered in CAISO TPP </t>
  </si>
  <si>
    <t xml:space="preserve"> Year when expected to be considered in CAISO TPP </t>
  </si>
  <si>
    <t xml:space="preserve"> Link to TPP where project </t>
  </si>
  <si>
    <t xml:space="preserve"> Generator Interconnection and Deliverability Allocation Procedures (GIDAP) Related </t>
  </si>
  <si>
    <t xml:space="preserve"> CEQA Status </t>
  </si>
  <si>
    <t xml:space="preserve"> CEQA Status - Date </t>
  </si>
  <si>
    <t xml:space="preserve"> CEQA Document Type </t>
  </si>
  <si>
    <t xml:space="preserve"> NEPA Document Type </t>
  </si>
  <si>
    <t xml:space="preserve"> CEQA Lead Agency </t>
  </si>
  <si>
    <t xml:space="preserve"> NEPA Lead Agency </t>
  </si>
  <si>
    <t xml:space="preserve"> CPUC Filing Type </t>
  </si>
  <si>
    <t xml:space="preserve"> CPUC Date Filed </t>
  </si>
  <si>
    <t xml:space="preserve"> CPUC Status </t>
  </si>
  <si>
    <t xml:space="preserve"> CPUC Status: Year </t>
  </si>
  <si>
    <t xml:space="preserve"> Project Status </t>
  </si>
  <si>
    <t xml:space="preserve"> AACE Class </t>
  </si>
  <si>
    <t xml:space="preserve"> Construction Start Date </t>
  </si>
  <si>
    <t>Original Planned In-Service Date</t>
  </si>
  <si>
    <t>Current Projected or Actual In-Service Date</t>
  </si>
  <si>
    <t>Reason for Change in In-Service Date</t>
  </si>
  <si>
    <t>Reason for Change in In-Service Date (2)</t>
  </si>
  <si>
    <t xml:space="preserve"> In-Flight Projects </t>
  </si>
  <si>
    <t xml:space="preserve"> Original Projected Cost or </t>
  </si>
  <si>
    <t xml:space="preserve"> Cost Cap ($000) </t>
  </si>
  <si>
    <t xml:space="preserve"> Current Projected Total or Actual Final Cost ($000) </t>
  </si>
  <si>
    <t xml:space="preserve"> 2019 Actual Capital Expenditures ($000) </t>
  </si>
  <si>
    <t xml:space="preserve"> 2020 Actual Capital Expenditures ($000) </t>
  </si>
  <si>
    <t xml:space="preserve"> 2021 Actual Capital Expenditures ($000) </t>
  </si>
  <si>
    <t xml:space="preserve"> 2022 Actual Capital Expenditures ($000) </t>
  </si>
  <si>
    <t xml:space="preserve"> 2023 Actual Capital Expenditures ($000) </t>
  </si>
  <si>
    <t xml:space="preserve"> 2024 Projected Capital Expenditures ($000) </t>
  </si>
  <si>
    <t xml:space="preserve"> 2025 Projected Capital Expenditures ($000) </t>
  </si>
  <si>
    <t xml:space="preserve"> 2026 Projected Capital Expenditures ($000) </t>
  </si>
  <si>
    <t xml:space="preserve"> 2027 Projected Capital Expenditures ($000) </t>
  </si>
  <si>
    <t xml:space="preserve"> 2028 Projected Capital Expenditures ($000) </t>
  </si>
  <si>
    <t xml:space="preserve"> Construction Work in Progress Expenditures </t>
  </si>
  <si>
    <t xml:space="preserve"> Accrued Overhead </t>
  </si>
  <si>
    <t xml:space="preserve"> Accrued AFUDC </t>
  </si>
  <si>
    <t xml:space="preserve"> FERC: Year(s) </t>
  </si>
  <si>
    <t xml:space="preserve"> 2020 Actual FERC Dollars Ratebased ($000) </t>
  </si>
  <si>
    <t xml:space="preserve"> 2021 Actual FERC Dollars Ratebased ($000) </t>
  </si>
  <si>
    <t xml:space="preserve"> 2022 Actual FERC Dollars Ratebased ($000) </t>
  </si>
  <si>
    <t xml:space="preserve"> 2023 Actual FERC Dollars Ratebased ($000) </t>
  </si>
  <si>
    <t xml:space="preserve"> Dollars Put into FERC Rate Base January - April 2024 ($000) </t>
  </si>
  <si>
    <t xml:space="preserve"> 2024 Projected FERC Dollars Ratebased ($000) </t>
  </si>
  <si>
    <t xml:space="preserve"> Percentage of Bid </t>
  </si>
  <si>
    <t xml:space="preserve"> Percentage of Work </t>
  </si>
  <si>
    <t xml:space="preserve"> Cost-Benefit Analysis </t>
  </si>
  <si>
    <t xml:space="preserve"> FERC Incentives </t>
  </si>
  <si>
    <t xml:space="preserve"> Percentage of Cost in </t>
  </si>
  <si>
    <t xml:space="preserve"> Percentage of Cost in Low </t>
  </si>
  <si>
    <t xml:space="preserve"> Notes </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</si>
  <si>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</si>
  <si>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</si>
  <si>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</si>
  <si>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</si>
  <si>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Replace</t>
  </si>
  <si>
    <t>Upgrade/Retrofit</t>
  </si>
  <si>
    <t>Reliability</t>
  </si>
  <si>
    <t>T-Line Reliability</t>
  </si>
  <si>
    <t xml:space="preserve">NA  </t>
  </si>
  <si>
    <t>NA* see notes</t>
  </si>
  <si>
    <t xml:space="preserve">FALSE | FALSE | FALSE </t>
  </si>
  <si>
    <t xml:space="preserve">NA </t>
  </si>
  <si>
    <t>69 |230</t>
  </si>
  <si>
    <t>Blanket</t>
  </si>
  <si>
    <t>Multiple</t>
  </si>
  <si>
    <t>No Utility Unique Identifiers have changed, however please note that the data for column 26 is now in column 28, and the data in column 28, is now in column 26, as of 2024-07-01</t>
  </si>
  <si>
    <t xml:space="preserve">Work Order Authorization </t>
  </si>
  <si>
    <t>Operational</t>
  </si>
  <si>
    <t>2020 | 2021 | 2023</t>
  </si>
  <si>
    <t xml:space="preserve">[Age of Asset] Unable to provide age of asset for blanket budget codes
</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</si>
  <si>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</si>
  <si>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</si>
  <si>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</si>
  <si>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</si>
  <si>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</si>
  <si>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Wires - Minimum Required Scope (spot repair) Alternative</t>
  </si>
  <si>
    <t>Multiple Options [See Notes]</t>
  </si>
  <si>
    <t>69 |500</t>
  </si>
  <si>
    <t>Planning</t>
  </si>
  <si>
    <t>2020 | 2021 | 2022 | 2023 | 2024</t>
  </si>
  <si>
    <t xml:space="preserve">[Types of Analyses] Responsive budget due to reactive work at substation; projects are under blanket budget; 
[Age of Asset] Unable to provide age of asset for blanket budget codes
[CPUC Status] NA
</t>
  </si>
  <si>
    <t>5629252 - A IID, SRP, APS-SDGE SHARE ON CAP</t>
  </si>
  <si>
    <t>Capital upgrades between Arizona Public Services, Salt River Project and IID</t>
  </si>
  <si>
    <t>Substation - Other Equipment</t>
  </si>
  <si>
    <t>Work Requested by Others</t>
  </si>
  <si>
    <t>Exempt</t>
  </si>
  <si>
    <t>2022 | 2023 | 2024</t>
  </si>
  <si>
    <t xml:space="preserve">
[Primary Purpose] WO is an annual WO to pay SDG&amp;E's share of APS, SRP, and/or IID upgrades.[Types of Analyses] Responsive budget due to reactive work at substation; projects are under blanket budget; 
[Age of Asset] Unable to provide age of asset for blanket budget codes
[CPUC Status] NA</t>
  </si>
  <si>
    <t>5981498 - A KYOCERA BK 30 REPLACEMENT</t>
  </si>
  <si>
    <t>San Diego</t>
  </si>
  <si>
    <t xml:space="preserve">Replace Bk30 at Kyocera Substation </t>
  </si>
  <si>
    <t>Substation - Transformer</t>
  </si>
  <si>
    <t>Steady State Power Flow System Analysis</t>
  </si>
  <si>
    <t>2019-1024</t>
  </si>
  <si>
    <t>Construction (50%-75%)</t>
  </si>
  <si>
    <t>2023-06-12</t>
  </si>
  <si>
    <t>2024-07-22</t>
  </si>
  <si>
    <t>2024</t>
  </si>
  <si>
    <t>[CPUC STATUS] NA</t>
  </si>
  <si>
    <t>5983189 - A IID, SRP, APS-SDGE SHARE ON CAP</t>
  </si>
  <si>
    <t>2020 | 2021 | 2022</t>
  </si>
  <si>
    <t>[Primary Purpose] WO is an annual WO to pay SDG&amp;E's share of APS, SRP, and/or IID upgrades.</t>
  </si>
  <si>
    <t>5984909 - A APS-SDGE PORTION APS 2016 2017</t>
  </si>
  <si>
    <t>Replace Other Substation Equipment</t>
  </si>
  <si>
    <t>2020</t>
  </si>
  <si>
    <t>5987485 - A MERCHANT RPL (2) 230KV BREAKERS</t>
  </si>
  <si>
    <t>Unincorporated Clark County, NV</t>
  </si>
  <si>
    <t xml:space="preserve">Replace (2) failed 230kV Breakers, install (2) 230kV breakers </t>
  </si>
  <si>
    <t>Substation - Circuit Breaker</t>
  </si>
  <si>
    <t xml:space="preserve">28;28 </t>
  </si>
  <si>
    <t>2020-1020</t>
  </si>
  <si>
    <t>2022-06-14</t>
  </si>
  <si>
    <t>2024-12-04</t>
  </si>
  <si>
    <t xml:space="preserve">
</t>
  </si>
  <si>
    <t>5987512 - A MIGUEL BK80 12KV TERTIARY BREAK</t>
  </si>
  <si>
    <t>Unincorporated San Diego County</t>
  </si>
  <si>
    <t>Replace (3) 12kv Tertiary breakers; install two SEL487 relay panels</t>
  </si>
  <si>
    <t>22; 22; 22</t>
  </si>
  <si>
    <t>230 | 69 | 12</t>
  </si>
  <si>
    <t>2019-1018</t>
  </si>
  <si>
    <t>2020-05-04</t>
  </si>
  <si>
    <t>2023-11-14</t>
  </si>
  <si>
    <t>2023 | 2024</t>
  </si>
  <si>
    <t>5987522 - X BAY BLVD BANK 70 REPLACEMENT</t>
  </si>
  <si>
    <t>Chula Vista, San Diego</t>
  </si>
  <si>
    <t xml:space="preserve">Remove and replace BK 70 AT Bay Boulevard </t>
  </si>
  <si>
    <t>2020-1008</t>
  </si>
  <si>
    <t>2020 | 2021 | 2022 | 2023</t>
  </si>
  <si>
    <t>5987524 - A BAY BLVD DRAINAGE IMPROVEMENTS</t>
  </si>
  <si>
    <t>Site improvements at Bay Blvd</t>
  </si>
  <si>
    <t>Construct Roads/Gates/Culverts</t>
  </si>
  <si>
    <t>2020 | 2021</t>
  </si>
  <si>
    <t xml:space="preserve">[Age of Asset] Site development project.  No Asset IDs </t>
  </si>
  <si>
    <t>Renewal of Electric Transmission Line Easements</t>
  </si>
  <si>
    <t xml:space="preserve">Placeholder. 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</si>
  <si>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</si>
  <si>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</si>
  <si>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</si>
  <si>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2020 | 2021 | 2024</t>
  </si>
  <si>
    <t xml:space="preserve">[Primary Purpose] Easement review
[Age of Asset] Unable to provide age of asset for blanket budget codes
[CPUC Status] NA
</t>
  </si>
  <si>
    <t>2301606 - A TL 682 LA JOLLA ET EASEMENT</t>
  </si>
  <si>
    <t xml:space="preserve">Renewal of TL 682 Transmission Easement </t>
  </si>
  <si>
    <t>Safety - Line Right of Way Access</t>
  </si>
  <si>
    <t>Permitting</t>
  </si>
  <si>
    <t xml:space="preserve">
[Primary Purpose] Easement review
[Age of Asset] Unable to provide age of asset for blanket budget codes
[CPUC Status] NA</t>
  </si>
  <si>
    <t>Electric Transmission Tools &amp; Equipment</t>
  </si>
  <si>
    <t>Purchase tools and test equipment to support the safe and reliable operations of substation and transmission equipment.</t>
  </si>
  <si>
    <t>[Age of Asset] Unable to provide age of asset for blanket budget codes
[Project Description - Action Taken] Easements are required to protect the placement, access to, and maintenance of SDG&amp;E facilities.</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</si>
  <si>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</si>
  <si>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</si>
  <si>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</si>
  <si>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</si>
  <si>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</si>
  <si>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</si>
  <si>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</si>
  <si>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[Age of Asset] Unable to provide age of asset for blanket budget codes; Budget supports new tools and equipment throughout the distribution system
[CPUC Status] NA
</t>
  </si>
  <si>
    <t>2595730 - A INTERIM CAPITAL TOOLS-C&amp;O</t>
  </si>
  <si>
    <t>Provides the necessary tools and equipment to economically and safely inspect, operate and maintain the electric distribution facilities. Failure to replace outdated, old or worn-out tools will result in decreased crew productivity, increase accident frequency and increase system failure.</t>
  </si>
  <si>
    <t>Tools, Transformer Addition/Replacement</t>
  </si>
  <si>
    <t>FALSE | FALSE | TRUE</t>
  </si>
  <si>
    <t>[Wildfire Related] is related to wildfire in some other way. Provides the necessary tools and equipment as needed. 
[Project Description - What] Other,  provides funding for new tools and equipment required by field personnel to inspect, operate and maintain the electric distribution system.
 [Age of Asset] Unable to provide age of asset for blanket budget codes; Budget supports new tools and equipment throughout the distribution system
[CPUC Status] 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</si>
  <si>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</si>
  <si>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</si>
  <si>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</si>
  <si>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5981499 - A MIGUEL FIRE PROTECTION SYS REPR</t>
  </si>
  <si>
    <t>Repair of Fire protection system at Miguel</t>
  </si>
  <si>
    <t>Other - Civil</t>
  </si>
  <si>
    <t>Fire Protection</t>
  </si>
  <si>
    <t>2021</t>
  </si>
  <si>
    <t>5981937 - A GLENCLIFF SUB ADD 69KV BREAKER</t>
  </si>
  <si>
    <t>San Diego County</t>
  </si>
  <si>
    <t>Install 69kv Bank Breaker and SCADA</t>
  </si>
  <si>
    <t>HFTD Tier 3</t>
  </si>
  <si>
    <t>2014-01091-ZZ</t>
  </si>
  <si>
    <t>2020-07-27</t>
  </si>
  <si>
    <t>2020-11-04</t>
  </si>
  <si>
    <t>2022</t>
  </si>
  <si>
    <t>5983049 - G MERCHANT REPLACE 3 230KV BRKR</t>
  </si>
  <si>
    <t>Nevada</t>
  </si>
  <si>
    <t>Replace (3) Oil circuit breakers due to leaking hydraulic fluid</t>
  </si>
  <si>
    <t>26;26; 26</t>
  </si>
  <si>
    <t>5983053 - A PENAQUITOS SUBST 230KV DISCON R</t>
  </si>
  <si>
    <t>San Diego, San Diego</t>
  </si>
  <si>
    <t>Replace (8) 230kv disconnect switches, (8) 230kv disconnect stands, and upgrade the associated concrete pads</t>
  </si>
  <si>
    <t>Substation - Switch</t>
  </si>
  <si>
    <t>2019-1022</t>
  </si>
  <si>
    <t>2020-04-13</t>
  </si>
  <si>
    <t>2021-07-27</t>
  </si>
  <si>
    <t>2021 | 2022</t>
  </si>
  <si>
    <t xml:space="preserve">
[Age of Asset] DISCONNECTS NO ASSET ID </t>
  </si>
  <si>
    <t>5983087 - A KEARNY 69/12KV SUBSTATION DEMO</t>
  </si>
  <si>
    <t>Remove all equipment associated with Kearny Substation</t>
  </si>
  <si>
    <t>Removal</t>
  </si>
  <si>
    <t>Age/End of Life</t>
  </si>
  <si>
    <t>Compliance - Remove Idle Facilities</t>
  </si>
  <si>
    <t>Wires - New Substation Alternative</t>
  </si>
  <si>
    <t>$0 Mil  – $1 Mil</t>
  </si>
  <si>
    <t>[Project Description - What] The description of this project is demolish the existing equipment  at the substation 
[Age of Asset]Demolition of substation structures (i.e. steel and foundations). No asset IDs.</t>
  </si>
  <si>
    <t>5983122 - A MIGUEL 500 BATTERY BANK 12KV SH</t>
  </si>
  <si>
    <t xml:space="preserve">Remove existing 500 station battery banks 1 &amp;2, install new EC-17M, 670AH Batteries with 150ADC chargers, remove existing 12kv reactor bank 1,2 &amp;3, install new reactor bank 1,2 &amp;3 </t>
  </si>
  <si>
    <t>Age/Condition - Replace Other Substation Equipment</t>
  </si>
  <si>
    <t>500KV</t>
  </si>
  <si>
    <t xml:space="preserve">
[Age of Asset] BATTERY BANK NO ASSET ID</t>
  </si>
  <si>
    <t>5983268 - A SCRIPPS SUBST RPL 69KV BUS DISC</t>
  </si>
  <si>
    <t>Replace 69KV bus disconnects for BK 30,31 &amp; 32, existing disconnects are breaking down and limited spare parts since these were manuf.; use (3) spare EVB ( 69kv,1200A) switches from Caspian for this work</t>
  </si>
  <si>
    <t>Substation - Bus Arrangement</t>
  </si>
  <si>
    <t>Age/Condition</t>
  </si>
  <si>
    <t>2020-1038</t>
  </si>
  <si>
    <t>2022-01-10</t>
  </si>
  <si>
    <t>2023-04-14</t>
  </si>
  <si>
    <t xml:space="preserve">
[Age of Asset] DISCONNECTS NO ASSEST ID </t>
  </si>
  <si>
    <t>5984479 - A MELROSE-VISTA ENERGY STORAGE</t>
  </si>
  <si>
    <t>Vista, San Diego</t>
  </si>
  <si>
    <t xml:space="preserve">This work order is for the preliminary engineering required to expand ME substation to create an interconnection for the Vista Energy Storage 69kV TL </t>
  </si>
  <si>
    <t>Substation - Structure</t>
  </si>
  <si>
    <t>Generator Interconnection</t>
  </si>
  <si>
    <t>Generation Interconnection</t>
  </si>
  <si>
    <t>2014-00582-ZZ</t>
  </si>
  <si>
    <t>2017-04-03</t>
  </si>
  <si>
    <t>2018-07-04</t>
  </si>
  <si>
    <t xml:space="preserve">
 [Age of Asset] TL position added.  No assets replaced.  </t>
  </si>
  <si>
    <t>5987309 - A MURRAY-RPL RELAY ON TL 618,619,</t>
  </si>
  <si>
    <t xml:space="preserve">Remove existing control shelter and panels (100,101,102,103,104,105,201,202,203,204,205,206, RTU &amp; CBM cabinets, AC/DC panels; install new control shelter and panels (100,101,102,103,104,108,109,200,201,202,203,204,207, new CBM &amp; Telecom cabinets, new AC/DC panels) </t>
  </si>
  <si>
    <t>2014-00215-ZZ</t>
  </si>
  <si>
    <t>2016-03-17</t>
  </si>
  <si>
    <t>2016-03-29</t>
  </si>
  <si>
    <t xml:space="preserve">
[Age of Asset] RELAY NO ASSET ID</t>
  </si>
  <si>
    <t>5987430 - A MIRAMAR SUBST-RPL 12KV BRKERS</t>
  </si>
  <si>
    <t xml:space="preserve">Replace (16) 12kv obsolete breakers and relays at Miramar Substation as part of FLSR PROJECT </t>
  </si>
  <si>
    <t>57;35;35;35</t>
  </si>
  <si>
    <t>69kV</t>
  </si>
  <si>
    <t>2014-01096-ZZ</t>
  </si>
  <si>
    <t>5987494 - A IMPERIAL VALLEY BANK 81 500KV B</t>
  </si>
  <si>
    <t>Imperial County</t>
  </si>
  <si>
    <t xml:space="preserve">Replace BK 81 and spare bank 500kv bushings at IV due to leaking from Transformer </t>
  </si>
  <si>
    <t>2019-1013</t>
  </si>
  <si>
    <t xml:space="preserve">
[Age of Asset] BUSHING NO ASSET ID </t>
  </si>
  <si>
    <t>5987495 - A MIGUEL BANK 81 500KV BUSHING RP</t>
  </si>
  <si>
    <t>Replacement of BK81 500kv bushings at Miguel due to leaking from transformer</t>
  </si>
  <si>
    <t>HFTD Tier 2</t>
  </si>
  <si>
    <t>2014-00442-ZZ</t>
  </si>
  <si>
    <t>2019-12-06</t>
  </si>
  <si>
    <t>2020-03-09</t>
  </si>
  <si>
    <t>5987525 - A IMPERIAL VALLEY MAST RPL</t>
  </si>
  <si>
    <t>Replacement of Static Mast structures at Imperial Valley</t>
  </si>
  <si>
    <t>2020-1025</t>
  </si>
  <si>
    <t>2023-05-22</t>
  </si>
  <si>
    <t>2024-01-17</t>
  </si>
  <si>
    <t xml:space="preserve">
[Age of Asset] Static Mast replacement.  No Asset IDs. </t>
  </si>
  <si>
    <t>5987526 - A MELROSE SUBST SITE DEV IMPROV</t>
  </si>
  <si>
    <t xml:space="preserve">Site improvements at Melrose </t>
  </si>
  <si>
    <t xml:space="preserve">[Primary Purpose] This is a site development project.
[Age of Asset] Site development project.  No Asset IDs </t>
  </si>
  <si>
    <t>5987539 - A PENASQUITOS AGING INFRS. 138K B</t>
  </si>
  <si>
    <t>Replace (5)138kV Breakers</t>
  </si>
  <si>
    <t>Age/Condition - Replace Breakers</t>
  </si>
  <si>
    <t>60; 57; 44; 44</t>
  </si>
  <si>
    <t>2021-2457</t>
  </si>
  <si>
    <t>On Hold</t>
  </si>
  <si>
    <t>2025-09-05</t>
  </si>
  <si>
    <t>2027-07-07</t>
  </si>
  <si>
    <t>5987542 - A SAN YSIDRO AGING INFRAS. 69KV B</t>
  </si>
  <si>
    <t>Replace (3) 69kV circuit breakers at San Ysidro</t>
  </si>
  <si>
    <t>51;51;31</t>
  </si>
  <si>
    <t>69 | 12</t>
  </si>
  <si>
    <t>2020-1030</t>
  </si>
  <si>
    <t>2021-08-02</t>
  </si>
  <si>
    <t>2023-03-14</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</si>
  <si>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</si>
  <si>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</si>
  <si>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</si>
  <si>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</si>
  <si>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69 | 500</t>
  </si>
  <si>
    <t>373MVA</t>
  </si>
  <si>
    <t>[Age of Asset] Unable to provide age of asset for blanket budget codes 
[Types of Analyses] Information security 
[CPUC Status] NA</t>
  </si>
  <si>
    <t>5231592 - A CEC RAS - SONGS</t>
  </si>
  <si>
    <t>SONGS substation CEC-RAS upgrades</t>
  </si>
  <si>
    <t>Substation - Protection Relay</t>
  </si>
  <si>
    <t>2022-2912</t>
  </si>
  <si>
    <t>2023-03-06</t>
  </si>
  <si>
    <t>2023-08-20</t>
  </si>
  <si>
    <t>[Age of Asset] Project completed, age of new asset installed, age of previous asset(s) unknown.
[Types of Analyses] Information security
[CPUC Status] NA</t>
  </si>
  <si>
    <t>5517095 - A TSA VSUBS 2022</t>
  </si>
  <si>
    <t>Transmission System Automation (TSA) upgrades at multiple substations</t>
  </si>
  <si>
    <t xml:space="preserve">[Age of Asset] Unable to provide age of asset for blanket budget codes 
[CPUC Status] NA
</t>
  </si>
  <si>
    <t>5983041 - A SYSTEM AUTOMATION-CROSSBOW</t>
  </si>
  <si>
    <t>Siemens Crossbow deployments at multiple substations</t>
  </si>
  <si>
    <t>69 | 138</t>
  </si>
  <si>
    <t>5983391 -  A SYSTEM AUTOMATION VARIOUS SUBS</t>
  </si>
  <si>
    <t>2022 | 2023</t>
  </si>
  <si>
    <t>5986263 - A ADVANCED RLY EVENT RETRVL-SUBS</t>
  </si>
  <si>
    <t>Advanced Relay Event Retrieval (ARER) deployments at multiple substations</t>
  </si>
  <si>
    <t>2022-2919</t>
  </si>
  <si>
    <t>2023-05-01</t>
  </si>
  <si>
    <t>2024-03-28</t>
  </si>
  <si>
    <t>5987338 - A MISSION SUBSTATION: PILOT TELEP</t>
  </si>
  <si>
    <t>Pilot Telephony deployment at Mission Substation</t>
  </si>
  <si>
    <t>5987463 - A BERNARDO SUBST. RPL TL689 RLY</t>
  </si>
  <si>
    <t>Upgrade 69kV relays and supporting equipment for TL689.</t>
  </si>
  <si>
    <t>2014-01115-ZZ</t>
  </si>
  <si>
    <t xml:space="preserve">[Age of Asset] Project completed, age of new asset installed, age of previous asset(s) unknown.
 [CPUC Status] NA
</t>
  </si>
  <si>
    <t>5987464 - A ESCONDIDO SUB RPL TL689 RLY RPL</t>
  </si>
  <si>
    <t>Escondido, San Diego</t>
  </si>
  <si>
    <t>Escondido substation Advanced Relay Event Retrieval (ARER) deployment.</t>
  </si>
  <si>
    <t>2019-1001</t>
  </si>
  <si>
    <t>2019-03-20</t>
  </si>
  <si>
    <t>2020-03-03</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</si>
  <si>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</si>
  <si>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</si>
  <si>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NERC TPL Standards</t>
  </si>
  <si>
    <t>28MVA</t>
  </si>
  <si>
    <t xml:space="preserve">[Age of Asset] Unable to provide age of asset for blanket budget codes
[CPUC Status] NA
</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</si>
  <si>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</si>
  <si>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</si>
  <si>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Exempted</t>
  </si>
  <si>
    <t>Categorical Exclusion</t>
  </si>
  <si>
    <t>[Age of Asset] Unable to provide age of asset for blanket budget codes. Program consists of multiple same scope projects per transmission line with separate environmental permits.
[CPUC Status] NA</t>
  </si>
  <si>
    <t>2208921 - A STA B-URB SUB COPPER SCADA RFS</t>
  </si>
  <si>
    <t>REMOVE OUT OF SERVICE COPPER REPLACED BY FIBER.</t>
  </si>
  <si>
    <t>FALSE |FALSE | FALSE</t>
  </si>
  <si>
    <t>2023-3405</t>
  </si>
  <si>
    <t>Construction (over 75%)</t>
  </si>
  <si>
    <t>[Project Description - What] Removal of abandoned assets as per GO128.
[Age of Asset] Unable to provide age of asset for blanket budget codes. Program consists of multiple same scope projects per transmission line with separate environmental permits.
[CPUC Status] NA</t>
  </si>
  <si>
    <t>2809450 - A TL674 OH/TL6973 UG DELMAR - ENC</t>
  </si>
  <si>
    <t>Encinitas, San Diego</t>
  </si>
  <si>
    <t>TL674/6973 EN-DM with OPGW attachments on TL23012/23053.</t>
  </si>
  <si>
    <t>2019-4010</t>
  </si>
  <si>
    <t xml:space="preserve">[Project Description - What] Fiber infrastructure build supports all transmission, distribution, substation, and IT equipment/systems for operations, metering, and real time monitoring.
</t>
  </si>
  <si>
    <t>2988521 - A TL23011 SAN LUIS REY - E R4</t>
  </si>
  <si>
    <t>Oceanside, Carlsbad</t>
  </si>
  <si>
    <t>Engineer and construct 9-miles of overhead OPGW-96 fiber optic cable structures between Encina 230kV and San Luis Rey substations.</t>
  </si>
  <si>
    <t>2014-00482-ZZ</t>
  </si>
  <si>
    <t>2019-08-26</t>
  </si>
  <si>
    <t>2019-12-28</t>
  </si>
  <si>
    <t xml:space="preserve">
[Project Description - What] Fiber infrastructure build supports all transmission, distribution, substation, and IT equipment/systems for operations, metering, and real time monitoring.</t>
  </si>
  <si>
    <t>2989076 - A TL13809 PROCTOR VLY TO T R2</t>
  </si>
  <si>
    <t>Engineer and construct 3.2 miles of overhead OPGW-96 fiber optic cable from Proctor Valley to Telegraph Canyon substations.</t>
  </si>
  <si>
    <t>2014-00957-ZZ</t>
  </si>
  <si>
    <t>2020-01-27</t>
  </si>
  <si>
    <t>2020-03-27</t>
  </si>
  <si>
    <t>[Project Description - What] Fiber infrastructure build supports all transmission, distribution, substation, and IT equipment/systems for operations, metering, and real time monitoring.</t>
  </si>
  <si>
    <t>2991031 - A FBI_TL23027-TL23028 MS-OT</t>
  </si>
  <si>
    <t>This project installs a fiber optic connection between Mission Substation and Oldtown Substation.</t>
  </si>
  <si>
    <t>NA* see notes </t>
  </si>
  <si>
    <t>2009-00015-ZZ</t>
  </si>
  <si>
    <t>2020-09-15</t>
  </si>
  <si>
    <t>2022-05-24</t>
  </si>
  <si>
    <t>[Age of Assets] no assets with age data replaced
[Project Description - What] Fiber infrastructure build supports all transmission, distribution, substation, and IT equipment/systems for operations, metering, and real time monitoring.</t>
  </si>
  <si>
    <t>Overstressed Breakers</t>
  </si>
  <si>
    <t>Replace overstressed breakers as identified at the following substations : Bay Boulevard, Mission, Sycamore Canyon,  San Luis Rey, Miguel</t>
  </si>
  <si>
    <t>Short Circuit Duty Analysis</t>
  </si>
  <si>
    <t>Wires - Replacement Alternative</t>
  </si>
  <si>
    <t>2020 | 2024</t>
  </si>
  <si>
    <t>5341332 - A MIGUEL OVERSTRESSED BREAKER</t>
  </si>
  <si>
    <t>Miguel - 69kV Overduty CB/DC Motor Retrofit</t>
  </si>
  <si>
    <t>Other - Status Quo</t>
  </si>
  <si>
    <t>2021-2498</t>
  </si>
  <si>
    <t>Pre-Construction</t>
  </si>
  <si>
    <t>2024-03-11</t>
  </si>
  <si>
    <t>2024-06-03</t>
  </si>
  <si>
    <t xml:space="preserve">
[Age of Asset] Unable to provide age of asset for blanket budget codes
[CPUC Status] NA</t>
  </si>
  <si>
    <t>5827576 - A SAN LUIS RAY OVERSTRES</t>
  </si>
  <si>
    <t>Oceanside, San Diego</t>
  </si>
  <si>
    <t>Replace breakers based on short circuit study</t>
  </si>
  <si>
    <t>Replace Breakers</t>
  </si>
  <si>
    <t>49; 49; 49; 52; 49; 49; 52; 52; 52; 49; 52; 52; 52; 52</t>
  </si>
  <si>
    <t>230 | 69</t>
  </si>
  <si>
    <t>2022-2943</t>
  </si>
  <si>
    <t>Engineering less than 50% complete</t>
  </si>
  <si>
    <t>2023-11-15</t>
  </si>
  <si>
    <t>2025-06-27</t>
  </si>
  <si>
    <t>5987523 - A SYCAMORE CYN OVERSTRESSED BKR R</t>
  </si>
  <si>
    <t>Sycamore Canyon Overstressed Breaker Replacement</t>
  </si>
  <si>
    <t>15; 15; 15; 15; 15; 15; 15; 30; 31; 31; 31; 31; 31; 31; 32; 24; 24; 30</t>
  </si>
  <si>
    <t>138 | 69</t>
  </si>
  <si>
    <t>2019-1023</t>
  </si>
  <si>
    <t>2022-06-13</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</si>
  <si>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</si>
  <si>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</si>
  <si>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69 | 230</t>
  </si>
  <si>
    <t>2020 | 2021 | 2023 | 2024</t>
  </si>
  <si>
    <t>5120334 - A BATIQUITOS WASA ARER</t>
  </si>
  <si>
    <t>Carlsbad, San Diego</t>
  </si>
  <si>
    <t>WASA &amp; ARER</t>
  </si>
  <si>
    <t>2023-3599</t>
  </si>
  <si>
    <t>Engineering more than 50% complete</t>
  </si>
  <si>
    <t>2024-08-20</t>
  </si>
  <si>
    <t>2025-02-25</t>
  </si>
  <si>
    <t xml:space="preserve">[Age of Asset] New asset installed, no previous asset 
[CPUC Status] NA
</t>
  </si>
  <si>
    <t>5419736 - A SYNCHRO VSUBS 2022</t>
  </si>
  <si>
    <t>PMU/WASA deployments at multiple substations</t>
  </si>
  <si>
    <t>2022-3042</t>
  </si>
  <si>
    <t>2022-11-29</t>
  </si>
  <si>
    <t>2024-05-14</t>
  </si>
  <si>
    <t>5818108 - A CHICARITA WASA ARER</t>
  </si>
  <si>
    <t>Chicarita substation PMU/WASA deployments</t>
  </si>
  <si>
    <t>2023-3595</t>
  </si>
  <si>
    <t>2024-07-09</t>
  </si>
  <si>
    <t>2024-08-06</t>
  </si>
  <si>
    <t xml:space="preserve">[Age of Asset] New asset installed, no previous asset
 [CPUC Status] NA
</t>
  </si>
  <si>
    <t>5982698 - A TRANS SYNCHROPHASOR VAR SUB</t>
  </si>
  <si>
    <t>2021-2130</t>
  </si>
  <si>
    <t>2022-10-04</t>
  </si>
  <si>
    <t>2024-09-16</t>
  </si>
  <si>
    <t>2021 | 2022 | 2023 | 2024</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</si>
  <si>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</si>
  <si>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</si>
  <si>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</si>
  <si>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2021 | 2022 | 2023</t>
  </si>
  <si>
    <t>5983036 - A AFL VARIOUS SUB</t>
  </si>
  <si>
    <t>Automated Fault Location (TEAM) deployments at multiple substations.</t>
  </si>
  <si>
    <t xml:space="preserve">[Age of Asset] Unable to provide age of asset for blanket budget codes
 [CPUC Status] NA
[Primary Purpose] System Protection
</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</si>
  <si>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</si>
  <si>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</si>
  <si>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</si>
  <si>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</si>
  <si>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5296602 - A T-SCADA: TRABUCO RTU</t>
  </si>
  <si>
    <t>Laguna Niguel, Orange</t>
  </si>
  <si>
    <t>Trabuco substation Transmission RTU upgrades</t>
  </si>
  <si>
    <t>2023-3393</t>
  </si>
  <si>
    <t>2024-08-14</t>
  </si>
  <si>
    <t>2025-04-16</t>
  </si>
  <si>
    <t xml:space="preserve">[Age of Asset] Project completed, age of previous asset(s) unknown. 
[CPUC Status] NA
</t>
  </si>
  <si>
    <t>5698978 - A RANCHO CARMEL T SCADA</t>
  </si>
  <si>
    <t>Rancho Carmel substation Transmission  SCADA upgrades.</t>
  </si>
  <si>
    <t>2023-3392</t>
  </si>
  <si>
    <t>2024-06-06</t>
  </si>
  <si>
    <t>2025-05-23</t>
  </si>
  <si>
    <t xml:space="preserve">[Age of Asset] Project completed, age of previous asset(s) unknown.
 [CPUC Status] NA
</t>
  </si>
  <si>
    <t>5819154 - A TRANSMISSION SCADA TL23014_015</t>
  </si>
  <si>
    <t>Replace (2) GE L-90 relays with latest SDG&amp;E standard, (2) SEL-411L at ES (TL23014/15)</t>
  </si>
  <si>
    <t>2021-2013</t>
  </si>
  <si>
    <t>2023-11-10</t>
  </si>
  <si>
    <t xml:space="preserve">[Age of Asset] Project completed, age of new asset installed.  Age of previous asset(s) unknown. 
[CPUC Status] NA
</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</si>
  <si>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</si>
  <si>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</si>
  <si>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2651537 - A ALM TL631 FAA MARKER BAL R2</t>
  </si>
  <si>
    <t xml:space="preserve">Aerial Lighting and Marking Project to meet FAA Regulations on TL631 </t>
  </si>
  <si>
    <t>Transmission Line - Pole/Tower</t>
  </si>
  <si>
    <t>ALM GROUP 19</t>
  </si>
  <si>
    <t>2651558 - A ALM TL13811 FAA MARKER B R2</t>
  </si>
  <si>
    <t>Aerial Lighting and Marking Project to meet FAA Regulations on TL13811</t>
  </si>
  <si>
    <t>ALM GROUP 30</t>
  </si>
  <si>
    <t>2989700 - A ALM TL13811 Z119766 Z119 R1</t>
  </si>
  <si>
    <t>ALM GROUP 30FND</t>
  </si>
  <si>
    <t>CAST Security Upgrades</t>
  </si>
  <si>
    <t>CAST is an ongoing program that addresses security for critical substation assets.</t>
  </si>
  <si>
    <t>Physical Security</t>
  </si>
  <si>
    <t>Security Upgrades</t>
  </si>
  <si>
    <t>230 |500</t>
  </si>
  <si>
    <t>230kV |500kV</t>
  </si>
  <si>
    <t xml:space="preserve">[NERC / WECC / CAISO Standard / Requirement / Contingency] NERC CIP Compliance and Security Assessments
[Age of Asset] Unable to provide age of asset for blanket budget codes
[CPUC Status] NA
</t>
  </si>
  <si>
    <t>5180029 - A CAST PENASQUITOS (PQ)</t>
  </si>
  <si>
    <t>Physical security hardening</t>
  </si>
  <si>
    <t>Other - Physical Security</t>
  </si>
  <si>
    <t>231 |500</t>
  </si>
  <si>
    <t>2023-3286</t>
  </si>
  <si>
    <t>TBD</t>
  </si>
  <si>
    <t>2023-05-30</t>
  </si>
  <si>
    <t>2024-07-31</t>
  </si>
  <si>
    <t>[NERC / WECC / CAISO Standard / Requirement / Contingency] NERC CIP Compliance and Security Assessments
[Age of Asset] Unable to provide age of asset for blanket budget codes
[CPUC Status] NA</t>
  </si>
  <si>
    <t>5184112 - A CAST EAST CO SUB PERIMETER</t>
  </si>
  <si>
    <t>232 |500</t>
  </si>
  <si>
    <t>2021-2561</t>
  </si>
  <si>
    <t>2021-08-20</t>
  </si>
  <si>
    <t>2022-11-22</t>
  </si>
  <si>
    <t>[NERC / WECC / CAISO Standard / Requirement / Contingency] NERC CIP Compliance and Security Assessments
[CPUC Status] NA
[Age of Asset] Fence upgrade.  No asset IDs.</t>
  </si>
  <si>
    <t>5245798 - A CAST SYCAMORE CANYON</t>
  </si>
  <si>
    <t>233 |500</t>
  </si>
  <si>
    <t>2023-3284</t>
  </si>
  <si>
    <t>2023-09-15</t>
  </si>
  <si>
    <t>Kettner Rebuild</t>
  </si>
  <si>
    <t xml:space="preserve">The Kettner Substation Rebuild includes the installation of two 69kV GCB, six 12kV VCB, and one 12kV Capacitor Bank with stepwise switching. This will make Kettner Substation an ultimate 30MVA. The project also includes the construction of a new concrete block control shelter and a new perimeter fence/wall. The project includes removal of old infrastructure no longer in use, including two 12kV cap banks, eleven 12kV OCBs, one 12kV VCB, and two 69kV OCB. The current shipping container control shelter will also be removed once cutover is complete to the new concrete block control shelter.  </t>
  </si>
  <si>
    <t>42; 42; 25</t>
  </si>
  <si>
    <t>30MVA</t>
  </si>
  <si>
    <t>2014-00599-ZZ</t>
  </si>
  <si>
    <t xml:space="preserve">Exempt  </t>
  </si>
  <si>
    <t>Prioritization</t>
  </si>
  <si>
    <t>Construction Delays</t>
  </si>
  <si>
    <t xml:space="preserve">[CPUC Status] NA; Project is in flight. </t>
  </si>
  <si>
    <t>5753008 - A CAST IV UPS</t>
  </si>
  <si>
    <t xml:space="preserve">Substation Security (IV Substation CAST Fence); Security panel backup. </t>
  </si>
  <si>
    <t>238 |500</t>
  </si>
  <si>
    <t>2021-2097</t>
  </si>
  <si>
    <t>2020-11-30</t>
  </si>
  <si>
    <t>2022-01-18</t>
  </si>
  <si>
    <t>5552660 - A CAST MISSION FRONT ENTRANCE</t>
  </si>
  <si>
    <t>236 |500</t>
  </si>
  <si>
    <t>2022-2976</t>
  </si>
  <si>
    <t>2022-08-22</t>
  </si>
  <si>
    <t>5728144 - A CAST GUARD SHELTER REBUILD</t>
  </si>
  <si>
    <t>237 |500</t>
  </si>
  <si>
    <t>2023-3287</t>
  </si>
  <si>
    <t>[NERC / WECC / CAISO Standard / Requirement / Contingency] NERC CIP Compliance and Security Assessments
[Last Inspection] The project replaced guard shelters.
[NERC / WECC / CAISO Standard / Requirement / Contingency] NERC CIP Compliance and Security Assessment
[CPUC Status] NA
[Age of Asset] Fence upgrade.  No asset IDs.</t>
  </si>
  <si>
    <t>5986268 - A CAST IMPERIAL VLLY SUBS PERIMET</t>
  </si>
  <si>
    <t xml:space="preserve">Imperial County </t>
  </si>
  <si>
    <t>255 |500</t>
  </si>
  <si>
    <t>[NERC / WECC / CAISO Standard / Requirement / Contingency]  TECO/Closed WO replaced by project WO above
[Age of Asset] Fence upgrade.  No asset IDs.</t>
  </si>
  <si>
    <t>5831095 - A CAST OCOTILLO</t>
  </si>
  <si>
    <t>240 |500</t>
  </si>
  <si>
    <t>2022-2977</t>
  </si>
  <si>
    <t>2023-10-09</t>
  </si>
  <si>
    <t>2024-07-24</t>
  </si>
  <si>
    <t>5878897 - A CAST SUNCREST SUB PERIMETER</t>
  </si>
  <si>
    <t>241 |500</t>
  </si>
  <si>
    <t>2022-2929</t>
  </si>
  <si>
    <t>2022-05-31</t>
  </si>
  <si>
    <t>2023-09-18</t>
  </si>
  <si>
    <t>5982000 - A MIGUEL 230KV PHYSICAL SECURITY</t>
  </si>
  <si>
    <t>242 |500</t>
  </si>
  <si>
    <t>2019-1002</t>
  </si>
  <si>
    <t>TECO/Closed WO replaced by project WO above
[Age of Asset] Fence upgrade.  No asset IDs.</t>
  </si>
  <si>
    <t>5982001 - A MIGUEL 500KV PHYSICAL SECURITY</t>
  </si>
  <si>
    <t>243 |500</t>
  </si>
  <si>
    <t>2014-00595-ZZ</t>
  </si>
  <si>
    <t>2018-09-24</t>
  </si>
  <si>
    <t>2018-11-16</t>
  </si>
  <si>
    <t>TECO/Closed WO replaced by project WO above
[Age of Asset] Fence upgrade.  No asset IDs.</t>
  </si>
  <si>
    <t>5983392 - A CAST SECURITY VARIOUS SUBS</t>
  </si>
  <si>
    <t>Closed order</t>
  </si>
  <si>
    <t>244 |500</t>
  </si>
  <si>
    <t>NA (Closed)</t>
  </si>
  <si>
    <t>Canceled</t>
  </si>
  <si>
    <t xml:space="preserve">TECO/Closed WO replaced by project WO above
[Age of Asset] Unable to provide age of asset for blanket budget codes </t>
  </si>
  <si>
    <t>5299383 - A CAST TALEGA</t>
  </si>
  <si>
    <t>San Clemente, San Diego</t>
  </si>
  <si>
    <t>234 |500</t>
  </si>
  <si>
    <t>2024-3902</t>
  </si>
  <si>
    <t>5768329 - A CAST OTAY MESA</t>
  </si>
  <si>
    <t>Otay Mesa, San Diego</t>
  </si>
  <si>
    <t>239 |500</t>
  </si>
  <si>
    <t>2024-3903</t>
  </si>
  <si>
    <t>Fire Threat Zone Adv Protect &amp; SCADA Upgrade</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</si>
  <si>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</si>
  <si>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Wildfire Mitigation</t>
  </si>
  <si>
    <t>SCADA Switch Installation</t>
  </si>
  <si>
    <t xml:space="preserve">HFTD Tier 2 | HFTD Tier 3 </t>
  </si>
  <si>
    <t>120MVA</t>
  </si>
  <si>
    <t>2454903 - A APP-WMP: NVY 69KV RBLD-T</t>
  </si>
  <si>
    <t>Replace existing transmission poles, conductors and associated equipment as part of overall substation rebuild scope.</t>
  </si>
  <si>
    <t>Transmission Line/Substation</t>
  </si>
  <si>
    <t>Line Reconductoring</t>
  </si>
  <si>
    <t>2020_2092</t>
  </si>
  <si>
    <t xml:space="preserve">[Age of Asset] Substation rebuild, multiple assets, average age of all assets replaced
 [CPUC Status] NA
</t>
  </si>
  <si>
    <t>2975539 - A APP-WMP: JAM 69KV RBLD-T</t>
  </si>
  <si>
    <t>La Mesa, San Diego</t>
  </si>
  <si>
    <t>2020-1016</t>
  </si>
  <si>
    <t>Construction (25%-50%)</t>
  </si>
  <si>
    <t xml:space="preserve">[Age of Asset] Substation rebuild, multiple assets, average age of all assets replaced 
[CPUC Status] NA
</t>
  </si>
  <si>
    <t>5273381 - A APP-WMP: BORDER SUBSTATION</t>
  </si>
  <si>
    <t>Replace existing oil circuit breakers with vacuum, upgrade RTU and associated relay equipment.</t>
  </si>
  <si>
    <t>2021-2054</t>
  </si>
  <si>
    <t>2022-05-18</t>
  </si>
  <si>
    <t>2024-04-23</t>
  </si>
  <si>
    <t>5473365 - A APP-WMP: PALA SUBSTATION</t>
  </si>
  <si>
    <t>Replace existing relays and RTU, other supporting equipment.</t>
  </si>
  <si>
    <t>2021-2316</t>
  </si>
  <si>
    <t>2023-05-08</t>
  </si>
  <si>
    <t>2024-08-15</t>
  </si>
  <si>
    <t>5981932 - A CAMERON ADD 69KV BUS TIE</t>
  </si>
  <si>
    <t>Add 69kV bus tie circuit breaker, conductor and associated equipment.</t>
  </si>
  <si>
    <t>Bus Upgrade</t>
  </si>
  <si>
    <t>2014-01075-ZZ</t>
  </si>
  <si>
    <t>5981935 - A SANTA YSABEL 69KV REBUILD</t>
  </si>
  <si>
    <t>Replace existing 69kV bus, circuit breaker, and control shelter.</t>
  </si>
  <si>
    <t>2019-0222</t>
  </si>
  <si>
    <t>5983124 - A WMP-APP DESCANSO BK30 &amp; YARD</t>
  </si>
  <si>
    <t>Replace bank xfmr, extend yard for access.</t>
  </si>
  <si>
    <t>Replace Transformer</t>
  </si>
  <si>
    <t>2021-2202</t>
  </si>
  <si>
    <t>2022-08-01</t>
  </si>
  <si>
    <t>2023-11-18</t>
  </si>
  <si>
    <t>5983126 - A JAMACHA SUB 69KV &amp; 12KV REBUILD</t>
  </si>
  <si>
    <t>69/12kV Rebuild.</t>
  </si>
  <si>
    <t>System Design Upgrade</t>
  </si>
  <si>
    <t>5983127 - A NORTH VALLEY 69/12KV SUB</t>
  </si>
  <si>
    <t>2020-2092</t>
  </si>
  <si>
    <t>5984413 - A DESCANSO UPGRADE TL626 RELAYING</t>
  </si>
  <si>
    <t>Replace 69/12kV circuit breakers in support of FCP.</t>
  </si>
  <si>
    <t>2014-00432-ZZ</t>
  </si>
  <si>
    <t xml:space="preserve">[Age of Asset] Project completed, age of new asset installed.  Age of previous asset(s) unknown.
 [CPUC Status] NA
</t>
  </si>
  <si>
    <t>5984899 - A WARNERS-UPGRADE TRANS RELAYING</t>
  </si>
  <si>
    <t>2014-00278-ZZ</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</si>
  <si>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</si>
  <si>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</si>
  <si>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2020 | 2022 | 2023 | 2024</t>
  </si>
  <si>
    <t xml:space="preserve">[Age of Asset] Unable to provide age of asset for blanket budget codes
[Alternative Solutions and Costs - Costs] Projects are under blanket budget
[CPUC Status] NA
</t>
  </si>
  <si>
    <t>5244048 - A NON-CAST SECURITY VARIOUS-SUBS</t>
  </si>
  <si>
    <t>Security Upgrade and Fence project</t>
  </si>
  <si>
    <t>2023-3236</t>
  </si>
  <si>
    <t>2024-06-21</t>
  </si>
  <si>
    <t>[Age of Asset] Unable to provide age of asset for blanket budget codes
[Alternative Solutions and Costs - Costs] Projects are under blanket budget
[CPUC Status] NA[Age of Asset] Substation Security upgrades.  No asset IDs.</t>
  </si>
  <si>
    <t>5369760 - A ELLIOT SUB FENCE-GATE-BROW DITC</t>
  </si>
  <si>
    <t>Elliot Sub fence, gate, and brow ditch rebuild.</t>
  </si>
  <si>
    <t>2022-2767</t>
  </si>
  <si>
    <t>2022-12-13</t>
  </si>
  <si>
    <t>2023-04-17</t>
  </si>
  <si>
    <t>2023</t>
  </si>
  <si>
    <t xml:space="preserve">
[Age of Asset] FENCE REPAIR NO ASSET</t>
  </si>
  <si>
    <t>5595936 - A STATION F NON-CAST SECURITY</t>
  </si>
  <si>
    <t>Install new security system.</t>
  </si>
  <si>
    <t>2021-2001</t>
  </si>
  <si>
    <t>2023-12-12</t>
  </si>
  <si>
    <t xml:space="preserve">
[Age of Asset] Substation Security upgrades.  No asset IDs.</t>
  </si>
  <si>
    <t>5772246 - A PACIFIC BEACH NON CAST SECURITY</t>
  </si>
  <si>
    <t>Fence Perimeter: Repair/Replace Fence or fencing material as required. ­Yard: Install low voltage and power conduit for security as required per plan  New Pull Boxes, SP­Pads and 2” &amp; 4” conduits will be required for security design.  Note: Where possible existing trough, pull boxes, and existing conduit may be utilized for this effort ­Electrical  Provide and install new electrical panel where applicable or identify existing panel and position.</t>
  </si>
  <si>
    <t>2021-2004</t>
  </si>
  <si>
    <t>2021-10-27</t>
  </si>
  <si>
    <t>2022-12-08</t>
  </si>
  <si>
    <t>5911905 - A SAN MARCOS - NON CAST</t>
  </si>
  <si>
    <t>San Marcos, San Diego</t>
  </si>
  <si>
    <t>Fence Perimeter repair/replace fencing materials as needed; install low voltage and power conduit from security as required per plan, new pull boxes, SP Pads, where possible use existing pull boxes, conduit and trough</t>
  </si>
  <si>
    <t>2021-2381</t>
  </si>
  <si>
    <t>2021-10-25</t>
  </si>
  <si>
    <t>2024-03-06</t>
  </si>
  <si>
    <t>5981481 - A SUBSTATION SECURITY VARIOUS SUB</t>
  </si>
  <si>
    <t>Blanket WO for preliminary security upgrades at various substations</t>
  </si>
  <si>
    <t xml:space="preserve">[Project Description - Action Taken] This project was closed in 2020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</si>
  <si>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</si>
  <si>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</si>
  <si>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 xml:space="preserve">[Age of Asset] Unable to provide age of asset for blanket budget codes [CPUC Status] NA
</t>
  </si>
  <si>
    <t>5171721 - A DCRU: VARIOUS SUBS 2022</t>
  </si>
  <si>
    <t>DC Reliability Upgrades at multiple substations</t>
  </si>
  <si>
    <t>5981399 - A VARIOUS SUB DC REL UPGR- TCRI</t>
  </si>
  <si>
    <t>5983220 - A VARIOUS SUBS DC REL UPGR - 2020</t>
  </si>
  <si>
    <t>5984930 - A ENCINA SUBSTATION TCRI</t>
  </si>
  <si>
    <t>Encina substation DC reliability upgrades</t>
  </si>
  <si>
    <t>2020-2072</t>
  </si>
  <si>
    <t>5986294 - A DCRU PHASE IV - IMPERIAL BEACH</t>
  </si>
  <si>
    <t>Imperial Beach substation DC reliability upgrades</t>
  </si>
  <si>
    <t>2020-2055</t>
  </si>
  <si>
    <t>5986295 - A DCRU PHASE IV - MIRAMAR</t>
  </si>
  <si>
    <t>Miramar substation DC reliability upgrades</t>
  </si>
  <si>
    <t>2020-2054</t>
  </si>
  <si>
    <t>2024-01-12</t>
  </si>
  <si>
    <t>2024-12-13</t>
  </si>
  <si>
    <t>5997741 - A DCRU: VARIOUS SUBS 2021</t>
  </si>
  <si>
    <t>Trans Fiber Links HFTD</t>
  </si>
  <si>
    <t>Install ADSS and or OPGW on existing Transmission overhead structures to support the Wildfire Mitigation Plan</t>
  </si>
  <si>
    <t>TRUE | TRUE | TRUE</t>
  </si>
  <si>
    <t xml:space="preserve">[CEQA Status] Program consists of multiple same scope projects per transmission line with separate environmental permits. 
[Age of Asset] Unable to provide age of asset for blanket budget codes 
[CPUC Status] NA
</t>
  </si>
  <si>
    <t>2651877 - A CMP_T0_LR_TL689_Z614851X_NON_TT</t>
  </si>
  <si>
    <t>Two poles are being replaced with foundation poles (Z12466, Z614851), one pole topped (Z12469), and one RFS pole (Z12467).</t>
  </si>
  <si>
    <t>FALSE | TRUE | FALSE</t>
  </si>
  <si>
    <t>TL689 Z614851/Z12466</t>
  </si>
  <si>
    <t>2020-05-28</t>
  </si>
  <si>
    <t>[Project Description - What] Fiber infrastructure build supports all transmission, distribution, substation, and IT equipment/systems for operations, metering, and real time monitoring.[CEQA Status] Program consists of multiple same scope projects per transmission line with separate environmental permits. 
[Age of Asset] Unable to provide age of asset for blanket budget codes 
[CPUC Status] NA</t>
  </si>
  <si>
    <t>2652444 - ERROR - CFBI TL6945 LH - OLV</t>
  </si>
  <si>
    <t>The project will include stringing 3.1 miles of new DNA-30411 ADSS conductor and about 2000 ft of 
 DNO-11177 OPGW conductor, installing fiber attachments on existing transmission/distribution poles 
 and installing fiber splice boxes. The conductor will enter Olivenhain and Lake Hodges substation 
 overhead, attaching to existing substation infrastructure. It will also include lowering the crossarm on 
 Z712320 and resagging the distribution conductor from Z220660 to Z201929 to mitigate clearances 
 between the 69kV conductors and 12kV conductors. I</t>
  </si>
  <si>
    <t>2019-4014</t>
  </si>
  <si>
    <t>2023-01-24</t>
  </si>
  <si>
    <t>2023-07-24</t>
  </si>
  <si>
    <t>2652526 - A FBI TL6930 ESCONDIDO-OLIVEHAIN</t>
  </si>
  <si>
    <t>The project will include stringing 2.2 miles of new DNA-30411 ADSS conductor (including 1.1 miles of 
 underground ADSS, 0.1 miles of which will require new trenching), installing fiber attachments, and 
 installing fiber splice boxes. It will also include reframing the transmission insulators on Z510521 and 
 Z712314 to deadend attachments and the subsequent conductor work that follows.</t>
  </si>
  <si>
    <t>2019-4016</t>
  </si>
  <si>
    <t>2023-10-23</t>
  </si>
  <si>
    <t>2024-01-18</t>
  </si>
  <si>
    <t>2902940 - A TL23022/23023 MISSION-EL R2</t>
  </si>
  <si>
    <t>San Diego, Lakeside, Rancho San Diego</t>
  </si>
  <si>
    <t>Reinforcement of all Towers.
 installing 15.5 miles of OPGW</t>
  </si>
  <si>
    <t>2009-00009-ZZ</t>
  </si>
  <si>
    <t>2024-05-28</t>
  </si>
  <si>
    <t>2025-06-04</t>
  </si>
  <si>
    <t>2902990 - A FBI_T2_L3_TL23051_Z873123_NONTT</t>
  </si>
  <si>
    <t>San Diego, Poway</t>
  </si>
  <si>
    <t>Install Fiber Sycamore to Chicarita Sub ( 5.8 miles)..
 Install Fiber from Chicarita sub to Artesia (5 miles)</t>
  </si>
  <si>
    <t>2009-00014-ZZ</t>
  </si>
  <si>
    <t>2024-12-23</t>
  </si>
  <si>
    <t>2025-07-23</t>
  </si>
  <si>
    <t>2988520 - A TL23030-6932 PA-LI FIBER L3</t>
  </si>
  <si>
    <t>Engineer and construct 9.3-miles of overhead OPGW-96 fiber optic cable structures between Lilac and Pala substations.</t>
  </si>
  <si>
    <t>2014-00958-ZZ</t>
  </si>
  <si>
    <t>2024-08-12</t>
  </si>
  <si>
    <t>2025-02-18</t>
  </si>
  <si>
    <t>2988525 - A TL689 BERNARDO - FELECIT R4</t>
  </si>
  <si>
    <t>•Engineer and construct 6.3 Miles of Overhead (OH) ADSS-96 fiber on 87 poles 
 •Replace 9 new steel poles 
 •800 feet of UG fiber only trench &amp; conduit from last pole to Felicita substation 
 •Terminate, and test at substation control shelters, (Separate work orders for each substation) 
 •Project is in High Fire Threat District (HFTD) 
 •This project is CATEX (Categorically Excluded) from CEQA (California Environmental Quality Act)</t>
  </si>
  <si>
    <t>2014-00626-ZZ</t>
  </si>
  <si>
    <t>2024-01-08</t>
  </si>
  <si>
    <t>2024-04-17</t>
  </si>
  <si>
    <t>2989077 - A TL635 LOS COCHES-CREELMAN SUBS</t>
  </si>
  <si>
    <t>Ramona, San Diego</t>
  </si>
  <si>
    <t>This project installs a fiber optic connection between Creelman Substation and Los Coches Substation.</t>
  </si>
  <si>
    <t>2014-01080-ZZ</t>
  </si>
  <si>
    <t>Construction (under 10%)</t>
  </si>
  <si>
    <t>2020-09-30</t>
  </si>
  <si>
    <t>2022-03-22</t>
  </si>
  <si>
    <t>2989078 - A TL6917 CREELMAN - SYCAMORE CYN</t>
  </si>
  <si>
    <t>This project installs a fiber optic connection between Sycamore Canyon Substation and Creelman Substation.</t>
  </si>
  <si>
    <t>2014-01079-ZZ</t>
  </si>
  <si>
    <t>2022-02-17</t>
  </si>
  <si>
    <t>2991030 - A FBI_T2_L3_TL230001_Z96439_NONTT</t>
  </si>
  <si>
    <t>FBI TL23004-TL23001 MROPS - RBDC Fiber Build</t>
  </si>
  <si>
    <t>2014-00950-ZZ</t>
  </si>
  <si>
    <t>2024-08-13</t>
  </si>
  <si>
    <t>2024-12-30</t>
  </si>
  <si>
    <t>2991060 - A TL6904 ALPINE-LOVELAND TRNM FIB</t>
  </si>
  <si>
    <t>Alpine, San Diego</t>
  </si>
  <si>
    <t>•Install a level of ADSS fiber on 2.4 miles of TL6904 poles between Alpine Substation and 
 Loveland Substation
 •Construct ADSS conduit on Z770043 and trench into Loveland Substation 
 •Construct ADSS conduit on Z875063 and trench into Alpine Substation 
 • Construct ADSS conduit on Z770043 and trench into Loveland Substation (to be designed by 
 others)
 • 3 Steel Pole Replacements</t>
  </si>
  <si>
    <t>2019-4008</t>
  </si>
  <si>
    <t>2023-06-19</t>
  </si>
  <si>
    <t>PSPS Engineering Enhancements</t>
  </si>
  <si>
    <t>Mitigate the impact to customers and communities involved in PSPS events by installing additional remote sectionalizing devices within the HFTD. ​</t>
  </si>
  <si>
    <t xml:space="preserve">
[Age of Asset] Blanket</t>
  </si>
  <si>
    <t>HFTD Undergrounding</t>
  </si>
  <si>
    <t>Blanket budget for High Fire Threat District undergrounding work. This is an electric distribution blanket budget. The forecasted costs shown for this project are only the FERC-specific transmission costs.</t>
  </si>
  <si>
    <t xml:space="preserve">[Age of Asset] Unable to provide age of asset for blanket budget codes 
</t>
  </si>
  <si>
    <t>19246_CPD - OH DIST SPECIFIC BUDG PROJ</t>
  </si>
  <si>
    <t xml:space="preserve">Conversion of OH dist. lines to UG dist. lines within the HFTD </t>
  </si>
  <si>
    <t>Facility Relocation</t>
  </si>
  <si>
    <t>19246_C</t>
  </si>
  <si>
    <t xml:space="preserve">
[Age of Asset] Unable to provide age of asset for blanket budget codes 
</t>
  </si>
  <si>
    <t>2652431 - A HFTD SUG ENGINEERING CWIP</t>
  </si>
  <si>
    <t>The purpose of this project is to reduce the risk of wildfire and PSPS caused by foreign object contact, wind, extreme weather conditions, and other external triggers affecting overhead electrical facilities by converting overhead infrastructure to underground. The project will install new underground electric distribution facilities, and remove from service existing overhead electric facilities. The facilities being installed and removed are within the HFTD.</t>
  </si>
  <si>
    <t>Targeted Line Reliability</t>
  </si>
  <si>
    <t xml:space="preserve">FALSE | TRUE | FALSE </t>
  </si>
  <si>
    <t>&gt;5%</t>
  </si>
  <si>
    <t xml:space="preserve">[Project Description - Action Taken] The project will install new underground electric distribution facilities, and remove from service existing overhead electric facilities.[Age of Asset] Unable to provide age of asset for blanket budget codes </t>
  </si>
  <si>
    <t>Fire Science Enhancement</t>
  </si>
  <si>
    <t>This project will enhance the fire science capabilities at SDGE.  New tools and technologies will be developed to greatly enhance current technologies such as the fire potential index and create the next generation of fire weather tools.  Partnerships with leading academic innovators on the cutting edge of research and development in fire science will ensure SDGE remains an industry leader.</t>
  </si>
  <si>
    <t>Other - Operations Tech</t>
  </si>
  <si>
    <t>Transmission CMP Non HFTD</t>
  </si>
  <si>
    <t>Remediate CMP Issues in the Non-HFTD Zone</t>
  </si>
  <si>
    <t>Asset Condition</t>
  </si>
  <si>
    <t xml:space="preserve">[Age of Asset] Unable to provide age of asset for blanket budget codes 
[CPUC Status] NA
</t>
  </si>
  <si>
    <t>2073856 - 59821 - ACMP_T0_L2_TL6925_Z273965_14637</t>
  </si>
  <si>
    <t>El Cajon, San Diego</t>
  </si>
  <si>
    <t>64; 64; 33</t>
  </si>
  <si>
    <t>2023-3297</t>
  </si>
  <si>
    <t>2024-12-02</t>
  </si>
  <si>
    <t>[Age of Asset] Unable to provide age of asset for blanket budget codes
[CPUC Status] NA</t>
  </si>
  <si>
    <t>2294164 - A CMP_T0_T651_Z730387_TT13534</t>
  </si>
  <si>
    <t>TL651 Z730387</t>
  </si>
  <si>
    <t>2021-04-09</t>
  </si>
  <si>
    <t>2023-05-21</t>
  </si>
  <si>
    <t>2304526 - A CMP_T0_TL630_Z475724_TT13577</t>
  </si>
  <si>
    <t>21;21;21;15;23;15;23;15;23;15;15</t>
  </si>
  <si>
    <t>TL630 Z475724 /TL630 Z475724-F</t>
  </si>
  <si>
    <t>Close-Out</t>
  </si>
  <si>
    <t>2023-12-09</t>
  </si>
  <si>
    <t>2393889 - A CMP 20126 ACCRUAL WO</t>
  </si>
  <si>
    <t>Temp Clearing WO to Hold Accruals</t>
  </si>
  <si>
    <t>2398230 - A CMP_T0_L2_TL6908_ Z10637 Z11785</t>
  </si>
  <si>
    <t>2021-2399</t>
  </si>
  <si>
    <t>2652158 - ERROR- A CMP_T0_L2_TL600_Z91160_14180</t>
  </si>
  <si>
    <t>23;30;46;30;47;49</t>
  </si>
  <si>
    <t>TL600 Z91160-F</t>
  </si>
  <si>
    <t>2985070 - A CMP_T0_L2_TL6908_Z618845_11163</t>
  </si>
  <si>
    <t>TL6908 Z618845</t>
  </si>
  <si>
    <t>2021-07-01</t>
  </si>
  <si>
    <t>2021-09-27</t>
  </si>
  <si>
    <t>2985572 - A TL628 CMP TRANSMISSION P R9</t>
  </si>
  <si>
    <t>TL628 Z282087&amp;Z86824</t>
  </si>
  <si>
    <t>2020-10-18</t>
  </si>
  <si>
    <t>2986686 - A CMP_T0_L3_TL655/699_ STRUCTURES</t>
  </si>
  <si>
    <t>2022-2738</t>
  </si>
  <si>
    <t>2024-11-01</t>
  </si>
  <si>
    <t>2986901 - A CMP_T0_L3_TL13815_Z731374_TT119</t>
  </si>
  <si>
    <t>TL13815 Z731374-F</t>
  </si>
  <si>
    <t>2020-04-21</t>
  </si>
  <si>
    <t>2020-09-25</t>
  </si>
  <si>
    <t>2987437 - A TL619 Z379491 CMP POLE R R2</t>
  </si>
  <si>
    <t>TL619 Z379491</t>
  </si>
  <si>
    <t>2018-02-23</t>
  </si>
  <si>
    <t>2018-04-12</t>
  </si>
  <si>
    <t>2987652 - A TL638 Z61344 CMP POLE RE R4</t>
  </si>
  <si>
    <t>TL638 Z61344-F</t>
  </si>
  <si>
    <t>2019-10-12</t>
  </si>
  <si>
    <t>2020-05-01</t>
  </si>
  <si>
    <t>2987975 - A TL628 10 TED CMP POLES R R4</t>
  </si>
  <si>
    <t>64;69;61</t>
  </si>
  <si>
    <t>TL628 Group 01</t>
  </si>
  <si>
    <t>2018-11-30</t>
  </si>
  <si>
    <t>2019-06-29</t>
  </si>
  <si>
    <t>2988970 - A TL680B PASS FAIL REPORT 19 TRAN</t>
  </si>
  <si>
    <t>TL680B Group</t>
  </si>
  <si>
    <t>2020-06-28</t>
  </si>
  <si>
    <t>2989519 - A CMP_T0_L3_TL651_Z730387_TT13534</t>
  </si>
  <si>
    <t xml:space="preserve">
[CPUC Status] NA</t>
  </si>
  <si>
    <t>2989637 - A CMP_T0_L2_TL630_Z475724_13577</t>
  </si>
  <si>
    <t>TL630 Z475724-F</t>
  </si>
  <si>
    <t>2990340 - A TL23026 13815 Z189540 IN R3</t>
  </si>
  <si>
    <t>National City, San Diego</t>
  </si>
  <si>
    <t>TL23026 Z189540</t>
  </si>
  <si>
    <t>2017-11-14</t>
  </si>
  <si>
    <t>2017-11-20</t>
  </si>
  <si>
    <t>2990404 - A CMP_T0_L2_TL652_Z214987X_15018</t>
  </si>
  <si>
    <t>TL652 Group 1</t>
  </si>
  <si>
    <t>2991005 - A CMP_T0_L2_TL608_Z371845X_NON_TT</t>
  </si>
  <si>
    <t>TL608 Group 01</t>
  </si>
  <si>
    <t>2023-04-24</t>
  </si>
  <si>
    <t>2991059 - A CMP_T0_L2_TL617_2320469X_NON_TT</t>
  </si>
  <si>
    <t>TL617 Group 01</t>
  </si>
  <si>
    <t>2021-11-25</t>
  </si>
  <si>
    <t>2022-04-10</t>
  </si>
  <si>
    <t>2991070 - A CMP_T0_L2_TL684_Z210594X_NON_TT</t>
  </si>
  <si>
    <t>TL684 Group 01</t>
  </si>
  <si>
    <t>2021-03-01</t>
  </si>
  <si>
    <t>2021-04-21</t>
  </si>
  <si>
    <t>2991072 - A CMP_T0_L2_TL684_Z114414X_NON_TT</t>
  </si>
  <si>
    <t>TL684 Group 03</t>
  </si>
  <si>
    <t>2021-01-15</t>
  </si>
  <si>
    <t>2021-06-28</t>
  </si>
  <si>
    <t>2991074 - A CMP_T0_L2_TL684_Z815163X_NON_TT</t>
  </si>
  <si>
    <t>TL684 Group 05</t>
  </si>
  <si>
    <t>2021-03-02</t>
  </si>
  <si>
    <t>2021-07-24</t>
  </si>
  <si>
    <t>2991077 - A CMP_T0_L2_TL624_Z371343X_NON_TT</t>
  </si>
  <si>
    <t>TL624 Group 4</t>
  </si>
  <si>
    <t>2991096 - A CMP_T0_L2_TL603_Z183889X_14421</t>
  </si>
  <si>
    <t>TL603 Z1838893443</t>
  </si>
  <si>
    <t>2023-01-10</t>
  </si>
  <si>
    <t>2024-05-24</t>
  </si>
  <si>
    <t>2991104 - A CMP_T0_L2_TL681_Z12922,X_NON_TT</t>
  </si>
  <si>
    <t>TL681 Group 03</t>
  </si>
  <si>
    <t>2022-03-19</t>
  </si>
  <si>
    <t xml:space="preserve">
[Age of Asset] Unable to provide age of asset for blanket budget codes 
[CPUC Status] NA</t>
  </si>
  <si>
    <t>Transmission CMP HFTD</t>
  </si>
  <si>
    <t>Remediate CMP Issues in the HFTD Zone (Tier 2 &amp; Tier 3)</t>
  </si>
  <si>
    <t>2038067 - A CMP_T3_L3_TL50003_Z123862X_1498</t>
  </si>
  <si>
    <t>FALSE | TRUE |FALSE</t>
  </si>
  <si>
    <t>TL50003 Group 01</t>
  </si>
  <si>
    <t>2021-12-18</t>
  </si>
  <si>
    <t>2117536 - 59821 - ACMP_T2_L3_TL13804_Z519186_14607</t>
  </si>
  <si>
    <t>Rancho Santa Fe, San Diego</t>
  </si>
  <si>
    <t>TL13801 Z519186 - CMP TT#14607 - TRANS-OH-CS</t>
  </si>
  <si>
    <t>2021-2495</t>
  </si>
  <si>
    <t>2022-03-25</t>
  </si>
  <si>
    <t>2022-08-03</t>
  </si>
  <si>
    <t>2271499 - 53561 - ACMP_T2_L3_TL23051_Z619959X_1463</t>
  </si>
  <si>
    <t>TL23051 Group 01</t>
  </si>
  <si>
    <t>2021-06-04</t>
  </si>
  <si>
    <t>2633626 - A CMP_T3_L2_TL6926_6 TT JOBS</t>
  </si>
  <si>
    <t>2022-2703</t>
  </si>
  <si>
    <t>2022-05-05</t>
  </si>
  <si>
    <t>2022-05-13</t>
  </si>
  <si>
    <t>2985609 - A CMP_T0_L3_TL13834_Z29678_10182</t>
  </si>
  <si>
    <t>San Juan Capistrano, Orange</t>
  </si>
  <si>
    <t>TL13834 Z29678</t>
  </si>
  <si>
    <t>2022-10-03</t>
  </si>
  <si>
    <t>2023-06-11</t>
  </si>
  <si>
    <t>2986802 - A CMP_T0_L3_TL618/619_Z579013X_12</t>
  </si>
  <si>
    <t>TL618/619 Group 1</t>
  </si>
  <si>
    <t>2989778 - A CMP_T0_L2_TL694_Z317855_10167</t>
  </si>
  <si>
    <t>TL694 Z317855</t>
  </si>
  <si>
    <t>2021-12-01</t>
  </si>
  <si>
    <t>2023-10-15</t>
  </si>
  <si>
    <t>2990443 - A CMP_T0_L2_TL23010/02_Z223661_TT</t>
  </si>
  <si>
    <t>TL23010 /23002  Z223661</t>
  </si>
  <si>
    <t>2020-03-17</t>
  </si>
  <si>
    <t>2021-02-26</t>
  </si>
  <si>
    <t>2991071 - A TL684 POLE LOADING REMED R1</t>
  </si>
  <si>
    <t>TL684 Group 02</t>
  </si>
  <si>
    <t>2020-09-22</t>
  </si>
  <si>
    <t>2020-10-27</t>
  </si>
  <si>
    <t>5000081 - A ET/OH&amp;UG MISC CONST INST/RFS</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</si>
  <si>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</si>
  <si>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</si>
  <si>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</si>
  <si>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 xml:space="preserve">CPUC </t>
  </si>
  <si>
    <t xml:space="preserve">[NERC / WECC / CAISO Standard / Requirement / Contingency] 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[Age of Asset] Unable to provide age of asset for blanket budget codes 
[CPUC Status] NA
</t>
  </si>
  <si>
    <t>2652303 - A FIRE RISK MITIGATION(FIRM)-CWIP</t>
  </si>
  <si>
    <t>Electric System Hardening program focused on the replacement of wood poles and bare conductor with weathering steel poles and new bare conductor on our 12 kV system, and in some cases includes some underbuilt distribution lines on transmission.</t>
  </si>
  <si>
    <t>12</t>
  </si>
  <si>
    <t>[NERC / WECC / CAISO Standard / Requirement / Contingency] 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[Age of Asset] Unable to provide age of asset for blanket budget codes 
[CPUC Status] NA</t>
  </si>
  <si>
    <t>Overhead System Covered Conductor</t>
  </si>
  <si>
    <t>Electric System Hardening program focused on the replacement of wood poles and bare conductor with weathering steel poles and covered conductor on our 12 kV system, and in some cases includes some underbuilt distribution lines on transmission.</t>
  </si>
  <si>
    <t>[Age of Asset] Blanket</t>
  </si>
  <si>
    <t>2479940 - A FIRM COVERED CONDUCTOR CWIP</t>
  </si>
  <si>
    <t>[Age of Asset] Unable to provide age of asset for blanket budget codes 
[CPUC Status] NA</t>
  </si>
  <si>
    <t>Drone Assessments- Tier 2</t>
  </si>
  <si>
    <t xml:space="preserve">The project was focused on flying and assessing all structures within the HFTD (Tier 2) with the purpose of mitigating any fire-related issues.   </t>
  </si>
  <si>
    <t xml:space="preserve">HFTD Tier 2  </t>
  </si>
  <si>
    <t xml:space="preserve">FALSE | TRUE  | FALSE </t>
  </si>
  <si>
    <t>3502897 - A DRONE INVESTIGATION ASSESSMENT</t>
  </si>
  <si>
    <t>Perform drone inspections for all of Tier 2 HFTD and higher risk WUI areas and complete follow-up repairs of any infractions identified.</t>
  </si>
  <si>
    <t>HFTD Tier 2 | HFTD Tier 3 | Higher Fire Threat Area</t>
  </si>
  <si>
    <t>31/12/2025</t>
  </si>
  <si>
    <t>[NERC / WECC / CAISO Standard / Requirement / Contingency] Project description purpose is to "Repair damaged overhead electric distribution poles".  The requirement is based on GO 95 compliance and conformance with the Wildfire Mitigation Plan.[Age of Asset] Unable to provide age of asset for blanket budget codes 
[CPUC Status] NA</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</si>
  <si>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</si>
  <si>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</si>
  <si>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</si>
  <si>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69 |230 </t>
  </si>
  <si>
    <t>2226442 - 59821 - AREL_T2_TL678_Z104100_W2S</t>
  </si>
  <si>
    <t>3 poles in HFTD 2 to be replaced from wood to steel, and a total of 0.247  miles of existing 636 ACSS/AW to be reconductored.  Structure #s:
 Z104100                636          ACSS/AW
 Z170670                636          ACSS/AW
 Z75086                  636          ACSS/AW
 ​​</t>
  </si>
  <si>
    <t>Age/Condition - Replace Wood Poles</t>
  </si>
  <si>
    <t>2020-0283</t>
  </si>
  <si>
    <t>2025-01-07</t>
  </si>
  <si>
    <t>2025-01-27</t>
  </si>
  <si>
    <t>2366442 - 59821 - A W2S_T2_TL6917_4 STRUCTURES</t>
  </si>
  <si>
    <t>Camp Pendleton, San Diego</t>
  </si>
  <si>
    <t>6 poles in HFTD 2 to be replaced from wood to steel, and a
 total of 0.416  miles of existing 1/0 CU
 B.S. &amp; 394.5 5005 AL to be reconductored. 
 Structure #s:
 Z21282                  1/0 CU B.S.
 Z22190                  394.5 5005 AL
 Z22191                  394.5 5005 AL
 Z22192                  394.5 5005 AL
 Z22193                  394.5 5005 AL
 Z22194                  394.5 5005 AL
 ​​</t>
  </si>
  <si>
    <t>2020-0285</t>
  </si>
  <si>
    <t>2023-12-11</t>
  </si>
  <si>
    <t>2023-12-16</t>
  </si>
  <si>
    <t>2464878 - A REL_TL621_Z118874 W2S</t>
  </si>
  <si>
    <t>2 Poles in HFTD 2 to be replaced from wood to steel, and a total of 0.0356 miles (188’) of existing 1033.5 ACSR/AW. 
 Structure #:   
  Z118874     1033.5 ACSR/AW    Dead-End</t>
  </si>
  <si>
    <t>2021-0382</t>
  </si>
  <si>
    <t>2023-11-03</t>
  </si>
  <si>
    <t>Approved</t>
  </si>
  <si>
    <t>2025-02-05</t>
  </si>
  <si>
    <t>2025-06-09</t>
  </si>
  <si>
    <t>2652098 - A TRNM DYNAMIC LINE RATING PILOT</t>
  </si>
  <si>
    <t>Lakeside, California | San Diego County</t>
  </si>
  <si>
    <t>Install line sensor on bottom conductor on pole Z96557, Z203844, Z138121, Z96968, Z119871, Z119867, Z873096, Z579859, Z873069, Z119879, and Z119883. As Built shows poles on TL668 (Z138121, Z96986, Z91987, Z96075, Z92001 and ground rod at base of Z96986) and TL23023 (Z119881, Z119869, Z873096, Z873081, Z873070, and Z679004).</t>
  </si>
  <si>
    <t>Transmission Line - Other Equipment</t>
  </si>
  <si>
    <t>Field Test Results</t>
  </si>
  <si>
    <t>FALSE | FALSE | FALSE</t>
  </si>
  <si>
    <t>TL668 TL23023</t>
  </si>
  <si>
    <t>2986160 - A TL692 SMO:HORNO SUB TAP  R1</t>
  </si>
  <si>
    <t>Remove 42 poles and approximately 4.1 miles of overhead conductor. There are three possible stringing sites located at Z225331, Z225347, and Z225354 as shown on the attached map. Additionally four poles Z22539, Z225340, Z225341, and Z225342 are located on a steep hill with no access. These poles will need to be removed by helicopter. The landing zone for helicopter use is located at Z225362 as shown on the attached map.</t>
  </si>
  <si>
    <t>2017-0109</t>
  </si>
  <si>
    <t>2019-06-11</t>
  </si>
  <si>
    <t>2020-04-09</t>
  </si>
  <si>
    <t>2020-06-05</t>
  </si>
  <si>
    <t>2020 | 2023</t>
  </si>
  <si>
    <t>2990000 - A TL13833/34/16/37 INSULAT R3</t>
  </si>
  <si>
    <t>San Clemente, Orange</t>
  </si>
  <si>
    <t>Evaluate and replace as insulators as required on TL13833 spanning about six miles.</t>
  </si>
  <si>
    <t>Age/Condition - Insulator Replacement - Steel</t>
  </si>
  <si>
    <t>2018-4003</t>
  </si>
  <si>
    <t>2021-01-04</t>
  </si>
  <si>
    <t>2021-01-30</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</si>
  <si>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</si>
  <si>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</si>
  <si>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2534998 - A 5 RELIABILITY (NON-CMP) POLES</t>
  </si>
  <si>
    <t>Vista, California | San Diego County</t>
  </si>
  <si>
    <t>TL680B-Z218305, Z218306, Z218309, Z218301, Z115895. The project cost is being split by the ratio of Poles Purchase Cost/ requested by Jaser Marabeh</t>
  </si>
  <si>
    <t>2989609 - A TL13834/37 INSULATOR REP R1</t>
  </si>
  <si>
    <t>TL13834 TL13837 Transmission Insulator Replacement</t>
  </si>
  <si>
    <t>2019-4003</t>
  </si>
  <si>
    <t>2019-11-25</t>
  </si>
  <si>
    <t>2020-01-06</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</si>
  <si>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</si>
  <si>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</si>
  <si>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2638493 - A 2022 CIVIL ENG CAPITAL PROJECTS</t>
  </si>
  <si>
    <t>The purpose of this work is TCM Cost Consolidation from WO# 5000094 under budgets 100 &amp;  21150 to this new WO# / TCM Reconciliation</t>
  </si>
  <si>
    <t>2022-3126</t>
  </si>
  <si>
    <t>2021-02-03</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</si>
  <si>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</si>
  <si>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</si>
  <si>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[Primary Purpose] Specialized Structure Access
[Age of Asset] Unable to provide age of asset for blanket budget codes 
</t>
  </si>
  <si>
    <t>2254669 - A HATS WORK RELEASE  3</t>
  </si>
  <si>
    <t>Contractor shall provide all services, labor, material, equipment, transportation, supervision, and incidental related work necessary for the installation of two types of helicopter landing facilities at various locations along Company’s 230kV and 500kV transmission system. One type is a Transmission Staging Access Pad (TSAP) which is a level, bare ground area cleared and maintained of vegetation used for intermittent landing of Company or authorized contractor helicopters. The TSAP scope includes (2) TSAP locations. The other type is an engineered structural steel helicopter landing platform used for intermittent landing of Company or authorized contractor helicopters (Platform). The Platform scope includes seven (7) permanent, engineered structural landing platforms. These facilities are generally located in steep, rugged and mountainous terrain and are necessary due to lack of available roads for vehicle access and will assist in the safe and efficient maintenance and operation of electric transmission facilities</t>
  </si>
  <si>
    <t>230 | 500</t>
  </si>
  <si>
    <t>2022-2623</t>
  </si>
  <si>
    <t>2023-07-31</t>
  </si>
  <si>
    <t>2024-05-07</t>
  </si>
  <si>
    <t xml:space="preserve">[Project Description - What] Initiative to provide safe access to the transmission structures where there is no proximate road access.  [Primary Purpose] Specialized Structure Access
[Age of Asset] Unable to provide age of asset for blanket budget codes 
</t>
  </si>
  <si>
    <t>2796627 - A HATS WORK RELEASE  2</t>
  </si>
  <si>
    <t>2022-2622</t>
  </si>
  <si>
    <t>2021-01-22</t>
  </si>
  <si>
    <t>2022-09-27</t>
  </si>
  <si>
    <t xml:space="preserve">Material </t>
  </si>
  <si>
    <t xml:space="preserve">[Project Description - What] Initiative to provide safe access to the transmission structures where there is no proximate road access.  [Age of Asset] Unable to provide age of asset for blanket budget codes </t>
  </si>
  <si>
    <t>HATS P4 - HATS Release 4</t>
  </si>
  <si>
    <t>Contractor shall provide all services, labor, material, equipment, transportation, supervision, and incidental related work necessary for the installation of two types of helicopter landing facilities at various locations along Company’s 230kV/500kV transmission system. One type is a Tower Staging Access Pad (TSAP) which is a level, bare ground area cleared and maintained of vegetation used for intermittent landing of Company or authorized contractor helicopters. The TSAP scope includes one (1) TSAP location. The other type is an engineered structural steel helicopter landing platform (Platform or HLP) used for intermittent landing of Company or authorized contractor helicopters. The Platform scope includes six (6) engineered structural landing platforms. These facilities are generally located in steep, rugged and mountainous terrain and are necessary due to lack of available roads for vehicle access and will assist in the safe and efficient maintenance and operation of electric transmission facilities.</t>
  </si>
  <si>
    <t>HATS P4</t>
  </si>
  <si>
    <t>2024-3824</t>
  </si>
  <si>
    <t>Design</t>
  </si>
  <si>
    <t>2025-06-11</t>
  </si>
  <si>
    <t xml:space="preserve">[Project Description - What]  Initiative to provide safe access to the transmission structures where there is no proximate road access.  [Age of Asset] Unable to provide age of asset for blanket budget codes </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</si>
  <si>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</si>
  <si>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</si>
  <si>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2529033 - A TL676 Z96677 NEW ACCESS RD AND</t>
  </si>
  <si>
    <t>Mobilize, Clear and Grub Pad, Place BMP's Rough Grade, Over Excavate and Compact Pad, Place 9" of Class 2 base, Over excavate and compact Access Rd, Place 9" of class 2 base on road, Form and construct wall footings and CMU wall, Waterproof and Backfill Wall, Construct Brow and Wall ditch, Construct Cross Gutter, Install Rip-rap Dissipater with Filter Fabric, Construct Type D Brow ditch, install Cable railing at CMU wall.  Demobilize.</t>
  </si>
  <si>
    <t>2023-3244</t>
  </si>
  <si>
    <t>2023-02-06</t>
  </si>
  <si>
    <t>2023-07-12</t>
  </si>
  <si>
    <t>5000094 - A ET/OH CORRECTIVE MAINT PROGRAM</t>
  </si>
  <si>
    <t>Camp Pendleton</t>
  </si>
  <si>
    <t>Tower leg repair.</t>
  </si>
  <si>
    <t>2021-2351</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</si>
  <si>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</si>
  <si>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</si>
  <si>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CAISO Requirement</t>
  </si>
  <si>
    <t>Interconnection System Impact/Facilities Studies</t>
  </si>
  <si>
    <t xml:space="preserve">[Project Description - What] Project scope and description varies for projects; Permitting and CEQA responsibility of 3rd party interconnection customers (not SDG&amp;E); status varies by project 
[Age of Asset] Unable to provide age of asset for blanket budget codes 
[CPUC Status] NA
</t>
  </si>
  <si>
    <t>5502169 - G CAPTIVA STORAGE - PTO-IF</t>
  </si>
  <si>
    <t>BRP CA Holdco II LLC, an Interconnection Customer (IC), submitted a completed Interconnection Request (IR) to the California Independent System Operator Corporation (CAISO) to interconnect Captiva Energy Storage (Project) to the CAISO Controlled Grid. The Project is a battery energy storage system (BESS) generating facility with a requested net output of 250 MW at the Point of Interconnection (POI). The IC requested that the POI for the Project be a loop at the Trabuco - Capistrano 138 kV line.</t>
  </si>
  <si>
    <t>New Substation</t>
  </si>
  <si>
    <t>138kV</t>
  </si>
  <si>
    <t>2021-2462</t>
  </si>
  <si>
    <t>2024-08-23</t>
  </si>
  <si>
    <t>[Project Description - What] Project scope and description varies for projects; Permitting and CEQA responsibility of 3rd party interconnection customers (not SDG&amp;E); status varies by project 
[Age of Asset] Unable to provide age of asset for blanket budget codes 
[CPUC Status] NA</t>
  </si>
  <si>
    <t>5549148 - A SANDPIPER ENERGY STORAGE RNU</t>
  </si>
  <si>
    <t>Orange County</t>
  </si>
  <si>
    <t>Falcon Energy Storage Holdings, LLC, an Interconnection Customer (IC), submitted a completed Interconnection Request (IR) to the California Independent System Operator Corporation (CAISO) to interconnect Sandpiper Storage (Project) to the CAISO Controlled Grid. The Project is a battery energy storage system (BESS) generating facility with a requested net output of 200 MW at the Point of Interconnection (POI). The IC requested that the POI for the Project be at a Talega 138 kV substation.</t>
  </si>
  <si>
    <t>2021-2433 / 2022-2757</t>
  </si>
  <si>
    <t>Customer Action</t>
  </si>
  <si>
    <t>5982721 - A Q1170 GATEWAY ENERGY STORAGE</t>
  </si>
  <si>
    <t>This project interconnected 250MW of battery storage at the Otay Mesa switchyard</t>
  </si>
  <si>
    <t>2018-3003 / 2019-0224</t>
  </si>
  <si>
    <t>5986306 - A Q1532 KETTLE SOLAR ONE-SANU</t>
  </si>
  <si>
    <t>​​Uploaded cost estimates and final Appendix A report.</t>
  </si>
  <si>
    <t>2019-0227</t>
  </si>
  <si>
    <t>Advice Letter</t>
  </si>
  <si>
    <t>2027-02-16</t>
  </si>
  <si>
    <t>To be Filed</t>
  </si>
  <si>
    <t>2026-05-19</t>
  </si>
  <si>
    <t>2028-03-20</t>
  </si>
  <si>
    <t xml:space="preserve">[Project Description - What] New 138kV switchyard and 138kV loop in
</t>
  </si>
  <si>
    <t>5987479 - A MIRAMAR GT INTCON TOP GUN SRG 6</t>
  </si>
  <si>
    <t>Provide cost estimate for CAISO Cluster 10 request to connect 30MW net output at Point of Interconnection for Battery Storage at Miramar GT 69kV.   Cost estimate is for PTO Interconnection Facility Substation assuming an underground connection consisting of: one 69kV Circuit Breaker, two 69kV Disconnects, one 69kV PT, surge arrestor and terminations at the Miramar rack and associated foundations, structures and relaying. Cost estimate is also for PTO IF Transmission consisting of 1000 feet of trench and conduit, 1000 circuit feet of cable and one termination stand at the Miramar GT 69kV rack and redundant line of communications and associated infrastructure.​</t>
  </si>
  <si>
    <t>2019-0221</t>
  </si>
  <si>
    <t>2019-05-13</t>
  </si>
  <si>
    <t>2020-07-22</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</si>
  <si>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</si>
  <si>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</si>
  <si>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</si>
  <si>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</si>
  <si>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[Age of Asset] Multiple assets, unable to determine age
[CPUC Status] NA
</t>
  </si>
  <si>
    <t>2167374 - A EFD-WMP-IPREDICT</t>
  </si>
  <si>
    <t>Internal development of iPredict software platform</t>
  </si>
  <si>
    <t>None</t>
  </si>
  <si>
    <t>[Age of Asset] Software development, no tangible assets 
[CPUC Status]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</si>
  <si>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</si>
  <si>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</si>
  <si>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Customer Relocation Projects - Internally Funded</t>
  </si>
  <si>
    <t xml:space="preserve">Blanket budget code for internally funded customer relocation projects. </t>
  </si>
  <si>
    <t>Relocate</t>
  </si>
  <si>
    <t>T-Line Capacity</t>
  </si>
  <si>
    <t>[Long Term Transmission Investment Plan Inclusion] new budget code created in late 2023.
[Age of Asset] Unable to provide age of asset for blanket budget codes 
[CPUC Status] NA[Age of Asset] Blanket</t>
  </si>
  <si>
    <t>Customer Relocation Projects - Externally Funded</t>
  </si>
  <si>
    <t xml:space="preserve">Blanket budget code for externally funded customer relocation projects. </t>
  </si>
  <si>
    <t>[Long Term Transmission Investment Plan Inclusion] new budget code created in late 2023.
[Age of Asset] Blanket</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</si>
  <si>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</si>
  <si>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</si>
  <si>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 xml:space="preserve">QB00160 </t>
  </si>
  <si>
    <t xml:space="preserve">[Age of Asset] Unable to provide age of asset for blanket budget codes
[CPUC Status] NA
</t>
  </si>
  <si>
    <t>Ocean Ranch Substation</t>
  </si>
  <si>
    <t>Install a new 69/12kV substation in the North Vista/Oceanside area.  Current substations that support this load (Melrose, Morro Hill, Oceanside, and San Luis Rey) are expected to be at 85% aggregate loading in 2016 and 96% in 2021.</t>
  </si>
  <si>
    <t>Load Growth</t>
  </si>
  <si>
    <t>Coastal</t>
  </si>
  <si>
    <t>2014-00047-ZZ</t>
  </si>
  <si>
    <t xml:space="preserve">https://www.caiso.com/planning/Pages/TransmissionPlanning/2015-2016TransmissionPlanningProcess.aspx  </t>
  </si>
  <si>
    <t>Final Certified</t>
  </si>
  <si>
    <t>IS/MND</t>
  </si>
  <si>
    <t>PTC</t>
  </si>
  <si>
    <t>2017-03-06</t>
  </si>
  <si>
    <t>2018-01-22</t>
  </si>
  <si>
    <t>2019-07-02</t>
  </si>
  <si>
    <t>Completed Early</t>
  </si>
  <si>
    <t xml:space="preserve">[NERC / WECC / CAISO Standard / Requirement / Contingency] Load growth in the area (Distribution Planning load forecast driver)
[Age of Asset] New Substation
[Types of Analyses] Distribution Planning
</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</si>
  <si>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</si>
  <si>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</si>
  <si>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</si>
  <si>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Substation Capacity</t>
  </si>
  <si>
    <t>55; 62; 52;56; 54; 19</t>
  </si>
  <si>
    <t>Wires - Reconductor/Line Rebuild Alternative</t>
  </si>
  <si>
    <t>Transmission Foundations At Talega Canyon Containing High Levels Of Sulfate. Mitigated By Installing Cmp To Protect Concrete Foundations</t>
  </si>
  <si>
    <t>230kV</t>
  </si>
  <si>
    <t>2066680, 2651832, 2652342, 2651833, 2652278, 5983099, 5050193, 5983101, 5983102, 5983103, 5983104, 5983105, 5983106, 5983107, 5983836, 5983837, 2800095, 2455441, 5984480, 5984481, 2389801, 2652340</t>
  </si>
  <si>
    <t>2014-00068-ZZ</t>
  </si>
  <si>
    <t>2009 | 2010 | 2011</t>
  </si>
  <si>
    <t xml:space="preserve">https://www.caiso.com/planning/Pages/TransmissionPlanning/2010-2011TransmissionPlanningProcess.aspx  </t>
  </si>
  <si>
    <t>EIR</t>
  </si>
  <si>
    <t>CPCN</t>
  </si>
  <si>
    <t>2012-05-18</t>
  </si>
  <si>
    <t>2018-06-29</t>
  </si>
  <si>
    <t>2023-12-07</t>
  </si>
  <si>
    <t>Abandoned Plant</t>
  </si>
  <si>
    <t>[Alternative Solutions and Costs - Solutions] [Alternative Solutions and Costs - Costs] 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[NERC / WECC / CAISO Standard / Requirement / Contingency] Load growth in the area (Distribution Planning load forecast driver)
[Age of Asset] New Substation
[Types of Analyses] Distribution Planning</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</si>
  <si>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</si>
  <si>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</si>
  <si>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</si>
  <si>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2902140, 2652399</t>
  </si>
  <si>
    <t>2014-00061-ZZ</t>
  </si>
  <si>
    <t>2019-11-13</t>
  </si>
  <si>
    <t>2020-10-19</t>
  </si>
  <si>
    <t>2022-12-15</t>
  </si>
  <si>
    <t xml:space="preserve">[CPUC Filing Type] 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</si>
  <si>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</si>
  <si>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</si>
  <si>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</si>
  <si>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</si>
  <si>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2015-08-10</t>
  </si>
  <si>
    <t>2019-07-11</t>
  </si>
  <si>
    <t>2020-02-22</t>
  </si>
  <si>
    <t xml:space="preserve">
[CPUC Filing Type] Advice Letter/ Project Completed with temporary shoo-fly configuration </t>
  </si>
  <si>
    <t>TL686 Wood-to-Steel/Reliability Upgrades</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</si>
  <si>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</si>
  <si>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2018-0161</t>
  </si>
  <si>
    <t xml:space="preserve">BLM </t>
  </si>
  <si>
    <t>2026-11-13</t>
  </si>
  <si>
    <t>2029-04-06</t>
  </si>
  <si>
    <t>Land Rights</t>
  </si>
  <si>
    <t>0.62% | Copperleaf</t>
  </si>
  <si>
    <t xml:space="preserve">[NEPA Document Type] NEPA document/process yet to be finalized with BLM
[CPUC Status] NA
</t>
  </si>
  <si>
    <t>TL676 Reconductor (Mission-Mesa Heights)</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</si>
  <si>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</si>
  <si>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</si>
  <si>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 xml:space="preserve">69 |138 </t>
  </si>
  <si>
    <t>2982360, 2382250, 2382251, 2382252, 2382253</t>
  </si>
  <si>
    <t>2011-00017-ZZ</t>
  </si>
  <si>
    <t>2010 | 2011</t>
  </si>
  <si>
    <t>2017-07-25</t>
  </si>
  <si>
    <t>2018-06-04</t>
  </si>
  <si>
    <t>2019-06-07</t>
  </si>
  <si>
    <t>2020 | 2021 | 2022 | 2024</t>
  </si>
  <si>
    <t>[NEPA Document Type] NEPA document/process yet to be finalized with BLM
[CPUC Status] NA</t>
  </si>
  <si>
    <t>TL690E Reconductor (Camp Pendleton)</t>
  </si>
  <si>
    <t>Replace approx. 72 wood poles with overhead steel poles and/or underground cabling.  Reconductor approx. 5.4 mi from Stuart Tap to Las Pulgas Substation.</t>
  </si>
  <si>
    <t>2981430, 5981369, 5981957</t>
  </si>
  <si>
    <t>2014-00050-ZZ</t>
  </si>
  <si>
    <t xml:space="preserve">https://www.caiso.com/planning/Pages/TransmissionPlanning/2013-2014TransmissionPlanningProcess.aspx  </t>
  </si>
  <si>
    <t xml:space="preserve">MCBCP </t>
  </si>
  <si>
    <t>2024-07-11</t>
  </si>
  <si>
    <t>2027-05-13</t>
  </si>
  <si>
    <t>2028-05-03</t>
  </si>
  <si>
    <t>Project Design</t>
  </si>
  <si>
    <t>2.15% | Copperleaf</t>
  </si>
  <si>
    <t xml:space="preserve">[CEQA Status] Likely will be CatEx for CPUC; NEPA permit TBD by MCBCP 
[CEQA Status] CatEx for CPUC; MCBCP NEPA and Coastal Commission permits pending  </t>
  </si>
  <si>
    <t>TL691 Wood to Steel and Reconductor (Avocado - Monserat Camp Pendleton)</t>
  </si>
  <si>
    <t xml:space="preserve">Fallbrook, San Diego | Camp Pendleton North, San Diego </t>
  </si>
  <si>
    <t>This project will replace existing wood poles along TL691 within the Fire Threat Zone with new steel poles and associated hardware.</t>
  </si>
  <si>
    <t>2981470, 5981963</t>
  </si>
  <si>
    <t>2014-00051-ZZ</t>
  </si>
  <si>
    <t>2020-12-03</t>
  </si>
  <si>
    <t>2023-04-28</t>
  </si>
  <si>
    <t>2023-12-21</t>
  </si>
  <si>
    <t>2.61% | Copperleaf</t>
  </si>
  <si>
    <t xml:space="preserve">[CEQA Status]CPUC CatEx 
[CEQA Status]CPUC CatEx , MCBCP NEPA, Coastal Commission permit, project energized (closeout in progress)[CEQA Status] Likely will be CatEx for CPUC; NEPA permit TBD by MCBCP </t>
  </si>
  <si>
    <t>TL692 Wood to Steel (Camp Pendleton)</t>
  </si>
  <si>
    <t>This project will replace existing wood poles along TL692 within the Fire Threat Zone with new steel poles and associated hardware.</t>
  </si>
  <si>
    <t>2981410, 5981367, 5983108</t>
  </si>
  <si>
    <t>2014-00225-ZZ</t>
  </si>
  <si>
    <t>2021-05-17</t>
  </si>
  <si>
    <t>2021-11-01</t>
  </si>
  <si>
    <t xml:space="preserve">[CEQA Status] CPUC CatEx 
[CPUC Status] NA
[CEQA Status] CPUC CatEx , MCBCP NEPA, project complete[CEQA Status]CPUC CatEx </t>
  </si>
  <si>
    <t>TL695 TL6971 Reconductor (Camp Pendleton)</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</si>
  <si>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</si>
  <si>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2981440, 5981952, 5981987, 5983032</t>
  </si>
  <si>
    <t>2014-00074-ZZ</t>
  </si>
  <si>
    <t xml:space="preserve">https://www.caiso.com/planning/Pages/TransmissionPlanning/2011-2012TransmissionPlanningProcess.aspx  </t>
  </si>
  <si>
    <t>CEQA Draft Published</t>
  </si>
  <si>
    <t>EA</t>
  </si>
  <si>
    <t>2016-04-25</t>
  </si>
  <si>
    <t>2025-08-07</t>
  </si>
  <si>
    <t>2027-05-12</t>
  </si>
  <si>
    <t>3.06% | Copperleaf</t>
  </si>
  <si>
    <t>[NEPA Document Type] MCBCP NEPA permit pending , CPUC PTC, Coastal Commission permit received[CEQA Status] CPUC CatEx 
[CPUC Status] NA</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</si>
  <si>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</si>
  <si>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</si>
  <si>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</si>
  <si>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</si>
  <si>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[CPUC Status] NA
[CEQA Status] Project complete. Project ID Replaced From 2014-00073 to 2022-3073, CPUC Status CatEx, MCBCP NEPA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</si>
  <si>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</si>
  <si>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</si>
  <si>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</si>
  <si>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2982340, 2368750, 2368751, 2982341, 2982342, 2982343, 2982344, 2982345, 2982346, 2982347, 2982348, 2982349</t>
  </si>
  <si>
    <t>2011-00018-ZZ</t>
  </si>
  <si>
    <t>2017-05-31</t>
  </si>
  <si>
    <t>2017-12-13</t>
  </si>
  <si>
    <t>2020-02-26</t>
  </si>
  <si>
    <t>Bundling Dependencies</t>
  </si>
  <si>
    <t>[Age of Asset] Asset age data discrepancy being corrected for future submission
[CEQA Status] Project complete. Project ID Replaced From 2014-00073 to 2022-3073
 [CPUC Status] NA</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</si>
  <si>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</si>
  <si>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</si>
  <si>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</si>
  <si>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</si>
  <si>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</si>
  <si>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2021-12-06</t>
  </si>
  <si>
    <t>2022-05-15</t>
  </si>
  <si>
    <t xml:space="preserve">[Primary Purpose] NERC Category B Criteria
[Age of Asset] Asset age data discrepancy being corrected for future submission
[CPUC Status] NA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</si>
  <si>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</si>
  <si>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</si>
  <si>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</si>
  <si>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2983340, 2983341</t>
  </si>
  <si>
    <t>2012-00005-ZZ</t>
  </si>
  <si>
    <t>2022-10-31</t>
  </si>
  <si>
    <t>2023-10-07</t>
  </si>
  <si>
    <t xml:space="preserve">[CPUC Status] Project was Exempt from CPUC filing per GO-131D.
[Primary Purpose] NERC Category B Criteria
[Age of Asset] Asset age data discrepancy being corrected for future submission
</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</si>
  <si>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</si>
  <si>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</si>
  <si>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2983350, 2983351</t>
  </si>
  <si>
    <t>2012-00006-ZZ</t>
  </si>
  <si>
    <t>2022-03-07</t>
  </si>
  <si>
    <t>2022-07-11</t>
  </si>
  <si>
    <t xml:space="preserve">[Age of Asset] Asset age data discrepancy being corrected for future submission
[CPUC Status] Project was Exempt from CPUC filing per GO-131D.
</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</si>
  <si>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</si>
  <si>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</si>
  <si>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Transmission Line - Underground</t>
  </si>
  <si>
    <t>2983670, 2983671, 2983672</t>
  </si>
  <si>
    <t>2012-00011-ZZ</t>
  </si>
  <si>
    <t>2025-08-13</t>
  </si>
  <si>
    <t>2027-01-21</t>
  </si>
  <si>
    <t>[CPUC Status] CPUC filing requirements to be determined
[Age of Asset] Asset age data discrepancy being corrected for future submission
[CPUC Status] Project was Exempt from CPUC filing per GO-131D.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</si>
  <si>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</si>
  <si>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</si>
  <si>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2982932, 2988470, P650576, 2983360, 2983361, 2983362, 2983363, 2988471</t>
  </si>
  <si>
    <t>2012-00028-ZZ</t>
  </si>
  <si>
    <t>2011 | 2012</t>
  </si>
  <si>
    <t>2017-11-15</t>
  </si>
  <si>
    <t>2018-07-09</t>
  </si>
  <si>
    <t>2019-11-07</t>
  </si>
  <si>
    <t>[Wildfire Related] Reconductor HFTD Tier 2
[CPUC Status] CPUC filing requirements to be determined</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</si>
  <si>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</si>
  <si>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</si>
  <si>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2983940, 2983942</t>
  </si>
  <si>
    <t>2012-00015-ZZ</t>
  </si>
  <si>
    <t>2022-03-18</t>
  </si>
  <si>
    <t>2022-10-17</t>
  </si>
  <si>
    <t>[Age of Asset] Asset age data discrepancy being corrected for future submission
[CPUC Status] Project was Exempt from CPUC filing per GO-131D.
[Wildfire Related] Reconductor HFTD Tier 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</si>
  <si>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</si>
  <si>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</si>
  <si>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</si>
  <si>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2984281, 2984280</t>
  </si>
  <si>
    <t>2012-00014-ZZ</t>
  </si>
  <si>
    <t>2024-08-26</t>
  </si>
  <si>
    <t>2026-06-10</t>
  </si>
  <si>
    <t>1.01% | Copperleaf</t>
  </si>
  <si>
    <t>[CPUC Status] Project was Exempt from CPUC filing per GO-131D.
[Age of Asset] Asset age data discrepancy being corrected for future submission</t>
  </si>
  <si>
    <t>TL13831 Wood to Steel Replacement (Talega - Rancho Mission Viejo)</t>
  </si>
  <si>
    <t>The purpose of project is to replace approximately 72 wood poles for steel equivalent from Rancho Mission Viejo to Talega Substation for fire hardening. The project spans approximately 6.46 miles.</t>
  </si>
  <si>
    <t>2984300, 2984301, 2369410, 2369411</t>
  </si>
  <si>
    <t>2012-00019-ZZ</t>
  </si>
  <si>
    <t>2022-08-15</t>
  </si>
  <si>
    <t>2023-04-23</t>
  </si>
  <si>
    <t xml:space="preserve">[CPUC Status] Project was Exempt from CPUC filing per GO-131D.
</t>
  </si>
  <si>
    <t>TL13838 Wood to Steel Replacement (Margarita - Rancho Mission Viejo)</t>
  </si>
  <si>
    <t>This project replaces nine poles with steel, approximately 1.4 miles of 1033.5ACSR/AW, insulators and hardware.</t>
  </si>
  <si>
    <t>2984290, 2984291</t>
  </si>
  <si>
    <t>2012-00020-ZZ</t>
  </si>
  <si>
    <t>2021-09-24</t>
  </si>
  <si>
    <t>2022-01-17</t>
  </si>
  <si>
    <t>TL600 Reliability Pole Replacements</t>
  </si>
  <si>
    <t>This project replaces an existing 33 (between Phases 1, 2, and 3) transmission structures on TL600.</t>
  </si>
  <si>
    <t>$10 Mil -$15 Mil</t>
  </si>
  <si>
    <t>2984460, 2984461, 2984462, 2306700, 2306701, 2984463</t>
  </si>
  <si>
    <t>2012-00023-ZZ</t>
  </si>
  <si>
    <t>2013-02-01</t>
  </si>
  <si>
    <t>See Notes</t>
  </si>
  <si>
    <t>2022-08-29</t>
  </si>
  <si>
    <t>[CEQA Status] This was a phased project. Different phases had different target completion dates.
 [CPUC Status] NA
[CPUC Status] Project was Exempt from CPUC filing per GO-131D.</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</si>
  <si>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</si>
  <si>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</si>
  <si>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</si>
  <si>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Wires - New T-Line Alternative</t>
  </si>
  <si>
    <t>2014-00044-ZZ</t>
  </si>
  <si>
    <t xml:space="preserve">https://www.caiso.com/planning/Pages/TransmissionPlanning/2012-2013TransmissionPlanningProcess.aspx  </t>
  </si>
  <si>
    <t>2014-04-07</t>
  </si>
  <si>
    <t>2017-01-03</t>
  </si>
  <si>
    <t>2018-08-29</t>
  </si>
  <si>
    <t>260,000 | CPCN</t>
  </si>
  <si>
    <t xml:space="preserve">[Age of Asset] new transmission line
[Alternative Solutions and Costs - Solutions ] Alternatives Analysis listed in FEIR see attached link https://ia.cpuc.ca.gov/Environment/info/panoramaenv/Sycamore_Penasquitos/FEIR.html
[CEQA Status] This was a phased project. Different phases had different target completion dates.
[CPUC Status] NA
</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</si>
  <si>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</si>
  <si>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</si>
  <si>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</si>
  <si>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</si>
  <si>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2985250, 2985251</t>
  </si>
  <si>
    <t>2013-00010-ZZ</t>
  </si>
  <si>
    <t>2017-06-28</t>
  </si>
  <si>
    <t>2020-12-30</t>
  </si>
  <si>
    <t>2023-12-15</t>
  </si>
  <si>
    <t xml:space="preserve">[Age of Asset] Asset age data discrepancy being corrected for future submission. Major project construction activities completed on November 15, 2023.
[Age of Asset] new transmission line
[Alternative Solutions and Costs - Solutions ] Alternatives Analysis listed in FEIR see attached link https://ia.cpuc.ca.gov/Environment/info/panoramaenv/Sycamore_Penasquitos/FEIR.html
</t>
  </si>
  <si>
    <t>SONGS Synchronous Condenser</t>
  </si>
  <si>
    <t>The California Independent System Operator (CAISO) and SDG&amp;E have identified the need for voltage control (reactive compensation) close to an Inter-tie with Southern California Edison (SCE). The Proposed Project includes the installation of a 225 MVAr synchronous condenser (with provisions for a 2nd unit) within the existing fence line of SDG&amp;E’s switchyard area at San Onofre Nuclear Generation Station (SONGS).  The switchyard is located on approximately 3.6 acres located on the west side of Interstate 5 (I-5) approximately 65 feet from the southbound lane and approximately 2 miles southwest of Basilone Road overpass within utility-leased property of Marine Corp Base Camp Pendleton (MCBCP). The synchronous condenser will be installed in the southeasterly area of the fenced SDG&amp;E switchyard area, which is disturbed and developed. Construction of the Proposed Project involves the installation of a concrete foundation to support two synchronous condensers (one to be installed during this project) and two (2) 230/17.5 kilovolt (kV) 255 MVA transformers, medium voltage switchgear, relays, AC system, and DC battery system.  All of the aforementioned equipment with the exception of the two transformers will be installed within a dulled metal enclosure that would be approximately 62 ft. tall. The footprint of the synchronous condenser will be approximately 144 ft. wide by 141 ft. long, occupying approximately 20,000 square feet (SF) Site Preparation and Structure Relocation: An area of approximately 105,000 SF is required to prepare the site for the installation of the enclosure for the synchronous condenser. A concrete pad for all the new equipment is approximately 144 feet wide and 141 feet long.  Grading to create this level pad for the enclosure requires soldier pile walls along portions of the pad. The holes for the pilings will be drilled to a maximum depth of approximately 60 feet and the pile will be encased in concrete. In addition, an existing bus dead-end structure must be modified and shifted to the north within the SDG&amp;E switchyard area. The Proposed Project may also require modifications to existing access roads or newly graded access roads within the SDG&amp;E switchyard area. Installation of the Synchronous Condensers Building and Interconnection Facilities: A concrete pad will support a metal enclosure for up to two synchronous condensers, two 230/17.5 kV transformers, medium voltage switchgear, relays, AC system, and DC battery system.  Only the 255 MVA transformers will be located outside of the enclosure.  An underground trench approximately 3 feet wide by 400 feet long by 10 feet deep will be excavated to install the underground 230 kV cable that will connect the existing Bays 15 and 17 to the newly installed transformers.</t>
  </si>
  <si>
    <t>Substation - Reactive Equipment</t>
  </si>
  <si>
    <t xml:space="preserve">Voltage Support  </t>
  </si>
  <si>
    <t xml:space="preserve">NA* see notes </t>
  </si>
  <si>
    <t xml:space="preserve">Dynamic System Analysis </t>
  </si>
  <si>
    <t>$50 Mil – $75 Mil</t>
  </si>
  <si>
    <t>230 KV</t>
  </si>
  <si>
    <t>225 MVAr</t>
  </si>
  <si>
    <t>5983004, 5984726R4, 5981342</t>
  </si>
  <si>
    <t>2014-00077-ZZ</t>
  </si>
  <si>
    <t>2012-2013 | 2014-2015</t>
  </si>
  <si>
    <t xml:space="preserve">https://www.caiso.com/Documents/Draft2012-2013TransmissionPlan.pdf
</t>
  </si>
  <si>
    <t>2015-05-15</t>
  </si>
  <si>
    <t>2018-10-15</t>
  </si>
  <si>
    <t>[Age of Asset] no assets with age data replaced.</t>
  </si>
  <si>
    <t>CBM Gas Breakers</t>
  </si>
  <si>
    <t xml:space="preserve">This project is a continuing effort to sustain GCB SF6 Tracking and implement Condition Based Maintenance by installing monitors on approximately 900 Gas Circuit Breakers (GCBs). </t>
  </si>
  <si>
    <t xml:space="preserve">5981171 , 5981170 , 5981239 , 5981208 , 5981207 , 5983022 , 5608294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</si>
  <si>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</si>
  <si>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</si>
  <si>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</si>
  <si>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2014-00210-ZZ</t>
  </si>
  <si>
    <t>2017-11-06</t>
  </si>
  <si>
    <t>2020-01-10</t>
  </si>
  <si>
    <t xml:space="preserve">[CPUC Status] The project is completed and was exempt from CPUC filings. No permits were required due to move forward with the project.
[Age of Asset] Unable to provide age of asset for blanket budget codes
</t>
  </si>
  <si>
    <t>Streamview Substation Rebuild</t>
  </si>
  <si>
    <t>Initially expand the existing 69 |12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</si>
  <si>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</si>
  <si>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12kV |69kV |28MVA</t>
  </si>
  <si>
    <t>5984765, 5907328</t>
  </si>
  <si>
    <t>2014-00062-ZZ</t>
  </si>
  <si>
    <t>2020-03-11</t>
  </si>
  <si>
    <t>2028-07-03</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</si>
  <si>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</si>
  <si>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</si>
  <si>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</si>
  <si>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</si>
  <si>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Wires - Voltage Support/Reactive Support Alternative</t>
  </si>
  <si>
    <t>300MVA</t>
  </si>
  <si>
    <t>2014-00076-ZZ</t>
  </si>
  <si>
    <t>2019-07-12</t>
  </si>
  <si>
    <t>2019-05-28</t>
  </si>
  <si>
    <t>2020-02-24</t>
  </si>
  <si>
    <t xml:space="preserve"> 2020 | 2021 | 2024</t>
  </si>
  <si>
    <t xml:space="preserve">[Age of Asset] New substation equipment 
</t>
  </si>
  <si>
    <t>230kV Artesian Substation</t>
  </si>
  <si>
    <t xml:space="preserve">Per the CAISO 2013-2014 Final Plan, SDG&amp;E will expand the existing 69 |12kV Artesian Substation to a 230 |69 |12kV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 |179 rating (TL6939 &amp; segment of TLNew), and replacing underground getaways at Artesian, Bernardo, Rancho Carmel, and Poway to achieve new ratings.  Permitting and Environmental will be required for the expanded 230 |69 |12kV substation, in addition to the reconductor work associated with the project. Requested ISD of the ISO is June 2016, however the team proposes and ISD of December 2018 depending on application filing, and receipt of approval from the Commission. </t>
  </si>
  <si>
    <t>Wires - Bus Upgrade Alternative</t>
  </si>
  <si>
    <t>69kV |230kV |224MVA</t>
  </si>
  <si>
    <t>5983218, 5984695</t>
  </si>
  <si>
    <t>2014-00056-ZZ</t>
  </si>
  <si>
    <t>2019-10-07</t>
  </si>
  <si>
    <t>2020-04-17</t>
  </si>
  <si>
    <t>2022-12-04</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</si>
  <si>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</si>
  <si>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</si>
  <si>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</si>
  <si>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</si>
  <si>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</si>
  <si>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2021-10-19</t>
  </si>
  <si>
    <t>2023-02-28</t>
  </si>
  <si>
    <t>10,000 | 100,000</t>
  </si>
  <si>
    <t xml:space="preserve">[Last Inspection] TL energized 2023-02-28
[Age of Asset] new transmission line
</t>
  </si>
  <si>
    <t>TL698 Wood to Steel Replacement (Monserat - Avocado)</t>
  </si>
  <si>
    <t>Fallbrook, San Diego</t>
  </si>
  <si>
    <t>The TL698 Fire Hardening &amp; Reconductor Project consists of replacing existing structures and installing new steel structures along the 69kV tie line 698 in FTZ from Z10213, north of Monserat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</si>
  <si>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</si>
  <si>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2023-11-01</t>
  </si>
  <si>
    <t>2024-09-04</t>
  </si>
  <si>
    <t>1.02% | Copperleaf</t>
  </si>
  <si>
    <t>[CPUC Status] Project was Exempt from CPUC filing per GO-131D.
[Last Inspection] TL energized 2023-02-28
[Age of Asset] new transmission line</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</si>
  <si>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</si>
  <si>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</si>
  <si>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</si>
  <si>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2017-0095</t>
  </si>
  <si>
    <t>2015-10-26</t>
  </si>
  <si>
    <t>2018-11-06</t>
  </si>
  <si>
    <t>[CPUC Status] Project was Exempt from CPUC filing per GO-131D.</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</si>
  <si>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</si>
  <si>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</si>
  <si>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</si>
  <si>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 xml:space="preserve">HFTD Tier 3 | Zone 1 </t>
  </si>
  <si>
    <t>2686773, 2984870</t>
  </si>
  <si>
    <t>2014-00060-ZZ</t>
  </si>
  <si>
    <t>2019-06-24</t>
  </si>
  <si>
    <t>2020-12-28</t>
  </si>
  <si>
    <t>[Primary Purpose] Remote access landing pads for transmission structures
[CPUC Status] NA; Project has been completed.</t>
  </si>
  <si>
    <t>Rancho Santa Fe - Sub Fire Hardening / Rebuild</t>
  </si>
  <si>
    <t xml:space="preserve">Replace approximately one (1) mile of direct-buried cable along Old Seaworld Drive to a new 69kV duct package infrastructure relocated onto Sea World Drive. </t>
  </si>
  <si>
    <t>64; 69; 61</t>
  </si>
  <si>
    <t>2014-00289-ZZ</t>
  </si>
  <si>
    <t>2017-07-10</t>
  </si>
  <si>
    <t>2020-11-18</t>
  </si>
  <si>
    <t xml:space="preserve">[Primary Purpose] Specialized Structure Access
[Alternative Solutions and Costs - Solutions] Alternative - run to failure
[CPUC Status] NA
</t>
  </si>
  <si>
    <t>Mid-Coast Corridor Transit Project (Relocation)</t>
  </si>
  <si>
    <t>Mid-Coast: As part of SANDAG's Mid Coast Trolley Extension Project, SDG&amp;E will be relocating multiple electric and gas services from the Santa Fe Depot in downtown San Diego to the University City community.</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</si>
  <si>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</si>
  <si>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2015-00016</t>
  </si>
  <si>
    <t>2016-10-03</t>
  </si>
  <si>
    <t>2022-08-17</t>
  </si>
  <si>
    <t>[Primary Purpose] Specialized Structure Access
[Alternative Solutions and Costs - Solutions] Alternative - run to failure
[CPUC Status] 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</si>
  <si>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</si>
  <si>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</si>
  <si>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</si>
  <si>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5981346, 5981347, 5981348</t>
  </si>
  <si>
    <t xml:space="preserve">Multiple </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</si>
  <si>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</si>
  <si>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</si>
  <si>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2014-00016-ZZ</t>
  </si>
  <si>
    <t>2019-10-18</t>
  </si>
  <si>
    <t>2020-03-31</t>
  </si>
  <si>
    <t xml:space="preserve">[CPUC Status] Project was Exempt from CPUC filing per GO-131D.
[Age of Asset] Unable to provide age of asset for blanket budget codes
</t>
  </si>
  <si>
    <t>New 2nd Miguel to Bay Blvd. 230 kV Line</t>
  </si>
  <si>
    <t>Bonita, San Diego | Chula Vista, San Diego</t>
  </si>
  <si>
    <t>2015-00021</t>
  </si>
  <si>
    <t>2018-04-02</t>
  </si>
  <si>
    <t>2019-08-21</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</si>
  <si>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</si>
  <si>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</si>
  <si>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</si>
  <si>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Construction (10%-25%)</t>
  </si>
  <si>
    <t>2024-01-15</t>
  </si>
  <si>
    <t>2024-09-26</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</si>
  <si>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</si>
  <si>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</si>
  <si>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</si>
  <si>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</si>
  <si>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</si>
  <si>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</si>
  <si>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</si>
  <si>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</si>
  <si>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</si>
  <si>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[Alternative Solutions and Costs - Solutions] Project never approved by CAISO.
[CPUC Status] Project was Exempt from CPUC filing per GO-131D.</t>
  </si>
  <si>
    <t>San Mateo Substation</t>
  </si>
  <si>
    <t>Rebuild the existing 138/12 kV San Mateo Substation to Enhance reliability and minimize outage impacts in the San Clemente area.</t>
  </si>
  <si>
    <t>17; 17; 17; 8; 52; 43</t>
  </si>
  <si>
    <t>12kV | 138kV</t>
  </si>
  <si>
    <t>2017-0160</t>
  </si>
  <si>
    <t xml:space="preserve">[CEQA Status] TBD. Project is on hold. Project driver is not identified.
[CPUC Status] NA
</t>
  </si>
  <si>
    <t>AB2868 Energy Storage</t>
  </si>
  <si>
    <t>Placeholder for AB2868 Energy Storage</t>
  </si>
  <si>
    <t>12 |69</t>
  </si>
  <si>
    <t>2014-01087-ZZ</t>
  </si>
  <si>
    <t xml:space="preserve">[Age of Asset] Physical projects were new construction and moved to different budget codes once approved.
[CPUC Status] NA; This budget code was for development of the microgrid program.  Once each project received approval,  it was assigned an individual budget code and proceeded to design and construction under the new BC. Each project is now at a different status.
</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</si>
  <si>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</si>
  <si>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</si>
  <si>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</si>
  <si>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Wires - System Configuration Alternative</t>
  </si>
  <si>
    <t>2015-00005</t>
  </si>
  <si>
    <t xml:space="preserve">https://www.caiso.com/planning/Pages/TransmissionPlanning/2014-2015TransmissionPlanningProcess.aspx  </t>
  </si>
  <si>
    <t>2026-01-23</t>
  </si>
  <si>
    <t>2026-06-04</t>
  </si>
  <si>
    <t>2027-04-08</t>
  </si>
  <si>
    <t>12.56% | Copperleaf</t>
  </si>
  <si>
    <t>[Alternative Solutions and Costs - Costs] Reconductor TL631, El Cajon - Los Coches, Cost $17M-$22M.
[Age of Asset] Physical projects were new construction and moved to different budget codes once approved.
[CPUC Status] NA; This budget code was for development of the microgrid program.  Once each project received approval,  it was assigned an individual budget code and proceeded to design and construction under the new BC. Each project is now at a different status.</t>
  </si>
  <si>
    <t>TL611 Direct Buried Cable Replacement (Old Town - Point Loma)</t>
  </si>
  <si>
    <t xml:space="preserve">Direct-Buried Cable Replacement (Approx. 1-mile trench and substructures) </t>
  </si>
  <si>
    <t>2012-00002-ZZ</t>
  </si>
  <si>
    <t>2027-06-03</t>
  </si>
  <si>
    <t>2027-12-02</t>
  </si>
  <si>
    <t>2028-04-05</t>
  </si>
  <si>
    <t>29.22% | Copperleaf</t>
  </si>
  <si>
    <t xml:space="preserve">[CPUC Status] TBD
[Age of Asset] Asset age data discrepancy being corrected for future submission
[Alternative Solutions and Costs - Costs] Reconductor TL631, El Cajon - Los Coches, Cost $17M-$22M.
[CPUC Status] CPUC filing requirements to be determined. </t>
  </si>
  <si>
    <t>TL603 Loop-in (Sweetwater, National City, and Naval Station Metering)</t>
  </si>
  <si>
    <t xml:space="preserve">Open Sweetwater Tap and make TL603D and TL603B one continuous 69kV line from national City to Sweetwater. </t>
  </si>
  <si>
    <t>2015-00066</t>
  </si>
  <si>
    <t>2026-07-24</t>
  </si>
  <si>
    <t>2027-02-08</t>
  </si>
  <si>
    <t>2027-10-14</t>
  </si>
  <si>
    <t>21.52% | Copperleaf</t>
  </si>
  <si>
    <t>[CPUC Status] CPUC filing requirements to be determined.
[Project Description - What] 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[CPUC Status] TBD</t>
  </si>
  <si>
    <t>TL6906 Mesa Rim Rearrangement</t>
  </si>
  <si>
    <t>2983335, 2983334, 2981181, 2985349</t>
  </si>
  <si>
    <t>2014-00207-ZZ</t>
  </si>
  <si>
    <t>2018-11-05</t>
  </si>
  <si>
    <t>2020-08-05</t>
  </si>
  <si>
    <t>Outage</t>
  </si>
  <si>
    <t xml:space="preserve">[Primary Purpose] NERC Category B Criteria,
[Age of Asset] asset age data discrepancy being corrected for future submission
[Wildfire Related] Reconductor HFTD Tier 2
[CPUC Status] Project was Exempt from CPUC filing per GO-131D
[CPUC Status] CPUC filing requirements to be determined.
[ ]TL603D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</si>
  <si>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Imperial Valley Substation: Replace Bank 80</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</si>
  <si>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</si>
  <si>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Age/Condition - Replace 230/115/70/60 kV Transformers</t>
  </si>
  <si>
    <t>500kV</t>
  </si>
  <si>
    <t>2014-01072-ZZ</t>
  </si>
  <si>
    <t>2018-10-16</t>
  </si>
  <si>
    <t>2019-05-11</t>
  </si>
  <si>
    <t>[Primary Purpose] NERC Category B Criteria,
[Age of Asset] asset age data discrepancy being corrected for future submission
[Wildfire Related] Reconductor HFTD Tier 2
[CPUC Status] Project was Exempt from CPUC filing per GO-131D</t>
  </si>
  <si>
    <t>TL690 Direct Buried Cable Replacement (Oceanside-Oceanside Tap)</t>
  </si>
  <si>
    <t>Oceanside, San Diego | Camp Pendleton South, San Diego</t>
  </si>
  <si>
    <t>Direct-Buried Cable Replacement (On Hold) (Approx. 1-mile trench and substructures)</t>
  </si>
  <si>
    <t>2014-00017-ZZ</t>
  </si>
  <si>
    <t>2027-06-14</t>
  </si>
  <si>
    <t>2027-12-08</t>
  </si>
  <si>
    <t>2028-10-17</t>
  </si>
  <si>
    <t>0.96% | Copperleaf</t>
  </si>
  <si>
    <t>[CPUC Status] TBD
[CPUC Status] Project exempt</t>
  </si>
  <si>
    <t>TL628 Direct Buried Cable Replacement (Rancho Del Rey &amp; H St.)</t>
  </si>
  <si>
    <t>Direct-Buried Cable Replacement (On Hold)</t>
  </si>
  <si>
    <t>2017-0021</t>
  </si>
  <si>
    <t>2028-03-17</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</si>
  <si>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</si>
  <si>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</si>
  <si>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</si>
  <si>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</si>
  <si>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</si>
  <si>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2019-11-22</t>
  </si>
  <si>
    <t xml:space="preserve">[Age of Asset] Asset age data discrepancy being corrected for future submission
[CPUC Status] Project was Exempt from CPUC filing per GO-131D.
</t>
  </si>
  <si>
    <t>TL697 Direct Buried Cable Replacement (Oceanside Sub Getaway)</t>
  </si>
  <si>
    <t>2017-0025</t>
  </si>
  <si>
    <t>2027-03-24</t>
  </si>
  <si>
    <t>2027-12-01</t>
  </si>
  <si>
    <t>2028-04-04</t>
  </si>
  <si>
    <t>1.57% | Copperleaf</t>
  </si>
  <si>
    <t>[Age of Asset] Asset age data discrepancy being corrected for future submission
[CPUC Status] Project was Exempt from CPUC filing per GO-131D.</t>
  </si>
  <si>
    <t>TL667 Direct Buried Cable Replacement (El Camino Real)</t>
  </si>
  <si>
    <t>2017-0022</t>
  </si>
  <si>
    <t>2024-12-26</t>
  </si>
  <si>
    <t>2027-05-04</t>
  </si>
  <si>
    <t>2028-01-26</t>
  </si>
  <si>
    <t>50.83% | Copperleaf</t>
  </si>
  <si>
    <t xml:space="preserve">[CPUC Status] TBD
</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</si>
  <si>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</si>
  <si>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</si>
  <si>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</si>
  <si>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2021-07-26</t>
  </si>
  <si>
    <t>2023-06-30</t>
  </si>
  <si>
    <t xml:space="preserve">[Last Inspection] UG sections energized 2023-07-25, first inspection due 2024-12-08.
[CPUC Status] Project was Exempt from CPUC filing per GO-131D.
</t>
  </si>
  <si>
    <t>Avocado - 69kV Rebuild</t>
  </si>
  <si>
    <t xml:space="preserve">Substation Rebuild, Transformers, Control Shelter &amp; Relays &amp; CS equipment, expanded the substation, change out 69kV circuit breakers, PT, and disconnects. </t>
  </si>
  <si>
    <t>49; 49; 60</t>
  </si>
  <si>
    <t>60MVA</t>
  </si>
  <si>
    <t>2014-00941-ZZ</t>
  </si>
  <si>
    <t>2018-09-17</t>
  </si>
  <si>
    <t>2020-11-16</t>
  </si>
  <si>
    <t>[Age of Asset] asset age data discrepancy being corrected for future submission
[Last Inspection] UG sections energized 2023-07-25, first inspection due 2024-12-08.
[CPUC Status] Project was Exempt from CPUC filing per GO-131D.</t>
  </si>
  <si>
    <t>TL691 Direct Buried Cable Replacement (Avocado Sub Getaway)</t>
  </si>
  <si>
    <t>This project replaces approximately 900' of direct buried cable on TL698 from Avocado Substation to Structure Z15588 with concrete encased conduit, cable pole and cable.</t>
  </si>
  <si>
    <t>2017-0027</t>
  </si>
  <si>
    <t xml:space="preserve">[CPUC Status] Project was Exempt from CPUC filing per GO-131D.
[Age of Asset] asset age data discrepancy being corrected for future submission
</t>
  </si>
  <si>
    <t>San Marcos - 69kV Rebuild &amp; Switchgear Replacement</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</si>
  <si>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</si>
  <si>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</si>
  <si>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</si>
  <si>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2020-02-03</t>
  </si>
  <si>
    <t>2021-06-30</t>
  </si>
  <si>
    <t>[Alternative Solutions and Costs - Solutions] Alternative - run to failure .  
[CPUC Status] Project was Exempt from CPUC filing per GO-131D.</t>
  </si>
  <si>
    <t>Escondido - 230kV Yard Rebuild</t>
  </si>
  <si>
    <t xml:space="preserve">Escondido, San Diego </t>
  </si>
  <si>
    <t>Escondido Substation 230kV Yard Rebuild</t>
  </si>
  <si>
    <t xml:space="preserve">40; 44; 46; 16; 16; 16; 23; 16; 16; 24; 24 </t>
  </si>
  <si>
    <t>2014-01090-ZZ</t>
  </si>
  <si>
    <t>3.24% | Copperleaf</t>
  </si>
  <si>
    <t xml:space="preserve">[Alternative Solutions and Costs - Solutions] Alternative - run to failure .  
[CPUC Status] NA; Project not yet scheduled. </t>
  </si>
  <si>
    <t>Mission – Rebuild the 138kV and 69kV bus</t>
  </si>
  <si>
    <t>Install shoo-fly's for TL618, TL663 &amp; TL13822 in conflict with the proposed Mission 69kV GIS</t>
  </si>
  <si>
    <t>2019-1012</t>
  </si>
  <si>
    <t>2022-12-05</t>
  </si>
  <si>
    <t>2026-02-27</t>
  </si>
  <si>
    <t>27.51% | Copperleaf</t>
  </si>
  <si>
    <t xml:space="preserve">[CPUC Status] NA
</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</si>
  <si>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</si>
  <si>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</si>
  <si>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</si>
  <si>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</si>
  <si>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2022-07-18</t>
  </si>
  <si>
    <t xml:space="preserve">[CPUC Status] NA; Alternative - run to failure .  Project has completed phase 1 and phase 2 has yet to be scheduled. 
</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</si>
  <si>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</si>
  <si>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</si>
  <si>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2652031UG, 2652032OH</t>
  </si>
  <si>
    <t>2018-4002</t>
  </si>
  <si>
    <t>2020-05-18</t>
  </si>
  <si>
    <t>2022-04-01</t>
  </si>
  <si>
    <t xml:space="preserve">[Primary Purpose] Infrastructure not connected to the grid for training purposes.
[Age of Asset] Construction of OH/UG transmission training facilities for SDGE line crews to perform construction and maintenance of transmission lines throughout service territory.
[CPUC Status] NA; Alternative - run to failure .  Project has completed phase 1 and phase 2 has yet to be scheduled. </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</si>
  <si>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</si>
  <si>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</si>
  <si>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</si>
  <si>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</si>
  <si>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</si>
  <si>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2019-09-23</t>
  </si>
  <si>
    <t>2022-03-23</t>
  </si>
  <si>
    <t xml:space="preserve">[CPUC Status] NA; FERC Only
[Primary Purpose] Infrastructure not connected to the grid for training purposes.
[Age of Asset] Construction of OH/UG transmission training facilities for SDGE line crews to perform construction and maintenance of transmission lines throughout service territory.
</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</si>
  <si>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</si>
  <si>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</si>
  <si>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</si>
  <si>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2018-08-22</t>
  </si>
  <si>
    <t>2021-04-23</t>
  </si>
  <si>
    <t xml:space="preserve">[CPUC Status] NA; FERC Only
</t>
  </si>
  <si>
    <t>3 Roots Relocation TL6906, TL677 &amp; TL668 (East to West)</t>
  </si>
  <si>
    <t>3 Roots TL6906, TL677 &amp; TL668</t>
  </si>
  <si>
    <t>2021-03-21 | 2021-04-12 | 2021-02-17</t>
  </si>
  <si>
    <t>FALSE | TRUE  | FALSE</t>
  </si>
  <si>
    <t>2018-0188</t>
  </si>
  <si>
    <t>2021-03-05</t>
  </si>
  <si>
    <t>2023-08-24</t>
  </si>
  <si>
    <t>2025-09-16</t>
  </si>
  <si>
    <t xml:space="preserve">[Age of Asset] [CEQA Status] 100% Customer requested relocation requiring CPUC Advice Letter. 
[CPUC Status] NA; Substation rebuild, see description for upgrades  
</t>
  </si>
  <si>
    <t>Downtown Substation</t>
  </si>
  <si>
    <t>New Downtown Substation 69 |12kV</t>
  </si>
  <si>
    <t>12kV |69kV</t>
  </si>
  <si>
    <t>2018-0170</t>
  </si>
  <si>
    <t>[Types of Analyses] Distribution Planning;  Load growth in the area (Distribution Planning load forecast driver) 
[Age of Asset] [CEQA Status] 100% Customer requested relocation requiring CPUC Advice Letter. 
[CPUC Status] NA</t>
  </si>
  <si>
    <t>Urban Substation - 12kV Switchgear &amp; Capacitor Replacement</t>
  </si>
  <si>
    <t>69kV |12kV</t>
  </si>
  <si>
    <t>2021-2065</t>
  </si>
  <si>
    <t>2023-07-13</t>
  </si>
  <si>
    <t>2026-12-03</t>
  </si>
  <si>
    <t xml:space="preserve">[CPUC Status] NA; Exempt   
[Types of Analyses] Distribution Planning;  Load growth in the area (Distribution Planning load forecast driver) 
</t>
  </si>
  <si>
    <t>Electric Transmission EMS/SCADA Replacement</t>
  </si>
  <si>
    <t xml:space="preserve">Replacement of Energy Management System (EMS) application and supporting infrastructure at Electric Transmission's Mission Control Center and Metro Control Center </t>
  </si>
  <si>
    <t xml:space="preserve">[Age of Asset] Unable to provide age of asset for blanket budget codes 
[CPUC Status] NA
 </t>
  </si>
  <si>
    <t xml:space="preserve">TL610 Tier 2 W2S Project </t>
  </si>
  <si>
    <t xml:space="preserve">Wood to steel replacement on TL610 less than 2 miles. </t>
  </si>
  <si>
    <t>2020-0272</t>
  </si>
  <si>
    <t>2023-02-13</t>
  </si>
  <si>
    <t>2025-11-05</t>
  </si>
  <si>
    <t>2026-01-26</t>
  </si>
  <si>
    <t xml:space="preserve">[CPUC Status] Project was Exempt from CPUC filing per GO-131D.
[Age of Asset] Unable to provide age of asset for blanket budget codes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</si>
  <si>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</si>
  <si>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</si>
  <si>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</si>
  <si>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</si>
  <si>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2024-10-14</t>
  </si>
  <si>
    <t>2025-08-04</t>
  </si>
  <si>
    <t>0.07% | Copperleaf</t>
  </si>
  <si>
    <t>[Project Description - What] Project is both structure and conductor replacement.  
[CPUC Status] Project was Exempt from CPUC filing per GO-131D.</t>
  </si>
  <si>
    <t>TL649 Phase 2 Wood to Steel</t>
  </si>
  <si>
    <t>23 wood poles in HFTD2 to be replaced from wood to steel. Two of the poles (Z192597 and Z82136), are multi-transmission wood pole structures (two poles).  1.162 Miles to be re-conductored.</t>
  </si>
  <si>
    <t>2991117, 5438651</t>
  </si>
  <si>
    <t>2019-0268</t>
  </si>
  <si>
    <t>https://stakeholdercenter.caiso.com/RecurringStakeholderProcesses/2022-2023-Transmission-planning-process</t>
  </si>
  <si>
    <t>2024-05-29</t>
  </si>
  <si>
    <t>2024-10-17</t>
  </si>
  <si>
    <t>0.52% | Copperleaf</t>
  </si>
  <si>
    <t>[Project Description - What] Project is both structure and conductor replacement.  
[CPUC Status] NA</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</si>
  <si>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</si>
  <si>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</si>
  <si>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</si>
  <si>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</si>
  <si>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</si>
  <si>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2024-10-29</t>
  </si>
  <si>
    <t>0.17% | Copperleaf</t>
  </si>
  <si>
    <t>TL23001 TL23004 Insulator and Hardware Replacement</t>
  </si>
  <si>
    <t>Encinitas, San Diego | Rancho Santa Fe, San Diego | Carlsbad, San Diego | San Diego, San Diego | Oceanside, San Diego</t>
  </si>
  <si>
    <t>Age/Condition - Replace Insulators</t>
  </si>
  <si>
    <t>2019-4004</t>
  </si>
  <si>
    <t>2022-03-01</t>
  </si>
  <si>
    <t>2022-10-11</t>
  </si>
  <si>
    <t>TL6952 Wood to Steel</t>
  </si>
  <si>
    <t xml:space="preserve">Replace 10 wood pole structures in HFTD Tier 2 with steel pole structures and transfer approximately 1.5 miles of overhead conductor.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</si>
  <si>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</si>
  <si>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</si>
  <si>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</si>
  <si>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</si>
  <si>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</si>
  <si>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2025-09-22</t>
  </si>
  <si>
    <t>2026-04-06</t>
  </si>
  <si>
    <t>2026-08-14</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</si>
  <si>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</si>
  <si>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</si>
  <si>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</si>
  <si>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</si>
  <si>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</si>
  <si>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2026-09-29</t>
  </si>
  <si>
    <t>2027-04-06</t>
  </si>
  <si>
    <t>0.36% | Copperleaf</t>
  </si>
  <si>
    <t>TL675 Wood to Steel Z138156-Z33075</t>
  </si>
  <si>
    <t>​57 poles to be replaced from wood to steel, and 6 miles to be reconductored.</t>
  </si>
  <si>
    <t>2019-0251</t>
  </si>
  <si>
    <t>2025-02-12</t>
  </si>
  <si>
    <t>2027-01-25</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</si>
  <si>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</si>
  <si>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</si>
  <si>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</si>
  <si>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</si>
  <si>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</si>
  <si>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</si>
  <si>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</si>
  <si>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14 wood poles to steel poles.</t>
  </si>
  <si>
    <t>2019-0254</t>
  </si>
  <si>
    <t>2027-04-09</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</si>
  <si>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</si>
  <si>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</si>
  <si>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</si>
  <si>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</si>
  <si>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</si>
  <si>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2024-07-30</t>
  </si>
  <si>
    <t>2025-05-30</t>
  </si>
  <si>
    <t>Imperial Valley - Shunt Reactor Replacement</t>
  </si>
  <si>
    <t xml:space="preserve">Replace the existing 500kV shunt reactors at Imperial Valley substation with spares at Miguel substation. </t>
  </si>
  <si>
    <t>Age/Condition - Replace Reactors, Age/Condition - Replace Relays</t>
  </si>
  <si>
    <t>40; 40; 40</t>
  </si>
  <si>
    <t>2021-2176</t>
  </si>
  <si>
    <t>2022-06-01</t>
  </si>
  <si>
    <t>2024-06-17</t>
  </si>
  <si>
    <t xml:space="preserve">[CPUC Status] NA; Replacing Shunt reactors with spares from Miguel Substation; reactors are shared assets  </t>
  </si>
  <si>
    <t>TL6920 Wood to Steel</t>
  </si>
  <si>
    <t>7 poles in HFTD 2 to be replaced from wood to steel, and a total of 0.584 miles of existing 1033.5 ACSR/AW to be reconductored.</t>
  </si>
  <si>
    <t>2020-0286</t>
  </si>
  <si>
    <t>2023-08-02</t>
  </si>
  <si>
    <t xml:space="preserve">[CPUC Status] NA; Replacing Shunt reactors with spares from Miguel Substation; reactors are shared assets  
</t>
  </si>
  <si>
    <t>TL690C Wood to steel</t>
  </si>
  <si>
    <t>Camp Pendleton South, San Diego</t>
  </si>
  <si>
    <t xml:space="preserve">10 poles in HFTD 2 to be replaced from wood to steel. A total of 0.57 miles of existing 1/0 CU and 336.4 ACSR/AW to be reconductored. </t>
  </si>
  <si>
    <t>2020-0273</t>
  </si>
  <si>
    <t>2024-06-14</t>
  </si>
  <si>
    <t>2024-10-08</t>
  </si>
  <si>
    <t>118.91% | Copperleaf</t>
  </si>
  <si>
    <t>[CPUC Status] NA
[CEQA Status] CPUC CatEx, MCBCP NEPA received [CPUC Status] Project was Exempt from CPUC filing per GO-131D.</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</si>
  <si>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</si>
  <si>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</si>
  <si>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</si>
  <si>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</si>
  <si>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2024-04-29</t>
  </si>
  <si>
    <t>2025-05-12</t>
  </si>
  <si>
    <t xml:space="preserve">[CPUC Status] NA; Replacing Oil CB with Vacuum CB; removing oil containment; Upgrade SL&amp;P, PT   
[CEQA Status] CPUC &amp; NEPA exempt  
</t>
  </si>
  <si>
    <t>Granite - 12kV Breaker/Switchgear Replacement</t>
  </si>
  <si>
    <t>Granite Hills, San Diego</t>
  </si>
  <si>
    <t>Rebuild of the 69kV bus reconfiguring it from an ultimate 2 tie line bus to an ultimate 3 tie line substation. Replace all seven (qty: 7) 69kV kV circuit breakers (5 OCB and 2 GCB |older style).  Install new 69kV Potential Transformers. Replace 12kV open rack bus and (qty. 8) 12kV circuit breakers and (qty:2) 12kV 1 |4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</si>
  <si>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2021-2405</t>
  </si>
  <si>
    <t>2024-02-14</t>
  </si>
  <si>
    <t>2027-02-04</t>
  </si>
  <si>
    <t xml:space="preserve">[CPUC Status] NA; Replacing Oil CB with Vacuum CB; removing oil containment; Upgrade SL&amp;P, PT   </t>
  </si>
  <si>
    <t>5308632 - A CAST SAN LUIS REY</t>
  </si>
  <si>
    <t>235 |500</t>
  </si>
  <si>
    <t>2024-3904</t>
  </si>
  <si>
    <t>Chicarita 12kV Breaker</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</si>
  <si>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</si>
  <si>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50; 30; 50</t>
  </si>
  <si>
    <t>2014-00306-ZZ</t>
  </si>
  <si>
    <t>2016-06-01</t>
  </si>
  <si>
    <t>2017-01-24</t>
  </si>
  <si>
    <t xml:space="preserve">[CPUC Status] NA; In Planning; project not yet scheduled; budgeted to design start beyond 2025
</t>
  </si>
  <si>
    <t>Aviation Firefighting Program</t>
  </si>
  <si>
    <t xml:space="preserve">This is a new project. Purchase, equipping and initial training of a new Sikorsky S-70i Firehawk helicopter. </t>
  </si>
  <si>
    <t>[Age of Asset] Unable to provide age of asset for blanket budget codes 
[CPUC Status] NA
[CPUC Status] NA; In Planning; project not yet scheduled; budgeted to design start beyond 2025</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</si>
  <si>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</si>
  <si>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</si>
  <si>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</si>
  <si>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</si>
  <si>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2023-03-31</t>
  </si>
  <si>
    <t>[CPUC Status] NA; Equipment failure due to improper rating and high ambient temperatures at substation   
[Age of Asset] Unable to provide age of asset for blanket budget codes 
[CPUC Status] NA</t>
  </si>
  <si>
    <t>Encina Decommission - Removals 138kV Substation</t>
  </si>
  <si>
    <t>Decommission substation equipment related to decommissioned NRG generation plant adjacent to Encina switchyard; negotiate associated land rights items with NRG to support termination of previous facility and maintenance agreements between NRG and SDG&amp;E</t>
  </si>
  <si>
    <t>2019-1130</t>
  </si>
  <si>
    <t>2019-07-01</t>
  </si>
  <si>
    <t>2024-09-03</t>
  </si>
  <si>
    <t>2021 | 2022 | 2024</t>
  </si>
  <si>
    <t xml:space="preserve">
[CPUC Status] NA; Equipment failure due to improper rating and high ambient temperatures at substation                                                                                                                                                                                                                                                            [Age of Asset] there were no assets added. We removed assets associated with the decommissioning of the encina power plant.</t>
  </si>
  <si>
    <t>TL623C Reconductor Project</t>
  </si>
  <si>
    <t>This project replaces 4/0 B.S. CU Conductor. OH Full Rebuild approx. 1.30 miles from structure Z180990 to Z181008 South of Otay Valley Regional Park Removes 19 existing wood structures.</t>
  </si>
  <si>
    <t>2020-0327</t>
  </si>
  <si>
    <t>2026-10-29</t>
  </si>
  <si>
    <t>2029-08-28</t>
  </si>
  <si>
    <t>2030-05-28</t>
  </si>
  <si>
    <t xml:space="preserve">[Age of Asset] Unable to provide age of asset for blanket budget codes 
[Alternative Solutions and Costs - Solutions] Project ID on TP's records is 2017-0086. Alternative 1: Install a two hour/5 MW battery to mitigate thermal overload ~$13M  
[CPUC Status] NA
</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</si>
  <si>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</si>
  <si>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</si>
  <si>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</si>
  <si>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[Primary Purpose] Initial investigation of potential projects.
[CPUC Status] NA
[Age of Asset] Unable to provide age of asset for blanket budget codes 
[Alternative Solutions and Costs - Solutions] Project ID on TP's records is 2017-0086. Alternative 1: Install a two hour/5 MW battery to mitigate thermal overload ~$13M  
</t>
  </si>
  <si>
    <t>Wildfire Resiliency Platform (WiNGS)</t>
  </si>
  <si>
    <t>Predictive analytic capabilities for WiNGS using Digital Twin technology</t>
  </si>
  <si>
    <t xml:space="preserve">[Wildfire Related] Provides insights that support wildfire risk assessment and planning.[Primary Purpose] Initial investigation of potential projects.
[CPUC Status] NA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</si>
  <si>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</si>
  <si>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</si>
  <si>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</si>
  <si>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</si>
  <si>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</si>
  <si>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 xml:space="preserve">[CPUC Status] NA; FERC Only - new project 
</t>
  </si>
  <si>
    <t>Miguel-Sycamore Canyon 230kV Line Loop-in Suncrest</t>
  </si>
  <si>
    <t>San Diego, San Diego | Santee, San Diego | Lakeside, San Diego | Rancho San Diego | San Diego | Granite Hills, San Diego</t>
  </si>
  <si>
    <t>2018-0199</t>
  </si>
  <si>
    <t>https://www.caiso.com/Documents/ISO-Board-Approved-2022-2023-Transmission-Plan.pdf</t>
  </si>
  <si>
    <t xml:space="preserve">[Age of Asset] asset age data discrepancy being corrected for future submission
[CPUC Status] NA; FERC Only - new project </t>
  </si>
  <si>
    <t>TL631 UG Cable Replacement Project</t>
  </si>
  <si>
    <t>Project Scope: Remove and replace failing underground cables on TL631 that have been in operation for ~30years. The hand-taped splices are exhibiting significant degradation with (3) cable failures in the past 3 years.</t>
  </si>
  <si>
    <t>2024-3662</t>
  </si>
  <si>
    <t>2024-02-26</t>
  </si>
  <si>
    <t>2024-04-21</t>
  </si>
  <si>
    <t>[CPUC Status] Project was Exempt from CPUC filing per GO-131D.
[Age of Asset] asset age data discrepancy being corrected for future submission
[CPUC Status] NA</t>
  </si>
  <si>
    <t>3 ohm Series Reactor on Sycamore-Penasquitos 230 kV line</t>
  </si>
  <si>
    <t>Install a new 3 ohm series reactor on the Sycamore – Penasquitos 230 kV line</t>
  </si>
  <si>
    <t>$5 Mil - $10 Mil</t>
  </si>
  <si>
    <t>2022-3181</t>
  </si>
  <si>
    <t>[Primary Purpose] Project identified in 2022-23 CAISO Transmission Planning Process</t>
  </si>
  <si>
    <t>Rearrange TL23013 PQ-OT and TL6959 PQ-Mira Sorrento</t>
  </si>
  <si>
    <t>San Diego. San Diego</t>
  </si>
  <si>
    <t>Alternative to 2020-0291 (Relocate OH Section of TL23071 to UG)​Per CAISO request to SDG&amp;E to identify potential solutions to address the overload problems on TL13810 (FR-DD-PQ) caused by credible P7 (N-2: TL23013 &amp; TL23071) contingency.  The overload has created some system operation congestions that will increase ​the operating cost to address system reliability.  This project is proposed to swap TL23013 and TL6959 from PQ (2 miles between Z479065 and Z100258).  To do  that it will require to upgrade 2 miles of existing TL13810 structures to 230kV double circuit structures for TL23013 with 2-1033 ACSR and TL13810 with 1-1033 ACSR.  TL23013 &amp; TL13810 will share the same structures and TL23071 and TL6959 will be on the other  structures.  This will eliminate the credible P7 outage (N-2 TL23013 &amp; TL23071)​.</t>
  </si>
  <si>
    <t>$20 Mil - $30 Mil</t>
  </si>
  <si>
    <t>69 | 138 | 230</t>
  </si>
  <si>
    <t>2020-0294</t>
  </si>
  <si>
    <t>Transmission Failing Cable Replacement</t>
  </si>
  <si>
    <t>Replace underground cable systems targeting hand taped splices exhibiting degradation leading to failure.</t>
  </si>
  <si>
    <t>2024-3828</t>
  </si>
  <si>
    <t>0.13% | Copperleaf</t>
  </si>
  <si>
    <t xml:space="preserve">[CPUC Status] Project was Exempt from CPUC filing per GO-131D.
 [Age of Asset] Various number of assets.
</t>
  </si>
  <si>
    <t>SED Future Rebuilds</t>
  </si>
  <si>
    <t xml:space="preserve">Placeholder for future Substation Projects  </t>
  </si>
  <si>
    <t>TBDET002</t>
  </si>
  <si>
    <t xml:space="preserve">[Age of Asset] Unable to provide age of asset for blanket budget codes 
[Alternative Solutions and Costs - Costs] Projects are under blanket budget  
[CPUC Status] NA
</t>
  </si>
  <si>
    <t>CIS Envision</t>
  </si>
  <si>
    <t>Replacing SDG&amp;E's legacy Customer Information System (CIS) with a new SAP system</t>
  </si>
  <si>
    <t>Other - IT</t>
  </si>
  <si>
    <t>FALSE | FALSE| FALSE</t>
  </si>
  <si>
    <t>CIS001</t>
  </si>
  <si>
    <t>Work Order Authorization</t>
  </si>
  <si>
    <t>Application 17-04-027</t>
  </si>
  <si>
    <t>[Age of Asset]  IT Projects no asset 
[Alternative Solutions and Costs - Costs] Projects are under blanket budget  
[CPUC Status] NA</t>
  </si>
  <si>
    <t>Cleveland National Forest Master Special Use Permit</t>
  </si>
  <si>
    <t>Policy</t>
  </si>
  <si>
    <t>CNF MSUP</t>
  </si>
  <si>
    <t xml:space="preserve">[Age of Asset] This is the master special use permit for the cnf projects, so no assets associated with it.
</t>
  </si>
  <si>
    <t>IT Enterprise Network Operation Support</t>
  </si>
  <si>
    <t xml:space="preserve">[Age of Asset]  IT Projects no asset 
</t>
  </si>
  <si>
    <t>Replacing End-of-Support Network Hardware</t>
  </si>
  <si>
    <t>Replacing End of Support SDGE Network Hardware</t>
  </si>
  <si>
    <t xml:space="preserve">T000021 </t>
  </si>
  <si>
    <t xml:space="preserve">[Age of Asset]  IT Projects no asest 
</t>
  </si>
  <si>
    <t>SDGE LAN Refresh</t>
  </si>
  <si>
    <t>Replacing End of Support SDGE IT Network Hardware</t>
  </si>
  <si>
    <t xml:space="preserve">T19005  </t>
  </si>
  <si>
    <t>SDGE WAN and PNER Network Refresh</t>
  </si>
  <si>
    <t>Replacing End of Support SDGE IT Network Hardware, Retrofit Communications Towers</t>
  </si>
  <si>
    <t xml:space="preserve">T19027  </t>
  </si>
  <si>
    <t>SDGE FAN VOICE RADIO &amp; DISPATCH PROJECT</t>
  </si>
  <si>
    <t>Upgrade voice radio system.</t>
  </si>
  <si>
    <t xml:space="preserve">T17027  </t>
  </si>
  <si>
    <t>Various</t>
  </si>
  <si>
    <t>Distributed Communications Reliability Initiative</t>
  </si>
  <si>
    <t>Install a Private LTE network to serve HFTD 2 and 3</t>
  </si>
  <si>
    <t xml:space="preserve">T18018  </t>
  </si>
  <si>
    <t>[Age of Asset]  IT Projects no asset 
[Project Description - What] Reliability and Wildfire Mitigation</t>
  </si>
  <si>
    <t>2026 SDGE Network Refresh</t>
  </si>
  <si>
    <t xml:space="preserve">BD23021 </t>
  </si>
  <si>
    <t xml:space="preserve">[Age of Asset]  IT Projects no asest </t>
  </si>
  <si>
    <t>Category</t>
  </si>
  <si>
    <t>Sorting Order</t>
  </si>
  <si>
    <t>Data Field #</t>
  </si>
  <si>
    <r>
      <rPr>
        <b/>
        <i/>
        <sz val="12"/>
        <rFont val="Times New Roman"/>
        <family val="1"/>
      </rPr>
      <t>Transmission Project Data Field</t>
    </r>
  </si>
  <si>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</si>
  <si>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</si>
  <si>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</si>
  <si>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</si>
  <si>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</si>
  <si>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</si>
  <si>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</si>
  <si>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</si>
  <si>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</si>
  <si>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</si>
  <si>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</si>
  <si>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Latitude</t>
  </si>
  <si>
    <t>Number (decimal), separated by " | " for multiple locations; NA if no geolocation</t>
  </si>
  <si>
    <t>20.234 | 19.983</t>
  </si>
  <si>
    <t>Positive number indicates north of equator. Subject to redaction in the public data.</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</si>
  <si>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</si>
  <si>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</si>
  <si>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</si>
  <si>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</si>
  <si>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</si>
  <si>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</si>
  <si>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</si>
  <si>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</si>
  <si>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</si>
  <si>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</si>
  <si>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</si>
  <si>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</si>
  <si>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 xml:space="preserve">Transmission line (new, reconductor, relocation), substation (breaker, transformer relay protection), etc. </t>
  </si>
  <si>
    <t>Project Description - Action Taken (2)</t>
  </si>
  <si>
    <t>Select text from drop-down menu(s)</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</si>
  <si>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</si>
  <si>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</si>
  <si>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</si>
  <si>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</si>
  <si>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</si>
  <si>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</si>
  <si>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</si>
  <si>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</si>
  <si>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</si>
  <si>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</si>
  <si>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</si>
  <si>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</si>
  <si>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</si>
  <si>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</si>
  <si>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</si>
  <si>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</si>
  <si>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</si>
  <si>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</si>
  <si>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</si>
  <si>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</si>
  <si>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</si>
  <si>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</si>
  <si>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</si>
  <si>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</si>
  <si>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Alternative Solutions and Costs - Solutions</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</si>
  <si>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</si>
  <si>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Alternative Solutions and Costs - Costs</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</si>
  <si>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</si>
  <si>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</si>
  <si>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</si>
  <si>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</si>
  <si>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</si>
  <si>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</si>
  <si>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</si>
  <si>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</si>
  <si>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</si>
  <si>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</si>
  <si>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</si>
  <si>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</si>
  <si>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</si>
  <si>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</si>
  <si>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</si>
  <si>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</si>
  <si>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</si>
  <si>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</si>
  <si>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</si>
  <si>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</si>
  <si>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</si>
  <si>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</si>
  <si>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</si>
  <si>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</si>
  <si>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</si>
  <si>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</si>
  <si>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</si>
  <si>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</si>
  <si>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</si>
  <si>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</si>
  <si>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</si>
  <si>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</si>
  <si>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</si>
  <si>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</si>
  <si>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Work Order (Utility Unique ID #1)</t>
  </si>
  <si>
    <t>Text String</t>
  </si>
  <si>
    <t>Most specific  (PG&amp;E = Planning Order, SCE = SCE ID, SDG&amp;E = Project ID)</t>
  </si>
  <si>
    <t>Project ID (Utility Unique ID #2)</t>
  </si>
  <si>
    <t>Less specific (PG&amp;E = T.dot, SCE = Capital Work Breakdown Structure, SDG&amp;E = Budget Code)</t>
  </si>
  <si>
    <t>Budget Code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</si>
  <si>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</si>
  <si>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</si>
  <si>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</si>
  <si>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</si>
  <si>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</si>
  <si>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</si>
  <si>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</si>
  <si>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</si>
  <si>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</si>
  <si>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</si>
  <si>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</si>
  <si>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</si>
  <si>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If utility has approved the project, insert first year of internal approval. If not insert "NA."</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</si>
  <si>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</si>
  <si>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</si>
  <si>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</si>
  <si>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</si>
  <si>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</si>
  <si>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</si>
  <si>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</si>
  <si>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</si>
  <si>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</si>
  <si>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</si>
  <si>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</si>
  <si>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</si>
  <si>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</si>
  <si>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</si>
  <si>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</si>
  <si>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</si>
  <si>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</si>
  <si>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</si>
  <si>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</si>
  <si>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</si>
  <si>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</si>
  <si>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</si>
  <si>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CPUC Permit Status</t>
  </si>
  <si>
    <t>CEQA Status</t>
  </si>
  <si>
    <t>See drop-down menu for options.  Include one of the following: Expected PEA Completion, PEA Deemed Complete, CEQA Draft Published, CEQA Final Published, Final Certified, TBD, Other [See Notes], or NA.</t>
  </si>
  <si>
    <t>CEQA Status - Date</t>
  </si>
  <si>
    <t xml:space="preserve"> 2020-03-29</t>
  </si>
  <si>
    <t>Include the date that corresponds with the CEQA status.</t>
  </si>
  <si>
    <t>CEQA Document Type</t>
  </si>
  <si>
    <t>Examples include: IS/ND, IS/MND, EIR, Exempted, Other, or NA (If "Other,"  include explanation in the "Notes" data field.).</t>
  </si>
  <si>
    <t>NEPA Document Type</t>
  </si>
  <si>
    <t>EIS</t>
  </si>
  <si>
    <t>Examples include: EIS, EA, Categorical Exclusion, Other, or NA (If "Other,"  include explanation in the "Notes" data field.).</t>
  </si>
  <si>
    <t>CEQA Lead Agency</t>
  </si>
  <si>
    <t>CPUC</t>
  </si>
  <si>
    <t xml:space="preserve">Examples include: CPUC, SWRCB, CSLC, NA etc.  If more than two options are required, enter each, pipe-delimited. </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</si>
  <si>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</si>
  <si>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</si>
  <si>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</si>
  <si>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</si>
  <si>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</si>
  <si>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</si>
  <si>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</si>
  <si>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</si>
  <si>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</si>
  <si>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</si>
  <si>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Indicate "Approved", "Rejected", "To be Filed", "Filed and Under Review," "Other," or "NA" (If "Other" or "NA", include explanation in the "Notes" data field.).</t>
  </si>
  <si>
    <t>CPUC Status: Year</t>
  </si>
  <si>
    <t>Insert the year this CPUC Status was determined.</t>
  </si>
  <si>
    <t>Project status</t>
  </si>
  <si>
    <t>Project Status</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</si>
  <si>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</si>
  <si>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</si>
  <si>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</si>
  <si>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</si>
  <si>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</si>
  <si>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</si>
  <si>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</si>
  <si>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</si>
  <si>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t>Current Projected or
Actual In-Service Date</t>
  </si>
  <si>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</si>
  <si>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</si>
  <si>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</si>
  <si>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</si>
  <si>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</si>
  <si>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</si>
  <si>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</si>
  <si>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</si>
  <si>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t>Original Projected Cost or
Cost Range ($000)</t>
  </si>
  <si>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</si>
  <si>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</si>
  <si>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</si>
  <si>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</si>
  <si>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</si>
  <si>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</si>
  <si>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</si>
  <si>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</si>
  <si>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</si>
  <si>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</si>
  <si>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</si>
  <si>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</si>
  <si>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</si>
  <si>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</si>
  <si>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</si>
  <si>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</si>
  <si>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</si>
  <si>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</si>
  <si>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</si>
  <si>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</si>
  <si>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</si>
  <si>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</si>
  <si>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</si>
  <si>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</si>
  <si>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</si>
  <si>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</si>
  <si>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</si>
  <si>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</si>
  <si>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</si>
  <si>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</si>
  <si>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</si>
  <si>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</si>
  <si>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</si>
  <si>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</si>
  <si>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</si>
  <si>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</si>
  <si>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</si>
  <si>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</si>
  <si>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</si>
  <si>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</si>
  <si>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</si>
  <si>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</si>
  <si>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</si>
  <si>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</si>
  <si>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</si>
  <si>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</si>
  <si>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</si>
  <si>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</si>
  <si>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</si>
  <si>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</si>
  <si>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</si>
  <si>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</si>
  <si>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</si>
  <si>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</si>
  <si>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</si>
  <si>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</si>
  <si>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</si>
  <si>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</si>
  <si>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</si>
  <si>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</si>
  <si>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</si>
  <si>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</si>
  <si>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</si>
  <si>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</si>
  <si>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</si>
  <si>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</si>
  <si>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</si>
  <si>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</si>
  <si>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</si>
  <si>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</si>
  <si>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</si>
  <si>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</si>
  <si>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</si>
  <si>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</si>
  <si>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</si>
  <si>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</si>
  <si>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</si>
  <si>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</si>
  <si>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</si>
  <si>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</si>
  <si>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</si>
  <si>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</si>
  <si>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</si>
  <si>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</si>
  <si>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</si>
  <si>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06. Project Description - What</t>
  </si>
  <si>
    <t>07. Project Description - Action taken</t>
  </si>
  <si>
    <t>09. Primary Purpose</t>
  </si>
  <si>
    <t>10. Secondary Purpose</t>
  </si>
  <si>
    <t>11. NERC/WECC/CAISO Standard/Requirement/Contingency</t>
  </si>
  <si>
    <t>14. Types of Analyses</t>
  </si>
  <si>
    <t>15a. Alternative Solutions and Costs - Solutions</t>
  </si>
  <si>
    <t>15b. Alternative Solutions and Costs - Costs</t>
  </si>
  <si>
    <t>40. CEQA Status</t>
  </si>
  <si>
    <t>41a. CEQA Document Type</t>
  </si>
  <si>
    <t>41b. NEPA Document Type</t>
  </si>
  <si>
    <t>45. CPUC Status</t>
  </si>
  <si>
    <t>47. Project Status</t>
  </si>
  <si>
    <t>48. AACE Class</t>
  </si>
  <si>
    <t>52. Reason for Change in In-Service Date</t>
  </si>
  <si>
    <t>3rd Party Damage</t>
  </si>
  <si>
    <t>Expected PEA Completion</t>
  </si>
  <si>
    <t>IS/ND</t>
  </si>
  <si>
    <t>Weather</t>
  </si>
  <si>
    <t xml:space="preserve">NERC BAL Compliance </t>
  </si>
  <si>
    <t>Wires - Location/Route Alternative</t>
  </si>
  <si>
    <t>$1 Mil - $2 Mil</t>
  </si>
  <si>
    <t>Filed and Under Administrative Review</t>
  </si>
  <si>
    <t>Age/Condition - 230/115/70/60 kV Relay Replacement</t>
  </si>
  <si>
    <t>NERC FAC Compliance</t>
  </si>
  <si>
    <t>$2 Mil - $3 Mil</t>
  </si>
  <si>
    <t>Administratively Complete and Under Technical Review</t>
  </si>
  <si>
    <t>Clearances</t>
  </si>
  <si>
    <t>Age/Condition - 500 kV Relay Replacement</t>
  </si>
  <si>
    <t>WECC Audit Findings</t>
  </si>
  <si>
    <t>$3 Mil -$5 Mil</t>
  </si>
  <si>
    <t>CEQA Final Published</t>
  </si>
  <si>
    <t>Substation - Line Termination</t>
  </si>
  <si>
    <t>Rejected</t>
  </si>
  <si>
    <t>Workforce</t>
  </si>
  <si>
    <t>Address Results of Protection Studies</t>
  </si>
  <si>
    <t>Advice Letter Filed and In-Process</t>
  </si>
  <si>
    <t>Age/Condition - Insulator Replacement - Wood</t>
  </si>
  <si>
    <t>$15 Mil - $20 Mil</t>
  </si>
  <si>
    <t>Age/Condition - Raptor Protection - Steel</t>
  </si>
  <si>
    <t>NA [See Notes]</t>
  </si>
  <si>
    <t>Substation - Modular Protection and Automation Control Building</t>
  </si>
  <si>
    <t>Economic</t>
  </si>
  <si>
    <t>$30 Mil - $40 Mil</t>
  </si>
  <si>
    <t>Non-Wires - Large Scale Energy Alternative</t>
  </si>
  <si>
    <t>$40 Mil - $50 Mil</t>
  </si>
  <si>
    <t>Age/Condition - Replace 500 kV Breakers</t>
  </si>
  <si>
    <t>Non-Wires - System DER Alternative</t>
  </si>
  <si>
    <t>Age/Condition - Replace 500 kV Transformers</t>
  </si>
  <si>
    <t>$75 Mil – $100 Mil</t>
  </si>
  <si>
    <t>Age/Condition - Replace Boardwalks</t>
  </si>
  <si>
    <t>Other - Deferral</t>
  </si>
  <si>
    <t>$100 Mil – $125 Mil</t>
  </si>
  <si>
    <t>Abandoned</t>
  </si>
  <si>
    <t>$125 Mil - $150 Mil</t>
  </si>
  <si>
    <t>Input Error</t>
  </si>
  <si>
    <t>Emergency Event</t>
  </si>
  <si>
    <t>Age/Condition - Replace Civil Structures</t>
  </si>
  <si>
    <t>$150 Mil - $175 Mil</t>
  </si>
  <si>
    <t>Vendor Quality/Delays</t>
  </si>
  <si>
    <t>Other - Cybersecurity</t>
  </si>
  <si>
    <t>Location, Environmental Conditions</t>
  </si>
  <si>
    <t>$175 Mil - $200 Mil</t>
  </si>
  <si>
    <t>Scope Change</t>
  </si>
  <si>
    <t>Other - Remedial Action Scheme/Special Protection Scheme</t>
  </si>
  <si>
    <t>$200 Mil - $250 Mil</t>
  </si>
  <si>
    <t>$250 Mil – $300 Mil</t>
  </si>
  <si>
    <t>Other - Environmental</t>
  </si>
  <si>
    <t>Age/Condition - Replace Other T-Line Equipment</t>
  </si>
  <si>
    <t>$300 Mil - $350 Mil</t>
  </si>
  <si>
    <t>$350 Mil – $400 Mil</t>
  </si>
  <si>
    <t>Age/Condition - Replace Relays</t>
  </si>
  <si>
    <t>$400 Mil - $500 Mil</t>
  </si>
  <si>
    <t>Age/Condition - Replace SCADA/RTU</t>
  </si>
  <si>
    <t>Transmission Line - Switch</t>
  </si>
  <si>
    <t>Age/Condition - Replace Steel Poles</t>
  </si>
  <si>
    <t>Age/Condition - Replace Switches, Age/Condition - Replace Transformers</t>
  </si>
  <si>
    <t>Age/Condition - Switch Replacement - Steel</t>
  </si>
  <si>
    <t>Age/Condition - Switch Replacement - Wood</t>
  </si>
  <si>
    <t>Age/Condition - Targeted Relay Replacement</t>
  </si>
  <si>
    <t>Age/Condition - Wood Pole Reframe</t>
  </si>
  <si>
    <t>Animal Abatement</t>
  </si>
  <si>
    <t>Emergency Response - Fire Related</t>
  </si>
  <si>
    <t>GO95 Mitigation - Steel</t>
  </si>
  <si>
    <t>Line Termination</t>
  </si>
  <si>
    <t>Modular Protection and Automation Control</t>
  </si>
  <si>
    <t>NERC Compliance - GO 95</t>
  </si>
  <si>
    <t>Protection NERC Compliance</t>
  </si>
  <si>
    <t>SCADA Emergency Replacement</t>
  </si>
  <si>
    <t>Seismic Upgrade - Replace Conductor</t>
  </si>
  <si>
    <t>Special Protection Scheme</t>
  </si>
  <si>
    <t>T-Line Emergency</t>
  </si>
  <si>
    <t>Underground Emergency</t>
  </si>
  <si>
    <t>Voltage Conversion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</si>
</sst>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_(* #,##0_);_(* \(#,##0\);_(* &quot;-&quot;??_);_(@_)"/>
    <numFmt numFmtId="166" formatCode="[$-409]mmmmm\-yy;@"/>
    <numFmt numFmtId="167" formatCode="0.0%"/>
    <numFmt numFmtId="168" formatCode="0.0000"/>
    <numFmt numFmtId="169" formatCode="0.000"/>
    <numFmt numFmtId="170" formatCode="_(* #,##0.0_);_(* \(#,##0.0\);_(* &quot;-&quot;??_);_(@_)"/>
  </numFmts>
  <fonts count="46"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name val="Segoe UI"/>
      <family val="2"/>
    </font>
    <font>
      <sz val="10"/>
      <color rgb="FF000000"/>
      <name val="Times New Roman"/>
      <family val="1"/>
    </font>
    <font>
      <sz val="10"/>
      <color rgb="FF000000"/>
      <name val="Times New Roman"/>
      <family val="1"/>
    </font>
    <font>
      <b/>
      <sz val="10"/>
      <name val="Century Gothic"/>
      <family val="1"/>
    </font>
    <font>
      <b/>
      <sz val="10"/>
      <name val="Calibri"/>
      <family val="2"/>
      <scheme val="minor"/>
    </font>
    <font>
      <b/>
      <sz val="10"/>
      <color theme="1"/>
      <name val="Calibri"/>
      <family val="2"/>
      <scheme val="minor"/>
    </font>
    <font>
      <sz val="10"/>
      <name val="Calibri"/>
      <family val="2"/>
      <scheme val="minor"/>
    </font>
    <font>
      <sz val="10"/>
      <name val="Century Gothic"/>
      <family val="1"/>
    </font>
    <font>
      <sz val="10"/>
      <color theme="1"/>
      <name val="Calibri"/>
      <family val="2"/>
      <scheme val="minor"/>
    </font>
    <font>
      <sz val="10"/>
      <color rgb="FFFF0000"/>
      <name val="Calibri"/>
      <family val="2"/>
      <scheme val="minor"/>
    </font>
    <font>
      <sz val="10"/>
      <color rgb="FF212121"/>
      <name val="Century Gothic"/>
      <family val="1"/>
    </font>
    <font>
      <sz val="10"/>
      <color rgb="FFED7D31"/>
      <name val="Century Gothic"/>
      <family val="1"/>
    </font>
    <font>
      <sz val="10"/>
      <color rgb="FF4472C4"/>
      <name val="Century Gothic"/>
      <family val="1"/>
    </font>
    <font>
      <sz val="10"/>
      <color rgb="FFFF0000"/>
      <name val="Segoe UI"/>
      <family val="2"/>
    </font>
    <font>
      <sz val="9"/>
      <color rgb="FF000000"/>
      <name val="Times New Roman"/>
      <family val="1"/>
    </font>
    <font>
      <sz val="9"/>
      <name val="Times New Roman"/>
      <family val="1"/>
    </font>
    <font>
      <b/>
      <sz val="9"/>
      <name val="Segoe UI"/>
      <family val="2"/>
    </font>
    <font>
      <sz val="10"/>
      <color theme="1"/>
      <name val="Arial"/>
      <family val="2"/>
    </font>
    <font>
      <b/>
      <i/>
      <sz val="9"/>
      <name val="Times New Roman"/>
      <family val="1"/>
    </font>
    <font>
      <b/>
      <sz val="9"/>
      <name val="Times New Roman"/>
      <family val="1"/>
    </font>
    <font>
      <u/>
      <sz val="9"/>
      <name val="Times New Roman"/>
      <family val="1"/>
    </font>
    <font>
      <sz val="14"/>
      <color rgb="FF000000"/>
      <name val="Times New Roman"/>
      <family val="1"/>
    </font>
    <font>
      <b/>
      <i/>
      <sz val="12"/>
      <name val="Times New Roman"/>
      <family val="1"/>
    </font>
    <font>
      <sz val="12"/>
      <color rgb="FF000000"/>
      <name val="Times New Roman"/>
      <family val="1"/>
    </font>
    <font>
      <sz val="8"/>
      <name val="Times New Roman"/>
      <family val="1"/>
    </font>
    <font>
      <sz val="10"/>
      <color rgb="FF000000"/>
      <name val="Calibri"/>
      <family val="2"/>
      <scheme val="minor"/>
    </font>
    <font>
      <u/>
      <sz val="10"/>
      <color theme="10"/>
      <name val="Times New Roman"/>
      <family val="1"/>
    </font>
    <font>
      <sz val="10"/>
      <color theme="1"/>
      <name val="Times New Roman"/>
      <family val="1"/>
    </font>
    <font>
      <sz val="10"/>
      <color theme="1"/>
      <name val="Times New Roman"/>
      <family val="1"/>
      <charset val="204"/>
    </font>
    <font>
      <b/>
      <sz val="10"/>
      <color theme="1"/>
      <name val="Segoe UI"/>
      <family val="2"/>
    </font>
    <font>
      <b/>
      <sz val="10"/>
      <color theme="1"/>
      <name val="Calibri"/>
      <family val="2"/>
    </font>
    <font>
      <sz val="10"/>
      <color theme="1"/>
      <name val="Aptos Narrow"/>
      <family val="2"/>
    </font>
    <font>
      <u/>
      <sz val="10"/>
      <color theme="1"/>
      <name val="Times New Roman"/>
      <family val="1"/>
    </font>
    <font>
      <b/>
      <sz val="11"/>
      <name val="Calibri"/>
      <family val="2"/>
    </font>
    <font>
      <b/>
      <sz val="10"/>
      <color rgb="FF000000"/>
      <name val="Times New Roman"/>
      <family val="1"/>
    </font>
  </fonts>
  <fills count="2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FFFF"/>
        <bgColor indexed="64"/>
      </patternFill>
    </fill>
    <fill>
      <patternFill patternType="solid">
        <fgColor theme="4" tint="-0.249977111117893"/>
        <bgColor indexed="64"/>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92D050"/>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9" tint="0.39997558519241921"/>
      </top>
      <bottom style="thin">
        <color theme="9" tint="0.39997558519241921"/>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s>
  <cellStyleXfs count="42">
    <xf numFmtId="0" fontId="0" fillId="0" borderId="0"/>
    <xf numFmtId="0" fontId="9" fillId="0" borderId="0"/>
    <xf numFmtId="9" fontId="12"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28"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37" fillId="0" borderId="0" applyNumberFormat="0" applyFill="0" applyBorder="0" applyAlignment="0" applyProtection="0"/>
  </cellStyleXfs>
  <cellXfs count="133">
    <xf numFmtId="0" fontId="0" fillId="0" borderId="0" xfId="0" applyAlignment="1">
      <alignment horizontal="left" vertical="top"/>
    </xf>
    <xf numFmtId="0" fontId="14" fillId="0" borderId="0" xfId="12" applyFont="1"/>
    <xf numFmtId="0" fontId="15" fillId="0" borderId="0" xfId="12" applyFont="1"/>
    <xf numFmtId="0" fontId="14" fillId="4" borderId="0" xfId="12" applyFont="1" applyFill="1"/>
    <xf numFmtId="0" fontId="16" fillId="0" borderId="0" xfId="12" applyFont="1"/>
    <xf numFmtId="0" fontId="17" fillId="0" borderId="0" xfId="12" applyFont="1"/>
    <xf numFmtId="0" fontId="18" fillId="0" borderId="0" xfId="12" applyFont="1"/>
    <xf numFmtId="0" fontId="17" fillId="0" borderId="0" xfId="12" applyFont="1" applyAlignment="1">
      <alignment horizontal="center"/>
    </xf>
    <xf numFmtId="0" fontId="19" fillId="0" borderId="0" xfId="12" applyFont="1"/>
    <xf numFmtId="0" fontId="20" fillId="0" borderId="0" xfId="12" applyFont="1"/>
    <xf numFmtId="0" fontId="21" fillId="0" borderId="0" xfId="12" applyFont="1"/>
    <xf numFmtId="0" fontId="22" fillId="0" borderId="0" xfId="12" applyFont="1"/>
    <xf numFmtId="0" fontId="23" fillId="0" borderId="0" xfId="12" applyFont="1"/>
    <xf numFmtId="0" fontId="14" fillId="5" borderId="0" xfId="12" applyFont="1" applyFill="1"/>
    <xf numFmtId="0" fontId="25" fillId="0" borderId="0" xfId="0" applyFont="1" applyAlignment="1">
      <alignment horizontal="left" vertical="center"/>
    </xf>
    <xf numFmtId="1" fontId="25" fillId="0" borderId="0" xfId="0" applyNumberFormat="1" applyFont="1" applyAlignment="1">
      <alignment horizontal="left" vertical="center" shrinkToFit="1"/>
    </xf>
    <xf numFmtId="0" fontId="26" fillId="0" borderId="0" xfId="0" applyFont="1" applyAlignment="1">
      <alignment horizontal="left" vertical="center"/>
    </xf>
    <xf numFmtId="10" fontId="25" fillId="0" borderId="0" xfId="2" applyNumberFormat="1" applyFont="1" applyFill="1" applyBorder="1" applyAlignment="1">
      <alignment horizontal="left" vertical="center"/>
    </xf>
    <xf numFmtId="0" fontId="27" fillId="0" borderId="0" xfId="0" applyFont="1" applyAlignment="1">
      <alignment horizontal="left" vertical="center"/>
    </xf>
    <xf numFmtId="10" fontId="26" fillId="0" borderId="0" xfId="2" applyNumberFormat="1" applyFont="1" applyFill="1" applyBorder="1" applyAlignment="1">
      <alignment horizontal="left" vertical="center"/>
    </xf>
    <xf numFmtId="0" fontId="25" fillId="0" borderId="0" xfId="0" applyFont="1" applyAlignment="1">
      <alignment vertical="top" wrapText="1"/>
    </xf>
    <xf numFmtId="0" fontId="26" fillId="0" borderId="0" xfId="0" applyFont="1" applyAlignment="1">
      <alignment vertical="top" wrapText="1"/>
    </xf>
    <xf numFmtId="0" fontId="32" fillId="0" borderId="0" xfId="0" applyFont="1" applyAlignment="1">
      <alignment horizontal="left" vertical="center"/>
    </xf>
    <xf numFmtId="164" fontId="26" fillId="0" borderId="0" xfId="0" applyNumberFormat="1" applyFont="1" applyAlignment="1">
      <alignment horizontal="left" vertical="center"/>
    </xf>
    <xf numFmtId="0" fontId="33"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29" fillId="0" borderId="0" xfId="0" applyFont="1" applyAlignment="1">
      <alignment horizontal="left" vertical="center" wrapText="1"/>
    </xf>
    <xf numFmtId="0" fontId="25" fillId="0" borderId="0" xfId="0" applyFont="1" applyAlignment="1">
      <alignment horizontal="left" vertical="center" wrapText="1"/>
    </xf>
    <xf numFmtId="0" fontId="30" fillId="0" borderId="0" xfId="0" applyFont="1" applyAlignment="1">
      <alignment horizontal="left" vertical="center" wrapText="1"/>
    </xf>
    <xf numFmtId="0" fontId="26" fillId="0" borderId="0" xfId="0" applyFont="1" applyAlignment="1">
      <alignment horizontal="left" vertical="center" wrapText="1"/>
    </xf>
    <xf numFmtId="0" fontId="33" fillId="0" borderId="0" xfId="0" applyFont="1" applyAlignment="1">
      <alignment horizontal="left" vertical="center"/>
    </xf>
    <xf numFmtId="167" fontId="26" fillId="0" borderId="0" xfId="2" applyNumberFormat="1" applyFont="1" applyFill="1" applyBorder="1" applyAlignment="1">
      <alignment horizontal="left" vertical="center"/>
    </xf>
    <xf numFmtId="0" fontId="17" fillId="0" borderId="0" xfId="0" applyFont="1"/>
    <xf numFmtId="0" fontId="36" fillId="0" borderId="0" xfId="0" applyFont="1"/>
    <xf numFmtId="0" fontId="38" fillId="0" borderId="0" xfId="0" applyFont="1" applyAlignment="1">
      <alignment horizontal="left" vertical="top"/>
    </xf>
    <xf numFmtId="0" fontId="38" fillId="0" borderId="0" xfId="0" applyFont="1" applyAlignment="1">
      <alignment horizontal="left" vertical="top" wrapText="1"/>
    </xf>
    <xf numFmtId="0" fontId="38" fillId="0" borderId="0" xfId="0" applyFont="1" applyAlignment="1">
      <alignment horizontal="center" vertical="center"/>
    </xf>
    <xf numFmtId="0" fontId="38" fillId="0" borderId="0" xfId="0" applyFont="1" applyAlignment="1">
      <alignment horizontal="center" vertical="center" wrapText="1"/>
    </xf>
    <xf numFmtId="166" fontId="38" fillId="0" borderId="0" xfId="0" applyNumberFormat="1" applyFont="1" applyAlignment="1">
      <alignment horizontal="center" vertical="center"/>
    </xf>
    <xf numFmtId="2" fontId="39" fillId="0" borderId="0" xfId="29" applyNumberFormat="1" applyFont="1" applyFill="1" applyBorder="1" applyAlignment="1">
      <alignment horizontal="center" vertical="center"/>
    </xf>
    <xf numFmtId="165" fontId="38" fillId="0" borderId="0" xfId="29" applyNumberFormat="1" applyFont="1" applyFill="1" applyBorder="1" applyAlignment="1">
      <alignment horizontal="center" vertical="center"/>
    </xf>
    <xf numFmtId="49" fontId="38" fillId="0" borderId="0" xfId="0" applyNumberFormat="1" applyFont="1" applyAlignment="1">
      <alignment horizontal="center" vertical="center"/>
    </xf>
    <xf numFmtId="2" fontId="38" fillId="0" borderId="0" xfId="29" applyNumberFormat="1" applyFont="1" applyFill="1" applyBorder="1" applyAlignment="1">
      <alignment horizontal="center" vertical="center"/>
    </xf>
    <xf numFmtId="43" fontId="38" fillId="0" borderId="0" xfId="29" applyFont="1" applyFill="1" applyBorder="1" applyAlignment="1">
      <alignment horizontal="center" vertical="center"/>
    </xf>
    <xf numFmtId="9" fontId="38" fillId="0" borderId="0" xfId="2" applyFont="1" applyFill="1" applyBorder="1" applyAlignment="1">
      <alignment horizontal="center" vertical="center"/>
    </xf>
    <xf numFmtId="0" fontId="41" fillId="0" borderId="1" xfId="0" applyFont="1" applyBorder="1" applyAlignment="1">
      <alignment horizontal="center" vertical="center"/>
    </xf>
    <xf numFmtId="43" fontId="40" fillId="16" borderId="4" xfId="38" applyFont="1" applyFill="1" applyBorder="1" applyAlignment="1" applyProtection="1">
      <alignment horizontal="center" vertical="center" wrapText="1"/>
    </xf>
    <xf numFmtId="165" fontId="38" fillId="0" borderId="0" xfId="5" applyNumberFormat="1" applyFont="1" applyAlignment="1" applyProtection="1">
      <alignment horizontal="center" vertical="center"/>
    </xf>
    <xf numFmtId="165" fontId="39" fillId="0" borderId="0" xfId="0" applyNumberFormat="1" applyFont="1" applyAlignment="1">
      <alignment horizontal="center" vertical="center"/>
    </xf>
    <xf numFmtId="43" fontId="39" fillId="0" borderId="0" xfId="0" applyNumberFormat="1" applyFont="1" applyAlignment="1">
      <alignment horizontal="center" vertical="center"/>
    </xf>
    <xf numFmtId="165" fontId="39" fillId="0" borderId="0" xfId="29" applyNumberFormat="1" applyFont="1" applyFill="1" applyBorder="1" applyAlignment="1">
      <alignment horizontal="center" vertical="center"/>
    </xf>
    <xf numFmtId="0" fontId="43" fillId="0" borderId="0" xfId="41" applyFont="1" applyFill="1" applyBorder="1" applyAlignment="1">
      <alignment horizontal="center" vertical="center"/>
    </xf>
    <xf numFmtId="0" fontId="37" fillId="0" borderId="0" xfId="41" applyFill="1" applyAlignment="1">
      <alignment horizontal="left" vertical="top"/>
    </xf>
    <xf numFmtId="0" fontId="44" fillId="0" borderId="1" xfId="0" applyFont="1" applyBorder="1" applyAlignment="1">
      <alignment horizontal="left" vertical="top" wrapText="1"/>
    </xf>
    <xf numFmtId="0" fontId="44" fillId="9" borderId="3" xfId="0" applyFont="1" applyFill="1" applyBorder="1" applyAlignment="1">
      <alignment horizontal="left" vertical="top"/>
    </xf>
    <xf numFmtId="0" fontId="44" fillId="0" borderId="3" xfId="0" applyFont="1" applyBorder="1" applyAlignment="1">
      <alignment horizontal="left" vertical="top"/>
    </xf>
    <xf numFmtId="0" fontId="44" fillId="10" borderId="3" xfId="0" applyFont="1" applyFill="1" applyBorder="1" applyAlignment="1">
      <alignment horizontal="left" vertical="top"/>
    </xf>
    <xf numFmtId="0" fontId="44" fillId="11" borderId="3" xfId="0" applyFont="1" applyFill="1" applyBorder="1" applyAlignment="1">
      <alignment horizontal="left" vertical="top"/>
    </xf>
    <xf numFmtId="0" fontId="44" fillId="12" borderId="3" xfId="0" applyFont="1" applyFill="1" applyBorder="1" applyAlignment="1">
      <alignment horizontal="left" vertical="top"/>
    </xf>
    <xf numFmtId="0" fontId="44" fillId="13" borderId="3" xfId="0" applyFont="1" applyFill="1" applyBorder="1" applyAlignment="1">
      <alignment horizontal="left" vertical="top"/>
    </xf>
    <xf numFmtId="0" fontId="44" fillId="14" borderId="3" xfId="0" applyFont="1" applyFill="1" applyBorder="1" applyAlignment="1">
      <alignment horizontal="left" vertical="top"/>
    </xf>
    <xf numFmtId="0" fontId="44" fillId="15" borderId="3" xfId="0" applyFont="1" applyFill="1" applyBorder="1" applyAlignment="1">
      <alignment horizontal="left" vertical="top"/>
    </xf>
    <xf numFmtId="0" fontId="44" fillId="0" borderId="2" xfId="0" applyFont="1" applyBorder="1" applyAlignment="1">
      <alignment horizontal="left" vertical="top" wrapText="1"/>
    </xf>
    <xf numFmtId="0" fontId="27" fillId="17" borderId="6" xfId="0" applyFont="1" applyFill="1" applyBorder="1" applyAlignment="1">
      <alignment horizontal="left" vertical="top" wrapText="1"/>
    </xf>
    <xf numFmtId="0" fontId="27" fillId="17" borderId="7" xfId="0" applyFont="1" applyFill="1" applyBorder="1" applyAlignment="1">
      <alignment horizontal="left" vertical="top" wrapText="1"/>
    </xf>
    <xf numFmtId="0" fontId="27" fillId="18" borderId="6" xfId="0" applyFont="1" applyFill="1" applyBorder="1" applyAlignment="1">
      <alignment horizontal="left" vertical="top" wrapText="1"/>
    </xf>
    <xf numFmtId="0" fontId="27" fillId="6" borderId="6" xfId="0" applyFont="1" applyFill="1" applyBorder="1" applyAlignment="1">
      <alignment horizontal="left" vertical="top" wrapText="1"/>
    </xf>
    <xf numFmtId="0" fontId="27" fillId="7" borderId="6" xfId="0" applyFont="1" applyFill="1" applyBorder="1" applyAlignment="1">
      <alignment horizontal="left" vertical="top" wrapText="1"/>
    </xf>
    <xf numFmtId="0" fontId="27" fillId="8" borderId="6" xfId="0" applyFont="1" applyFill="1" applyBorder="1" applyAlignment="1">
      <alignment horizontal="left" vertical="top" wrapText="1"/>
    </xf>
    <xf numFmtId="0" fontId="27" fillId="8" borderId="7" xfId="0" applyFont="1" applyFill="1" applyBorder="1" applyAlignment="1">
      <alignment horizontal="left" vertical="top" wrapText="1"/>
    </xf>
    <xf numFmtId="0" fontId="27" fillId="0" borderId="8" xfId="0" applyFont="1" applyBorder="1" applyAlignment="1">
      <alignment horizontal="left" vertical="top" wrapText="1"/>
    </xf>
    <xf numFmtId="165" fontId="38" fillId="0" borderId="0" xfId="5" applyNumberFormat="1" applyFont="1" applyBorder="1" applyAlignment="1" applyProtection="1">
      <alignment horizontal="center" vertical="center"/>
    </xf>
    <xf numFmtId="0" fontId="11" fillId="0" borderId="0" xfId="13" applyFont="1" applyAlignment="1">
      <alignment horizontal="left" vertical="center" wrapText="1"/>
    </xf>
    <xf numFmtId="0" fontId="24" fillId="0" borderId="0" xfId="13" applyFont="1" applyAlignment="1">
      <alignment horizontal="left" vertical="center" wrapText="1"/>
    </xf>
    <xf numFmtId="0" fontId="38" fillId="0" borderId="0" xfId="0" applyFont="1" applyAlignment="1">
      <alignment vertical="center"/>
    </xf>
    <xf numFmtId="164" fontId="38" fillId="0" borderId="0" xfId="0" applyNumberFormat="1" applyFont="1" applyAlignment="1">
      <alignment horizontal="center" vertical="center"/>
    </xf>
    <xf numFmtId="0" fontId="39" fillId="0" borderId="0" xfId="0" applyFont="1" applyAlignment="1">
      <alignment horizontal="center" vertical="center"/>
    </xf>
    <xf numFmtId="1" fontId="38" fillId="0" borderId="0" xfId="0" applyNumberFormat="1" applyFont="1" applyAlignment="1">
      <alignment horizontal="center" vertical="center"/>
    </xf>
    <xf numFmtId="0" fontId="39" fillId="0" borderId="0" xfId="0" applyFont="1" applyAlignment="1">
      <alignment horizontal="center" vertical="center" wrapText="1"/>
    </xf>
    <xf numFmtId="164" fontId="39" fillId="0" borderId="0" xfId="0" applyNumberFormat="1" applyFont="1" applyAlignment="1">
      <alignment horizontal="center" vertical="center"/>
    </xf>
    <xf numFmtId="0" fontId="38" fillId="0" borderId="0" xfId="0" applyFont="1" applyAlignment="1">
      <alignment vertical="center" wrapText="1"/>
    </xf>
    <xf numFmtId="0" fontId="17" fillId="0" borderId="0" xfId="12" applyFont="1" applyAlignment="1">
      <alignment vertical="center"/>
    </xf>
    <xf numFmtId="2" fontId="38" fillId="0" borderId="0" xfId="0" applyNumberFormat="1" applyFont="1" applyAlignment="1">
      <alignment horizontal="center" vertical="center"/>
    </xf>
    <xf numFmtId="168" fontId="38" fillId="0" borderId="0" xfId="0" applyNumberFormat="1" applyFont="1" applyAlignment="1">
      <alignment horizontal="center" vertical="center"/>
    </xf>
    <xf numFmtId="0" fontId="11" fillId="0" borderId="0" xfId="13" applyFont="1" applyAlignment="1">
      <alignment vertical="center" wrapText="1"/>
    </xf>
    <xf numFmtId="164" fontId="39" fillId="0" borderId="0" xfId="0" applyNumberFormat="1" applyFont="1" applyAlignment="1">
      <alignment horizontal="center" vertical="center" wrapText="1"/>
    </xf>
    <xf numFmtId="0" fontId="39" fillId="0" borderId="0" xfId="0" applyFont="1" applyAlignment="1">
      <alignment vertical="center" wrapText="1"/>
    </xf>
    <xf numFmtId="14" fontId="38" fillId="0" borderId="0" xfId="0" applyNumberFormat="1" applyFont="1" applyAlignment="1">
      <alignment horizontal="center" vertical="center"/>
    </xf>
    <xf numFmtId="0" fontId="19" fillId="0" borderId="0" xfId="33" applyFont="1" applyAlignment="1">
      <alignment vertical="center"/>
    </xf>
    <xf numFmtId="1" fontId="39" fillId="0" borderId="0" xfId="0" applyNumberFormat="1" applyFont="1" applyAlignment="1">
      <alignment horizontal="center" vertical="center"/>
    </xf>
    <xf numFmtId="0" fontId="42" fillId="0" borderId="0" xfId="0" applyFont="1" applyAlignment="1">
      <alignment horizontal="center" vertical="center"/>
    </xf>
    <xf numFmtId="0" fontId="39" fillId="0" borderId="5" xfId="0" applyFont="1" applyBorder="1" applyAlignment="1">
      <alignment horizontal="center" vertical="center"/>
    </xf>
    <xf numFmtId="0" fontId="19" fillId="0" borderId="0" xfId="33" applyFont="1" applyAlignment="1">
      <alignment horizontal="center" vertical="center"/>
    </xf>
    <xf numFmtId="0" fontId="39" fillId="0" borderId="0" xfId="0" applyFont="1" applyAlignment="1">
      <alignment vertical="center"/>
    </xf>
    <xf numFmtId="0" fontId="39" fillId="0" borderId="0" xfId="0" applyFont="1" applyAlignment="1">
      <alignment horizontal="left" vertical="top" wrapText="1"/>
    </xf>
    <xf numFmtId="166" fontId="39" fillId="0" borderId="0" xfId="0" applyNumberFormat="1" applyFont="1" applyAlignment="1">
      <alignment horizontal="center" vertical="center"/>
    </xf>
    <xf numFmtId="0" fontId="39" fillId="0" borderId="0" xfId="0" applyFont="1" applyAlignment="1">
      <alignment horizontal="left" vertical="top"/>
    </xf>
    <xf numFmtId="9" fontId="39" fillId="0" borderId="0" xfId="0" applyNumberFormat="1" applyFont="1" applyAlignment="1">
      <alignment horizontal="center" vertical="center"/>
    </xf>
    <xf numFmtId="9" fontId="39" fillId="0" borderId="0" xfId="0" applyNumberFormat="1" applyFont="1" applyAlignment="1">
      <alignment horizontal="left" vertical="top" wrapText="1"/>
    </xf>
    <xf numFmtId="9" fontId="39" fillId="0" borderId="0" xfId="0" applyNumberFormat="1" applyFont="1" applyAlignment="1">
      <alignment horizontal="left" vertical="top"/>
    </xf>
    <xf numFmtId="9" fontId="39" fillId="0" borderId="0" xfId="2" applyFont="1" applyFill="1" applyBorder="1" applyAlignment="1">
      <alignment horizontal="center" vertical="center"/>
    </xf>
    <xf numFmtId="9" fontId="38" fillId="0" borderId="0" xfId="2" applyFont="1" applyFill="1" applyBorder="1" applyAlignment="1">
      <alignment horizontal="left" vertical="top" wrapText="1"/>
    </xf>
    <xf numFmtId="9" fontId="38" fillId="0" borderId="0" xfId="2" applyFont="1" applyFill="1" applyAlignment="1">
      <alignment horizontal="center" vertical="center"/>
    </xf>
    <xf numFmtId="9" fontId="38" fillId="0" borderId="0" xfId="0" applyNumberFormat="1" applyFont="1" applyAlignment="1">
      <alignment horizontal="center" vertical="center"/>
    </xf>
    <xf numFmtId="9" fontId="38" fillId="0" borderId="0" xfId="0" applyNumberFormat="1" applyFont="1" applyAlignment="1">
      <alignment horizontal="left" vertical="top"/>
    </xf>
    <xf numFmtId="9" fontId="38" fillId="0" borderId="0" xfId="0" applyNumberFormat="1" applyFont="1" applyAlignment="1">
      <alignment horizontal="left" vertical="top" wrapText="1"/>
    </xf>
    <xf numFmtId="165" fontId="38" fillId="0" borderId="0" xfId="29" applyNumberFormat="1" applyFont="1" applyFill="1" applyBorder="1" applyAlignment="1">
      <alignment horizontal="center" vertical="center" wrapText="1"/>
    </xf>
    <xf numFmtId="165" fontId="38" fillId="0" borderId="0" xfId="0" applyNumberFormat="1" applyFont="1" applyAlignment="1">
      <alignment horizontal="center" vertical="center"/>
    </xf>
    <xf numFmtId="43" fontId="38" fillId="0" borderId="0" xfId="0" applyNumberFormat="1" applyFont="1" applyAlignment="1">
      <alignment horizontal="center" vertical="center"/>
    </xf>
    <xf numFmtId="165" fontId="38" fillId="19" borderId="0" xfId="29" applyNumberFormat="1" applyFont="1" applyFill="1" applyBorder="1" applyAlignment="1">
      <alignment horizontal="center" vertical="center"/>
    </xf>
    <xf numFmtId="165" fontId="39" fillId="19" borderId="0" xfId="0" applyNumberFormat="1" applyFont="1" applyFill="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0" fontId="45" fillId="0" borderId="0" xfId="0" applyFont="1" applyAlignment="1">
      <alignment horizontal="center" vertical="center"/>
    </xf>
    <xf numFmtId="0" fontId="0" fillId="0" borderId="1" xfId="0" applyBorder="1" applyAlignment="1">
      <alignment horizontal="left" vertical="top"/>
    </xf>
    <xf numFmtId="0" fontId="10" fillId="0" borderId="1" xfId="0" applyFont="1" applyBorder="1" applyAlignment="1">
      <alignment horizontal="left" vertical="top" wrapText="1"/>
    </xf>
    <xf numFmtId="14" fontId="0" fillId="0" borderId="1" xfId="0" applyNumberFormat="1" applyBorder="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10" fillId="0" borderId="1" xfId="0" applyFont="1" applyBorder="1" applyAlignment="1">
      <alignment horizontal="center" vertical="top" wrapText="1"/>
    </xf>
    <xf numFmtId="0" fontId="38" fillId="19" borderId="0" xfId="0" applyFont="1" applyFill="1" applyAlignment="1">
      <alignment horizontal="center" vertical="center"/>
    </xf>
    <xf numFmtId="2" fontId="39" fillId="19" borderId="0" xfId="29" applyNumberFormat="1" applyFont="1" applyFill="1" applyBorder="1" applyAlignment="1">
      <alignment horizontal="center" vertical="center"/>
    </xf>
    <xf numFmtId="0" fontId="38" fillId="20" borderId="0" xfId="0" applyFont="1" applyFill="1" applyAlignment="1">
      <alignment horizontal="center" vertical="center"/>
    </xf>
    <xf numFmtId="2" fontId="38" fillId="20" borderId="0" xfId="0" applyNumberFormat="1" applyFont="1" applyFill="1" applyAlignment="1">
      <alignment horizontal="center" vertical="center"/>
    </xf>
    <xf numFmtId="168" fontId="38" fillId="20" borderId="0" xfId="0" applyNumberFormat="1" applyFont="1" applyFill="1" applyAlignment="1">
      <alignment horizontal="center" vertical="center"/>
    </xf>
    <xf numFmtId="169" fontId="38" fillId="20" borderId="0" xfId="0" applyNumberFormat="1" applyFont="1" applyFill="1" applyAlignment="1">
      <alignment horizontal="center" vertical="center"/>
    </xf>
    <xf numFmtId="0" fontId="39" fillId="20" borderId="0" xfId="0" applyFont="1" applyFill="1" applyAlignment="1">
      <alignment horizontal="center" vertical="center"/>
    </xf>
    <xf numFmtId="2" fontId="39" fillId="20" borderId="0" xfId="0" applyNumberFormat="1" applyFont="1" applyFill="1" applyAlignment="1">
      <alignment horizontal="center" vertical="center"/>
    </xf>
    <xf numFmtId="0" fontId="38" fillId="0" borderId="0" xfId="33" applyFont="1" applyAlignment="1">
      <alignment horizontal="center" vertical="center"/>
    </xf>
    <xf numFmtId="165" fontId="38" fillId="0" borderId="0" xfId="38" applyNumberFormat="1" applyFont="1" applyFill="1" applyBorder="1" applyAlignment="1">
      <alignment horizontal="center" vertical="center"/>
    </xf>
    <xf numFmtId="164" fontId="38" fillId="0" borderId="0" xfId="0" applyNumberFormat="1" applyFont="1" applyAlignment="1">
      <alignment horizontal="center" vertical="center" shrinkToFit="1"/>
    </xf>
    <xf numFmtId="170" fontId="38" fillId="0" borderId="0" xfId="0" applyNumberFormat="1" applyFont="1" applyAlignment="1">
      <alignment horizontal="center" vertical="center"/>
    </xf>
  </cellXfs>
  <cellStyles count="42">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Hyperlink" xfId="41" builtinId="8"/>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31">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i val="0"/>
        <strike val="0"/>
        <condense val="0"/>
        <extend val="0"/>
        <outline val="0"/>
        <shadow val="0"/>
        <u val="none"/>
        <vertAlign val="baseline"/>
        <sz val="10"/>
        <color auto="1"/>
        <name val="Century Gothic"/>
        <family val="1"/>
        <scheme val="none"/>
      </font>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none">
          <bgColor auto="1"/>
        </patternFill>
      </fill>
      <alignment horizontal="left" vertical="top" textRotation="0" wrapText="0" indent="0" justifyLastLine="0" shrinkToFit="0" readingOrder="0"/>
    </dxf>
    <dxf>
      <font>
        <strike val="0"/>
        <outline val="0"/>
        <shadow val="0"/>
        <u val="none"/>
        <vertAlign val="baseline"/>
        <sz val="10"/>
        <color theme="1"/>
        <name val="Times New Roman"/>
        <family val="1"/>
        <scheme val="none"/>
      </font>
      <numFmt numFmtId="13" formatCode="0%"/>
      <fill>
        <patternFill patternType="none">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numFmt numFmtId="13" formatCode="0%"/>
      <fill>
        <patternFill patternType="none">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rgb="FFD9D9D9"/>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rgb="FFD9D9D9"/>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numFmt numFmtId="165" formatCode="_(* #,##0_);_(* \(#,##0\);_(*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numFmt numFmtId="165" formatCode="_(* #,##0_);_(* \(#,##0\);_(*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numFmt numFmtId="165" formatCode="_(* #,##0_);_(* \(#,##0\);_(*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numFmt numFmtId="165" formatCode="_(* #,##0_);_(* \(#,##0\);_(*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numFmt numFmtId="165" formatCode="_(* #,##0_);_(* \(#,##0\);_(*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numFmt numFmtId="165" formatCode="_(* #,##0_);_(* \(#,##0\);_(* &quot;-&quot;??_);_(@_)"/>
      <fill>
        <patternFill patternType="none">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numFmt numFmtId="165" formatCode="_(* #,##0_);_(* \(#,##0\);_(* &quot;-&quot;??_);_(@_)"/>
      <fill>
        <patternFill patternType="none">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charset val="204"/>
        <scheme val="none"/>
      </font>
      <numFmt numFmtId="2" formatCode="0.0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numFmt numFmtId="166" formatCode="[$-409]mmmmm\-yy;@"/>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solid">
          <fgColor indexed="64"/>
          <bgColor theme="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general"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general"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solid">
          <fgColor indexed="64"/>
          <bgColor theme="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solid">
          <fgColor indexed="64"/>
          <bgColor theme="1"/>
        </patternFill>
      </fill>
      <alignment horizontal="center" vertical="center" textRotation="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strike val="0"/>
        <outline val="0"/>
        <shadow val="0"/>
        <u val="none"/>
        <vertAlign val="baseline"/>
        <sz val="10"/>
        <color theme="1"/>
        <name val="Times New Roman"/>
        <family val="1"/>
        <scheme val="none"/>
      </font>
      <fill>
        <patternFill patternType="none">
          <fgColor indexed="64"/>
          <bgColor auto="1"/>
        </patternFill>
      </fill>
      <alignment horizontal="center" vertical="center"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center" vertical="center" textRotation="0" indent="0" justifyLastLine="0" readingOrder="0"/>
      <protection locked="1" hidden="0"/>
    </dxf>
    <dxf>
      <border outline="0">
        <bottom style="thin">
          <color indexed="64"/>
        </bottom>
      </border>
    </dxf>
    <dxf>
      <font>
        <b/>
        <i val="0"/>
        <strike val="0"/>
        <condense val="0"/>
        <extend val="0"/>
        <outline val="0"/>
        <shadow val="0"/>
        <u val="none"/>
        <vertAlign val="baseline"/>
        <sz val="10"/>
        <color theme="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2:CM313" totalsRowShown="0" headerRowDxfId="130" dataDxfId="128" headerRowBorderDxfId="129" tableBorderDxfId="127" headerRowCellStyle="Comma 4 2">
  <autoFilter ref="A2:CM313" xr:uid="{D7CCF560-D7E2-49F7-B72D-3734175C08A0}"/>
  <tableColumns count="91">
    <tableColumn id="1" xr3:uid="{1682FA95-C79F-4E91-9C93-040812263127}" name="Row |Line No." dataDxfId="126" totalsRowDxfId="125"/>
    <tableColumn id="7" xr3:uid="{91429D39-6FAE-4347-947C-9B8AB5173463}" name=" Project Name " dataDxfId="124"/>
    <tableColumn id="8" xr3:uid="{A277DE96-F4DC-4BFA-9CD7-A7AC0F9D45E0}" name=" Latitude " dataDxfId="123"/>
    <tableColumn id="9" xr3:uid="{6D1F0153-4B7D-4AEB-A7EF-0E19DA58F5DD}" name=" Longitude " dataDxfId="122"/>
    <tableColumn id="10" xr3:uid="{FB0C7EC0-243E-4F47-8E01-A4F6B686A540}" name=" Location 2 " dataDxfId="121"/>
    <tableColumn id="11" xr3:uid="{42E31FEF-3EFA-4434-B903-42DF722F941C}" name=" Project Description " dataDxfId="120"/>
    <tableColumn id="12" xr3:uid="{45AE7496-EB99-417B-9C5E-1EC5F7A78190}" name=" Project Description - What " dataDxfId="119"/>
    <tableColumn id="13" xr3:uid="{F8F488E1-AC28-4A7D-91F0-B0C5D7FFC4B4}" name=" Project Description - Action Taken " dataDxfId="118"/>
    <tableColumn id="14" xr3:uid="{CA35864A-93DE-4209-883C-9C9D9A3296D7}" name=" Project Description - Action Taken (2) " dataDxfId="117"/>
    <tableColumn id="15" xr3:uid="{BE548E2F-AA7C-4D54-9390-AD089D8DBF2F}" name=" Project Dependencies " dataDxfId="116"/>
    <tableColumn id="16" xr3:uid="{F985DF73-7B8F-40E2-9ABC-667DA7B72B14}" name=" Primary Purpose " dataDxfId="115"/>
    <tableColumn id="17" xr3:uid="{36AC648E-1312-4509-9BFF-5941D89E08DF}" name=" Secondary Purpose " dataDxfId="114"/>
    <tableColumn id="18" xr3:uid="{08A2B7C7-0F2A-4327-8596-168906059A8B}" name=" NERC / WECC / CAISO " dataDxfId="113"/>
    <tableColumn id="19" xr3:uid="{FECF5BD5-4196-43C1-B9F5-2D42FD656BBA}" name=" NERC/WECC/CAISO Standard/Requirement/Contingency (2) " dataDxfId="112"/>
    <tableColumn id="20" xr3:uid="{2BBD6295-6B0E-4F67-B474-5201C24B3338}" name=" Last Inspection " dataDxfId="111"/>
    <tableColumn id="21" xr3:uid="{515C4310-A623-4069-952B-A16E06945A13}" name=" Age of Asset " dataDxfId="110"/>
    <tableColumn id="22" xr3:uid="{CF5E90C9-1CA7-4DD4-8455-25729235E8E6}" name=" Types of Analyses " dataDxfId="109"/>
    <tableColumn id="23" xr3:uid="{7331198C-37F1-49DA-9172-93C95F99273B}" name=" Alternative Solutions and Costs - Solutions " dataDxfId="108"/>
    <tableColumn id="24" xr3:uid="{2CDCC552-B6BB-4C6C-9E43-E303279327BE}" name=" Alternative Solutions and Costs - Costs " dataDxfId="107"/>
    <tableColumn id="25" xr3:uid="{EF015C81-8083-4082-97E4-87AC7A0BBDF3}" name=" CPUC Fire Threat " dataDxfId="106"/>
    <tableColumn id="26" xr3:uid="{BD0D970B-DEE9-488E-B29B-6711D9673642}" name=" Wildfire Related " dataDxfId="105"/>
    <tableColumn id="27" xr3:uid="{257CF80C-AAAC-437D-9B7D-4836FC87C260}" name=" RAMP " dataDxfId="104"/>
    <tableColumn id="28" xr3:uid="{20A4267B-5A32-4507-80AE-EE5D594F3C77}" name=" Other Environmental Factors " dataDxfId="103"/>
    <tableColumn id="29" xr3:uid="{9F8DC949-A17B-4E1D-A003-560FDC793E5B}" name=" Project Manager2 " dataDxfId="102"/>
    <tableColumn id="31" xr3:uid="{FEE09CE5-A16F-40A2-87D7-8A51D8E502CC}" name=" Transmission Project Size " dataDxfId="101"/>
    <tableColumn id="32" xr3:uid="{E88313FF-9FFB-4E75-8813-5515D2FFCD85}" name=" Substation Project " dataDxfId="100"/>
    <tableColumn id="33" xr3:uid="{93D164E4-2018-453B-B786-D2AB689E1F3B}" name=" Transmission Voltage " dataDxfId="99"/>
    <tableColumn id="34" xr3:uid="{7866546F-90A0-4B9D-9C3E-7071C4B1DE0E}" name=" Substation or Transformer Capacity (MVA and/or kV) " dataDxfId="98"/>
    <tableColumn id="35" xr3:uid="{494BF761-6336-4274-9C3D-498465668ECF}" name=" Utility Prioritization Ranking " dataDxfId="97"/>
    <tableColumn id="3" xr3:uid="{52AD3877-5613-4194-9C15-FAC43148E82A}" name=" Work Order (Utility Unique ID #1)" dataDxfId="96"/>
    <tableColumn id="5" xr3:uid="{E335DEAD-0C42-4ECC-999E-DE5FD612CE22}" name=" Project ID (Utility Unique ID #2) " dataDxfId="95"/>
    <tableColumn id="36" xr3:uid="{8DE59B4B-DA74-4BE1-B633-A4DD5D305693}" name=" Budget Code (Utility Unique ID #3) " dataDxfId="94"/>
    <tableColumn id="39" xr3:uid="{1EB8F124-B4CA-4B59-B89E-9C53046E6D4F}" name=" Changes in Unique IDs " dataDxfId="93"/>
    <tableColumn id="40" xr3:uid="{DDBD6DA0-C089-436B-BB05-B066802DE180}" name=" Utility Approval " dataDxfId="92"/>
    <tableColumn id="41" xr3:uid="{B520D2F1-A534-4B03-8280-CB524B414970}" name=" Year of Internal Utility " dataDxfId="91"/>
    <tableColumn id="42" xr3:uid="{B24C68FB-3F79-4B60-A9CF-B33A7E1F9CC3}" name=" Process(es) for Utility Approval " dataDxfId="90"/>
    <tableColumn id="43" xr3:uid="{3A186B59-5A73-4445-B692-E8F2D990CF3E}" name=" Long term Transmission Investment Plan Inclusion " dataDxfId="89"/>
    <tableColumn id="44" xr3:uid="{8527B718-5B7D-4EC4-97A3-AAC9F2138EDB}" name=" CAISO Year " dataDxfId="88"/>
    <tableColumn id="45" xr3:uid="{0CDDF017-CB76-43D4-932E-B5F8353AC4F0}" name=" Transmission Planning Process (&quot;TPP&quot;) Phase 3 " dataDxfId="87"/>
    <tableColumn id="46" xr3:uid="{AFB80420-815E-4118-B226-418F6D77E3E8}" name=" Year(s) when considered in CAISO TPP " dataDxfId="86"/>
    <tableColumn id="47" xr3:uid="{38A7A660-8067-4D7F-8AA5-752D8361F9C3}" name=" Year when expected to be considered in CAISO TPP " dataDxfId="85"/>
    <tableColumn id="48" xr3:uid="{87B47F1C-9962-4243-8971-DC942352BB22}" name=" Link to TPP where project " dataDxfId="84"/>
    <tableColumn id="49" xr3:uid="{AD641853-B332-4B51-A7CC-FD08A82D9569}" name=" Generator Interconnection and Deliverability Allocation Procedures (GIDAP) Related " dataDxfId="83"/>
    <tableColumn id="50" xr3:uid="{8D6DF2DA-538F-4549-B4EC-48A4C2C00737}" name=" CEQA Status " dataDxfId="82"/>
    <tableColumn id="51" xr3:uid="{F64032A4-21BF-4689-861A-A918A613AE7C}" name=" CEQA Status - Date " dataDxfId="81"/>
    <tableColumn id="52" xr3:uid="{09910675-6F4A-46D1-9FEB-027830230E4F}" name=" CEQA Document Type " dataDxfId="80"/>
    <tableColumn id="53" xr3:uid="{49638146-8F66-40C8-A982-31DDC82D3666}" name=" NEPA Document Type " dataDxfId="79"/>
    <tableColumn id="54" xr3:uid="{8784FEA5-E839-43EF-BE6B-32E921E484A8}" name=" CEQA Lead Agency " dataDxfId="78"/>
    <tableColumn id="55" xr3:uid="{9DDD1F8C-49A9-44D2-9CF1-7DD774314477}" name=" NEPA Lead Agency " dataDxfId="77"/>
    <tableColumn id="56" xr3:uid="{D05E0A04-F76C-4AC0-8D40-FF4306CAC1E5}" name=" CPUC Filing Type " dataDxfId="76"/>
    <tableColumn id="57" xr3:uid="{19EB0319-2910-4B90-91C0-F3539908DBA0}" name=" CPUC Date Filed " dataDxfId="75"/>
    <tableColumn id="58" xr3:uid="{9193E058-E359-4933-8998-B55BF1BF7B71}" name=" CPUC Status " dataDxfId="74"/>
    <tableColumn id="59" xr3:uid="{F2DA429B-3929-44B6-B468-F48F9E9B72C6}" name=" CPUC Status: Year " dataDxfId="73"/>
    <tableColumn id="60" xr3:uid="{07F15511-8BB5-4AEA-BD3E-2B4451CA9C73}" name=" Project Status " dataDxfId="72"/>
    <tableColumn id="62" xr3:uid="{2C1DEF0B-0C2D-47A0-B5D0-7A639A766D35}" name=" AACE Class " dataDxfId="71"/>
    <tableColumn id="63" xr3:uid="{B7761709-CACC-4270-92A8-83AD556F6459}" name=" Construction Start Date " dataDxfId="70"/>
    <tableColumn id="64" xr3:uid="{77A7D838-3B6F-43D9-ACE4-0BD2C63BF477}" name="Original Planned In-Service Date" dataDxfId="69"/>
    <tableColumn id="65" xr3:uid="{A93C0B00-4A96-40E9-BF76-3E50BDACACDA}" name="Current Projected or Actual In-Service Date" dataDxfId="68"/>
    <tableColumn id="66" xr3:uid="{9647D0AC-C2FA-4507-A4FE-C5C18577428E}" name="Reason for Change in In-Service Date" dataDxfId="67"/>
    <tableColumn id="67" xr3:uid="{7E147A15-D3CB-4036-9086-4539B0DE8244}" name="Reason for Change in In-Service Date (2)" dataDxfId="66"/>
    <tableColumn id="68" xr3:uid="{B1C34519-CAE5-43D4-8584-6325359ACAC6}" name=" In-Flight Projects " dataDxfId="65" dataCellStyle="Comma 2 2 2"/>
    <tableColumn id="69" xr3:uid="{DCE19A2B-954A-4CD7-88ED-FD0498871F4B}" name=" Original Projected Cost or " dataDxfId="64"/>
    <tableColumn id="70" xr3:uid="{7245DC57-E542-4831-88DF-FE94FD8F5000}" name=" Cost Cap ($000) " dataDxfId="63"/>
    <tableColumn id="71" xr3:uid="{71E6877A-374E-43BE-A881-CD739A77F0E4}" name=" Current Projected Total or Actual Final Cost ($000) " dataDxfId="62" dataCellStyle="Comma 2 2 2"/>
    <tableColumn id="72" xr3:uid="{84262431-A683-4CC5-8382-F7E0C2D4AE54}" name=" 2019 Actual Capital Expenditures ($000) " dataDxfId="61"/>
    <tableColumn id="73" xr3:uid="{BDBA63C8-1CA5-4F9C-AB77-142EEB6BAF0D}" name=" 2020 Actual Capital Expenditures ($000) " dataDxfId="60"/>
    <tableColumn id="74" xr3:uid="{41EDBCA3-3714-4C0D-9D93-385EFBB3F768}" name=" 2021 Actual Capital Expenditures ($000) " dataDxfId="59"/>
    <tableColumn id="75" xr3:uid="{88FE100F-D109-4097-B7C6-63260807A764}" name=" 2022 Actual Capital Expenditures ($000) " dataDxfId="58" dataCellStyle="Comma 2 2 2"/>
    <tableColumn id="76" xr3:uid="{AB4CD1EF-BFC9-4187-AC46-FDBD44176339}" name=" 2023 Actual Capital Expenditures ($000) " dataDxfId="57"/>
    <tableColumn id="78" xr3:uid="{32D5D604-AF33-4696-B33B-E7FC965FEC39}" name=" 2024 Projected Capital Expenditures ($000) " dataDxfId="56"/>
    <tableColumn id="79" xr3:uid="{4C6A0588-1FE3-49F3-99A2-B0F550ACC6C8}" name=" 2025 Projected Capital Expenditures ($000) " dataDxfId="55"/>
    <tableColumn id="80" xr3:uid="{28EFCCBC-664F-46B8-B551-87C749DA967C}" name=" 2026 Projected Capital Expenditures ($000) " dataDxfId="54"/>
    <tableColumn id="81" xr3:uid="{B31990E5-6BDB-4E86-B6C1-B0C4168FDC4A}" name=" 2027 Projected Capital Expenditures ($000) " dataDxfId="53"/>
    <tableColumn id="82" xr3:uid="{0C3B4FD4-DDDD-462A-BBCD-16C88CBC2287}" name=" 2028 Projected Capital Expenditures ($000) " dataDxfId="52"/>
    <tableColumn id="83" xr3:uid="{DE47F363-39A3-4F98-A683-C5AC05054ECA}" name=" Construction Work in Progress Expenditures " dataDxfId="51"/>
    <tableColumn id="84" xr3:uid="{379A30B7-F814-49FA-8E7D-D27584060628}" name=" Accrued Overhead " dataDxfId="50"/>
    <tableColumn id="85" xr3:uid="{D4E9D485-051C-4962-AA21-38C305E6A9C5}" name=" Accrued AFUDC " dataDxfId="49"/>
    <tableColumn id="86" xr3:uid="{5C9A96DB-3A89-48DF-BE61-5294A071DCC5}" name=" FERC: Year(s) " dataDxfId="48"/>
    <tableColumn id="87" xr3:uid="{2F7BB4CF-899D-4F25-942D-009E652EBA9E}" name=" 2020 Actual FERC Dollars Ratebased ($000) " dataDxfId="47" dataCellStyle="Comma 2 2 2"/>
    <tableColumn id="88" xr3:uid="{20522731-34DE-44BB-85A9-5FB25925820C}" name=" 2021 Actual FERC Dollars Ratebased ($000) " dataDxfId="46" dataCellStyle="Comma 2 2 2"/>
    <tableColumn id="89" xr3:uid="{2B00B988-3282-4568-8D72-4E2A5D3F79C7}" name=" 2022 Actual FERC Dollars Ratebased ($000) " dataDxfId="45" dataCellStyle="Comma 2 2 2"/>
    <tableColumn id="90" xr3:uid="{FDCA1D81-07BC-4986-919C-085C6E44F126}" name=" 2023 Actual FERC Dollars Ratebased ($000) " dataDxfId="44" dataCellStyle="Comma 2 2 2"/>
    <tableColumn id="92" xr3:uid="{E15A8D8E-9EE9-444D-BB29-FCB7CDAD1B6E}" name=" Dollars Put into FERC Rate Base January - April 2024 ($000) " dataDxfId="43" dataCellStyle="Comma 2 2 2"/>
    <tableColumn id="2" xr3:uid="{A31EB2B8-CA24-4E3A-A0E0-EA1B2EAE949D}" name=" 2024 Projected FERC Dollars Ratebased ($000) " dataDxfId="42" dataCellStyle="Comma 2 2 2"/>
    <tableColumn id="93" xr3:uid="{410C1E6A-D7C8-407E-997D-C51D7291F7EC}" name=" Percentage of Bid " dataDxfId="41" dataCellStyle="Percent"/>
    <tableColumn id="94" xr3:uid="{591BDADD-1B7C-4746-8549-53A424273F34}" name=" Percentage of Work " dataDxfId="40" dataCellStyle="Percent"/>
    <tableColumn id="95" xr3:uid="{1C1F6DCA-9CBC-4BA4-B598-0A441D12685B}" name=" Cost-Benefit Analysis " dataDxfId="39"/>
    <tableColumn id="96" xr3:uid="{E162A370-4F83-431D-A263-D37CD7B7EC59}" name=" FERC Incentives " dataDxfId="38"/>
    <tableColumn id="97" xr3:uid="{B64620E9-2998-4FBD-8FB1-A14EC2BF56DA}" name=" Percentage of Cost in " dataDxfId="37"/>
    <tableColumn id="98" xr3:uid="{C077069D-3B01-4549-B485-C034905904D5}" name=" Percentage of Cost in Low " dataDxfId="36"/>
    <tableColumn id="99" xr3:uid="{45B0AB6D-65D8-4C82-A285-F2A8E17442C3}" name=" Notes " dataDxfId="35" totalsRowDxfId="3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33" dataDxfId="32" totalsRowDxfId="31">
  <autoFilter ref="A1:G93" xr:uid="{CEE89C3A-3F24-430C-B083-E731E00997CF}"/>
  <tableColumns count="7">
    <tableColumn id="12" xr3:uid="{E3151125-F41B-4DD6-83C9-5BF618352366}" name="Category" dataDxfId="30" totalsRowDxfId="29"/>
    <tableColumn id="14" xr3:uid="{F562BA17-E811-4DB9-8D6E-7AD2D8697EBA}" name="Sorting Order" dataDxfId="28" totalsRowDxfId="27"/>
    <tableColumn id="1" xr3:uid="{AEE55157-47D6-4F53-AE55-13D58216EC28}" name="Data Field #" dataDxfId="26" totalsRowDxfId="25"/>
    <tableColumn id="2" xr3:uid="{5E9E7E33-0C25-4481-932E-B7721014DA52}" name="Transmission Project Data Field" dataDxfId="24" totalsRowDxfId="23"/>
    <tableColumn id="3" xr3:uid="{FA315E62-EC0C-4B39-A8C1-70CF3656081F}" name="Format" dataDxfId="22" totalsRowDxfId="21"/>
    <tableColumn id="4" xr3:uid="{F15CC206-F875-4744-AFDC-7435064A6804}" name="Example" dataDxfId="20" totalsRowDxfId="19"/>
    <tableColumn id="5" xr3:uid="{F5773608-2E09-4795-8A9A-8271A0ED7E3E}" name="Input Terms and Descriptions" dataDxfId="18" totalsRowDxfId="1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C7679D-F022-4D31-A5B8-A7547B62A4F4}" name="Table5" displayName="Table5" ref="A1:O78" totalsRowShown="0" headerRowDxfId="16" dataDxfId="15" headerRowCellStyle="Normal 4" dataCellStyle="Normal 4">
  <autoFilter ref="A1:O78" xr:uid="{D89E577E-1B1B-4593-BB48-075353C8F495}"/>
  <tableColumns count="15">
    <tableColumn id="1" xr3:uid="{5A92E20E-6E83-4D5E-BD70-7B19C9A7BE84}" name="06. Project Description - What" dataDxfId="14" dataCellStyle="Normal 4"/>
    <tableColumn id="2" xr3:uid="{B457836C-14CF-453C-BE94-8C920A3242C6}" name="07. Project Description - Action taken" dataDxfId="13" dataCellStyle="Normal 4"/>
    <tableColumn id="3" xr3:uid="{1C5A50CA-1647-405D-8711-1FA1765B32C0}" name="09. Primary Purpose" dataDxfId="12" dataCellStyle="Normal 4"/>
    <tableColumn id="4" xr3:uid="{420E42A4-ABE6-4DCF-B761-398E70B42F11}" name="10. Secondary Purpose" dataDxfId="11" dataCellStyle="Normal 4"/>
    <tableColumn id="5" xr3:uid="{86BD35A5-017C-4763-BC0E-9DBD5B935D8A}" name="11. NERC/WECC/CAISO Standard/Requirement/Contingency" dataDxfId="10" dataCellStyle="Normal 4"/>
    <tableColumn id="6" xr3:uid="{73BA2658-5278-45FA-B1AF-0D34D4F2294A}" name="14. Types of Analyses" dataDxfId="9" dataCellStyle="Normal 4"/>
    <tableColumn id="7" xr3:uid="{234E42C2-AC5C-422C-BF38-5EE780AA2452}" name="15a. Alternative Solutions and Costs - Solutions" dataDxfId="8" dataCellStyle="Normal 4"/>
    <tableColumn id="8" xr3:uid="{C9F6E2F3-5929-4E8C-A4EB-4382C007803D}" name="15b. Alternative Solutions and Costs - Costs" dataDxfId="7" dataCellStyle="Normal 4"/>
    <tableColumn id="9" xr3:uid="{D3DCFCD9-55FF-42DB-9268-3CEC5EA4620F}" name="40. CEQA Status" dataDxfId="6" dataCellStyle="Normal 4"/>
    <tableColumn id="10" xr3:uid="{E7543112-36A2-4B46-94AE-A1EFCD5D3641}" name="41a. CEQA Document Type" dataDxfId="5" dataCellStyle="Normal 4"/>
    <tableColumn id="11" xr3:uid="{39EE157D-DB73-440F-AA62-B7E6590994C2}" name="41b. NEPA Document Type" dataDxfId="4" dataCellStyle="Normal 4"/>
    <tableColumn id="12" xr3:uid="{B4C3CC0C-EDCF-478C-A4A1-FA5913643235}" name="45. CPUC Status" dataDxfId="3" dataCellStyle="Normal 4"/>
    <tableColumn id="13" xr3:uid="{06BFF4ED-E222-4BD3-A9ED-725AF93C2A58}" name="47. Project Status" dataDxfId="2" dataCellStyle="Normal 4"/>
    <tableColumn id="14" xr3:uid="{D268014A-3FEC-4A68-92CE-68DAE6C50947}" name="48. AACE Class" dataDxfId="1" dataCellStyle="Normal 4"/>
    <tableColumn id="15" xr3:uid="{EB27FA4D-546C-4879-92A0-DA4508CDFBBC}" name="52. Reason for Change in In-Service Date" dataDxfId="0" dataCellStyle="Normal 4"/>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keholdercenter.caiso.com/RecurringStakeholderProcesses/2022-2023-Transmission-planning-process" TargetMode="External"/><Relationship Id="rId1" Type="http://schemas.openxmlformats.org/officeDocument/2006/relationships/hyperlink" Target="https://www.caiso.com/planning/Pages/TransmissionPlanning/2017-2018TransmissionPlanningProcess.aspx" TargetMode="External"/><Relationship Id="rId5" Type="http://schemas.microsoft.com/office/2019/04/relationships/namedSheetView" Target="../namedSheetViews/namedSheetView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16EC-451A-482E-AD4C-57A1B2567CDA}">
  <dimension ref="A1:D13"/>
  <sheetViews>
    <sheetView workbookViewId="0">
      <selection activeCell="C7" sqref="C7"/>
    </sheetView>
  </sheetViews>
  <sheetFormatPr defaultRowHeight="13" x14ac:dyDescent="0.3"/>
  <cols>
    <col min="1" max="1" width="9.796875" customWidth="1"/>
    <col min="2" max="2" width="14.69921875" style="118" customWidth="1"/>
    <col min="3" max="3" width="42.19921875" style="119" customWidth="1"/>
    <col min="4" max="4" width="15.296875" style="118" bestFit="1" customWidth="1"/>
  </cols>
  <sheetData>
    <row r="1" spans="1:4" s="114" customFormat="1" ht="24.65" customHeight="1" x14ac:dyDescent="0.3">
      <c r="A1" s="112" t="s">
        <v>0</v>
      </c>
      <c r="B1" s="113" t="s">
        <v>1</v>
      </c>
      <c r="C1" s="112" t="s">
        <v>2</v>
      </c>
      <c r="D1" s="113" t="s">
        <v>3</v>
      </c>
    </row>
    <row r="2" spans="1:4" ht="130" x14ac:dyDescent="0.3">
      <c r="A2" s="115">
        <v>1</v>
      </c>
      <c r="B2" s="120" t="s">
        <v>4</v>
      </c>
      <c r="C2" s="116" t="s">
        <v>5</v>
      </c>
      <c r="D2" s="117">
        <v>45539</v>
      </c>
    </row>
    <row r="3" spans="1:4" ht="39" x14ac:dyDescent="0.3">
      <c r="A3" s="115">
        <v>2</v>
      </c>
      <c r="B3" s="120" t="s">
        <v>6</v>
      </c>
      <c r="C3" s="116" t="s">
        <v>7</v>
      </c>
      <c r="D3" s="117">
        <v>45539</v>
      </c>
    </row>
    <row r="4" spans="1:4" ht="52" x14ac:dyDescent="0.3">
      <c r="A4" s="115">
        <v>3</v>
      </c>
      <c r="B4" s="120" t="s">
        <v>8</v>
      </c>
      <c r="C4" s="116" t="s">
        <v>9</v>
      </c>
      <c r="D4" s="117">
        <v>45539</v>
      </c>
    </row>
    <row r="5" spans="1:4" ht="39" x14ac:dyDescent="0.3">
      <c r="A5" s="115">
        <v>4</v>
      </c>
      <c r="B5" s="120" t="s">
        <v>10</v>
      </c>
      <c r="C5" s="116" t="s">
        <v>11</v>
      </c>
      <c r="D5" s="117">
        <v>45539</v>
      </c>
    </row>
    <row r="6" spans="1:4" ht="39" x14ac:dyDescent="0.3">
      <c r="A6" s="115">
        <v>5</v>
      </c>
      <c r="B6" s="120" t="s">
        <v>12</v>
      </c>
      <c r="C6" s="116" t="s">
        <v>13</v>
      </c>
      <c r="D6" s="117">
        <v>45539</v>
      </c>
    </row>
    <row r="7" spans="1:4" ht="39" x14ac:dyDescent="0.3">
      <c r="A7" s="115">
        <v>6</v>
      </c>
      <c r="B7" s="120" t="s">
        <v>14</v>
      </c>
      <c r="C7" s="116" t="s">
        <v>15</v>
      </c>
      <c r="D7" s="117">
        <v>45539</v>
      </c>
    </row>
    <row r="8" spans="1:4" ht="39" x14ac:dyDescent="0.3">
      <c r="A8" s="115">
        <v>7</v>
      </c>
      <c r="B8" s="120" t="s">
        <v>16</v>
      </c>
      <c r="C8" s="116" t="s">
        <v>17</v>
      </c>
      <c r="D8" s="117">
        <v>45539</v>
      </c>
    </row>
    <row r="9" spans="1:4" ht="39" x14ac:dyDescent="0.3">
      <c r="A9" s="115">
        <v>8</v>
      </c>
      <c r="B9" s="120" t="s">
        <v>18</v>
      </c>
      <c r="C9" s="116" t="s">
        <v>19</v>
      </c>
      <c r="D9" s="117">
        <v>45539</v>
      </c>
    </row>
    <row r="10" spans="1:4" ht="39" x14ac:dyDescent="0.3">
      <c r="A10" s="115">
        <v>9</v>
      </c>
      <c r="B10" s="120" t="s">
        <v>20</v>
      </c>
      <c r="C10" s="116" t="s">
        <v>21</v>
      </c>
      <c r="D10" s="117">
        <v>45540</v>
      </c>
    </row>
    <row r="11" spans="1:4" ht="26" x14ac:dyDescent="0.3">
      <c r="A11" s="115">
        <v>10</v>
      </c>
      <c r="B11" s="120" t="s">
        <v>20</v>
      </c>
      <c r="C11" s="116" t="s">
        <v>22</v>
      </c>
      <c r="D11" s="117">
        <v>45540</v>
      </c>
    </row>
    <row r="12" spans="1:4" ht="26" x14ac:dyDescent="0.3">
      <c r="A12" s="115">
        <v>11</v>
      </c>
      <c r="B12" s="120" t="s">
        <v>20</v>
      </c>
      <c r="C12" s="116" t="s">
        <v>23</v>
      </c>
      <c r="D12" s="117">
        <v>45540</v>
      </c>
    </row>
    <row r="13" spans="1:4" ht="26" x14ac:dyDescent="0.3">
      <c r="A13" s="115">
        <v>12</v>
      </c>
      <c r="B13" s="120" t="s">
        <v>20</v>
      </c>
      <c r="C13" s="116" t="s">
        <v>24</v>
      </c>
      <c r="D13" s="117">
        <v>45540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M314"/>
  <sheetViews>
    <sheetView tabSelected="1" zoomScale="80" zoomScaleNormal="80" workbookViewId="0">
      <pane xSplit="2" topLeftCell="C1" activePane="topRight" state="frozen"/>
      <selection pane="topRight" activeCell="F2" sqref="F2"/>
    </sheetView>
  </sheetViews>
  <sheetFormatPr defaultColWidth="9.296875" defaultRowHeight="12.75" customHeight="1" outlineLevelCol="1" x14ac:dyDescent="0.3"/>
  <cols>
    <col min="1" max="1" width="17" style="37" customWidth="1"/>
    <col min="2" max="2" width="65" style="38" customWidth="1" outlineLevel="1"/>
    <col min="3" max="3" width="24.19921875" style="37" customWidth="1" outlineLevel="1"/>
    <col min="4" max="4" width="31.69921875" style="37" customWidth="1" outlineLevel="1"/>
    <col min="5" max="5" width="44.796875" style="37" customWidth="1" outlineLevel="1"/>
    <col min="6" max="6" width="119.5" style="35" customWidth="1" outlineLevel="1"/>
    <col min="7" max="7" width="46.69921875" style="37" customWidth="1" outlineLevel="1"/>
    <col min="8" max="8" width="46.5" style="37" customWidth="1" outlineLevel="1"/>
    <col min="9" max="9" width="43" style="37" customWidth="1" outlineLevel="1"/>
    <col min="10" max="10" width="31.19921875" style="37" customWidth="1" outlineLevel="1"/>
    <col min="11" max="11" width="42.19921875" style="37" customWidth="1" outlineLevel="1"/>
    <col min="12" max="12" width="55.296875" style="37" customWidth="1" outlineLevel="1"/>
    <col min="13" max="13" width="31.19921875" style="37" customWidth="1" outlineLevel="1"/>
    <col min="14" max="14" width="32.19921875" style="37" customWidth="1" outlineLevel="1"/>
    <col min="15" max="15" width="22.296875" style="37" customWidth="1" outlineLevel="1"/>
    <col min="16" max="16" width="20.796875" style="37" customWidth="1" outlineLevel="1"/>
    <col min="17" max="17" width="46.296875" style="37" customWidth="1" outlineLevel="1"/>
    <col min="18" max="19" width="41.5" style="37" customWidth="1" outlineLevel="1"/>
    <col min="20" max="20" width="29.5" style="37" customWidth="1" outlineLevel="1"/>
    <col min="21" max="21" width="29.296875" style="37" customWidth="1" outlineLevel="1"/>
    <col min="22" max="22" width="18.296875" style="37" customWidth="1" outlineLevel="1"/>
    <col min="23" max="23" width="30.19921875" style="37" customWidth="1" outlineLevel="1"/>
    <col min="24" max="24" width="31.5" style="37" customWidth="1" outlineLevel="1"/>
    <col min="25" max="25" width="19.19921875" style="37" customWidth="1" outlineLevel="1"/>
    <col min="26" max="26" width="18.5" style="37" customWidth="1" outlineLevel="1"/>
    <col min="27" max="27" width="15.296875" style="42" customWidth="1" outlineLevel="1"/>
    <col min="28" max="28" width="34.19921875" style="37" customWidth="1" outlineLevel="1"/>
    <col min="29" max="29" width="18.5" style="37" customWidth="1" outlineLevel="1"/>
    <col min="30" max="30" width="35.796875" style="37" customWidth="1" outlineLevel="1"/>
    <col min="31" max="32" width="40" style="37" customWidth="1" outlineLevel="1"/>
    <col min="33" max="33" width="51.296875" style="37" customWidth="1" outlineLevel="1"/>
    <col min="34" max="34" width="16" style="37" customWidth="1"/>
    <col min="35" max="35" width="15.5" style="37" customWidth="1"/>
    <col min="36" max="36" width="29.69921875" style="37" customWidth="1"/>
    <col min="37" max="37" width="14.796875" style="37" customWidth="1"/>
    <col min="38" max="38" width="16.296875" style="37" customWidth="1"/>
    <col min="39" max="39" width="16.19921875" style="37" customWidth="1"/>
    <col min="40" max="40" width="18.796875" style="37" customWidth="1"/>
    <col min="41" max="41" width="22.5" style="37" customWidth="1"/>
    <col min="42" max="42" width="30.19921875" style="37" customWidth="1"/>
    <col min="43" max="43" width="42.19921875" style="37" customWidth="1"/>
    <col min="44" max="44" width="19.5" style="37" customWidth="1"/>
    <col min="45" max="45" width="13.796875" style="37" customWidth="1"/>
    <col min="46" max="46" width="24.296875" style="37" customWidth="1"/>
    <col min="47" max="47" width="24.19921875" style="37" customWidth="1"/>
    <col min="48" max="48" width="22.19921875" style="37" customWidth="1"/>
    <col min="49" max="49" width="21.796875" style="37" customWidth="1"/>
    <col min="50" max="50" width="19.796875" style="37" customWidth="1"/>
    <col min="51" max="51" width="14.5" style="37" customWidth="1"/>
    <col min="52" max="52" width="15.796875" style="37" customWidth="1"/>
    <col min="53" max="53" width="13" style="37" customWidth="1"/>
    <col min="54" max="54" width="30.69921875" style="37" customWidth="1"/>
    <col min="55" max="55" width="17.19921875" style="37" customWidth="1"/>
    <col min="56" max="56" width="13.796875" style="37" customWidth="1"/>
    <col min="57" max="57" width="13.19921875" style="37" customWidth="1"/>
    <col min="58" max="58" width="20.5" style="39" customWidth="1"/>
    <col min="59" max="59" width="32.796875" style="37" customWidth="1"/>
    <col min="60" max="60" width="23.796875" style="37" customWidth="1"/>
    <col min="61" max="61" width="15.796875" style="37" customWidth="1"/>
    <col min="62" max="62" width="13" style="37" customWidth="1"/>
    <col min="63" max="64" width="15.796875" style="37" customWidth="1"/>
    <col min="65" max="65" width="15.69921875" style="37" customWidth="1"/>
    <col min="66" max="66" width="14.69921875" style="37" customWidth="1"/>
    <col min="67" max="68" width="13.19921875" style="37" customWidth="1"/>
    <col min="69" max="69" width="16.5" style="37" customWidth="1"/>
    <col min="70" max="70" width="18.796875" style="37" customWidth="1"/>
    <col min="71" max="72" width="15.69921875" style="37" customWidth="1"/>
    <col min="73" max="73" width="16.5" style="37" customWidth="1"/>
    <col min="74" max="74" width="15.19921875" style="37" customWidth="1"/>
    <col min="75" max="75" width="14.296875" style="37" customWidth="1"/>
    <col min="76" max="76" width="15.796875" style="37" customWidth="1"/>
    <col min="77" max="77" width="17" style="37" customWidth="1"/>
    <col min="78" max="78" width="29.5" style="37" customWidth="1"/>
    <col min="79" max="79" width="14.796875" style="48" customWidth="1"/>
    <col min="80" max="80" width="14.19921875" style="37" customWidth="1"/>
    <col min="81" max="81" width="16.19921875" style="37" customWidth="1"/>
    <col min="82" max="82" width="16.296875" style="37" customWidth="1"/>
    <col min="83" max="84" width="16.5" style="37" customWidth="1"/>
    <col min="85" max="85" width="13.5" style="37" customWidth="1"/>
    <col min="86" max="86" width="20.796875" style="37" customWidth="1"/>
    <col min="87" max="87" width="24.5" style="37" customWidth="1"/>
    <col min="88" max="88" width="14" style="37" customWidth="1"/>
    <col min="89" max="89" width="15.5" style="37" customWidth="1"/>
    <col min="90" max="90" width="18.796875" style="37" customWidth="1"/>
    <col min="91" max="91" width="202" style="36" customWidth="1" collapsed="1"/>
    <col min="92" max="16384" width="9.296875" style="37"/>
  </cols>
  <sheetData>
    <row r="1" spans="1:91" s="38" customFormat="1" ht="15" customHeight="1" x14ac:dyDescent="0.3">
      <c r="A1" s="46">
        <v>1</v>
      </c>
      <c r="B1" s="54">
        <v>2</v>
      </c>
      <c r="C1" s="55" t="s">
        <v>25</v>
      </c>
      <c r="D1" s="55" t="s">
        <v>26</v>
      </c>
      <c r="E1" s="56">
        <v>4</v>
      </c>
      <c r="F1" s="56">
        <v>5</v>
      </c>
      <c r="G1" s="56">
        <v>6</v>
      </c>
      <c r="H1" s="56">
        <v>7</v>
      </c>
      <c r="I1" s="56">
        <v>7</v>
      </c>
      <c r="J1" s="56">
        <v>8</v>
      </c>
      <c r="K1" s="56">
        <v>9</v>
      </c>
      <c r="L1" s="56">
        <v>10</v>
      </c>
      <c r="M1" s="56">
        <v>11</v>
      </c>
      <c r="N1" s="56">
        <v>11</v>
      </c>
      <c r="O1" s="56">
        <v>12</v>
      </c>
      <c r="P1" s="56">
        <v>13</v>
      </c>
      <c r="Q1" s="56">
        <v>14</v>
      </c>
      <c r="R1" s="57" t="s">
        <v>27</v>
      </c>
      <c r="S1" s="57" t="s">
        <v>28</v>
      </c>
      <c r="T1" s="56">
        <v>16</v>
      </c>
      <c r="U1" s="56">
        <v>17</v>
      </c>
      <c r="V1" s="56">
        <v>18</v>
      </c>
      <c r="W1" s="56">
        <v>19</v>
      </c>
      <c r="X1" s="55">
        <v>20</v>
      </c>
      <c r="Y1" s="56">
        <v>21</v>
      </c>
      <c r="Z1" s="56">
        <v>22</v>
      </c>
      <c r="AA1" s="56">
        <v>23</v>
      </c>
      <c r="AB1" s="56">
        <v>24</v>
      </c>
      <c r="AC1" s="56">
        <v>25</v>
      </c>
      <c r="AD1" s="56">
        <v>26</v>
      </c>
      <c r="AE1" s="56">
        <v>27</v>
      </c>
      <c r="AF1" s="56">
        <v>28</v>
      </c>
      <c r="AG1" s="56">
        <v>29</v>
      </c>
      <c r="AH1" s="56">
        <v>30</v>
      </c>
      <c r="AI1" s="56">
        <v>31</v>
      </c>
      <c r="AJ1" s="56">
        <v>32</v>
      </c>
      <c r="AK1" s="56">
        <v>33</v>
      </c>
      <c r="AL1" s="56">
        <v>34</v>
      </c>
      <c r="AM1" s="56">
        <v>35</v>
      </c>
      <c r="AN1" s="56">
        <v>36</v>
      </c>
      <c r="AO1" s="56">
        <v>37</v>
      </c>
      <c r="AP1" s="56">
        <v>38</v>
      </c>
      <c r="AQ1" s="56">
        <v>39</v>
      </c>
      <c r="AR1" s="58" t="s">
        <v>29</v>
      </c>
      <c r="AS1" s="58" t="s">
        <v>30</v>
      </c>
      <c r="AT1" s="59" t="s">
        <v>31</v>
      </c>
      <c r="AU1" s="59" t="s">
        <v>32</v>
      </c>
      <c r="AV1" s="60" t="s">
        <v>33</v>
      </c>
      <c r="AW1" s="60" t="s">
        <v>34</v>
      </c>
      <c r="AX1" s="56">
        <v>43</v>
      </c>
      <c r="AY1" s="56">
        <v>44</v>
      </c>
      <c r="AZ1" s="56">
        <v>45</v>
      </c>
      <c r="BA1" s="56">
        <v>46</v>
      </c>
      <c r="BB1" s="56">
        <v>47</v>
      </c>
      <c r="BC1" s="56">
        <v>48</v>
      </c>
      <c r="BD1" s="56">
        <v>49</v>
      </c>
      <c r="BE1" s="56">
        <v>50</v>
      </c>
      <c r="BF1" s="56">
        <v>51</v>
      </c>
      <c r="BG1" s="56">
        <v>52</v>
      </c>
      <c r="BH1" s="56">
        <v>52</v>
      </c>
      <c r="BI1" s="56">
        <v>53</v>
      </c>
      <c r="BJ1" s="56">
        <v>54</v>
      </c>
      <c r="BK1" s="56">
        <v>55</v>
      </c>
      <c r="BL1" s="56">
        <v>56</v>
      </c>
      <c r="BM1" s="61">
        <v>57</v>
      </c>
      <c r="BN1" s="61">
        <v>57</v>
      </c>
      <c r="BO1" s="61">
        <v>57</v>
      </c>
      <c r="BP1" s="61">
        <v>57</v>
      </c>
      <c r="BQ1" s="61">
        <v>57</v>
      </c>
      <c r="BR1" s="62">
        <v>58</v>
      </c>
      <c r="BS1" s="62">
        <v>58</v>
      </c>
      <c r="BT1" s="62">
        <v>58</v>
      </c>
      <c r="BU1" s="62">
        <v>58</v>
      </c>
      <c r="BV1" s="62">
        <v>58</v>
      </c>
      <c r="BW1" s="56">
        <v>59</v>
      </c>
      <c r="BX1" s="56">
        <v>60</v>
      </c>
      <c r="BY1" s="56">
        <v>61</v>
      </c>
      <c r="BZ1" s="56">
        <v>62</v>
      </c>
      <c r="CA1" s="61">
        <v>63</v>
      </c>
      <c r="CB1" s="61">
        <v>63</v>
      </c>
      <c r="CC1" s="61">
        <v>63</v>
      </c>
      <c r="CD1" s="61">
        <v>63</v>
      </c>
      <c r="CE1" s="61">
        <v>63</v>
      </c>
      <c r="CF1" s="61">
        <v>63</v>
      </c>
      <c r="CG1" s="56">
        <v>64</v>
      </c>
      <c r="CH1" s="56">
        <v>65</v>
      </c>
      <c r="CI1" s="56">
        <v>66</v>
      </c>
      <c r="CJ1" s="56">
        <v>67</v>
      </c>
      <c r="CK1" s="56">
        <v>68</v>
      </c>
      <c r="CL1" s="56">
        <v>69</v>
      </c>
      <c r="CM1" s="63">
        <v>70</v>
      </c>
    </row>
    <row r="2" spans="1:91" ht="42" customHeight="1" x14ac:dyDescent="0.3">
      <c r="A2" s="47" t="s">
        <v>35</v>
      </c>
      <c r="B2" s="64" t="s">
        <v>36</v>
      </c>
      <c r="C2" s="65" t="s">
        <v>37</v>
      </c>
      <c r="D2" s="65" t="s">
        <v>38</v>
      </c>
      <c r="E2" s="64" t="s">
        <v>39</v>
      </c>
      <c r="F2" s="64" t="s">
        <v>40</v>
      </c>
      <c r="G2" s="64" t="s">
        <v>41</v>
      </c>
      <c r="H2" s="64" t="s">
        <v>42</v>
      </c>
      <c r="I2" s="64" t="s">
        <v>43</v>
      </c>
      <c r="J2" s="64" t="s">
        <v>44</v>
      </c>
      <c r="K2" s="64" t="s">
        <v>45</v>
      </c>
      <c r="L2" s="64" t="s">
        <v>46</v>
      </c>
      <c r="M2" s="64" t="s">
        <v>47</v>
      </c>
      <c r="N2" s="64" t="s">
        <v>48</v>
      </c>
      <c r="O2" s="64" t="s">
        <v>49</v>
      </c>
      <c r="P2" s="64" t="s">
        <v>50</v>
      </c>
      <c r="Q2" s="64" t="s">
        <v>51</v>
      </c>
      <c r="R2" s="65" t="s">
        <v>52</v>
      </c>
      <c r="S2" s="64" t="s">
        <v>53</v>
      </c>
      <c r="T2" s="64" t="s">
        <v>54</v>
      </c>
      <c r="U2" s="64" t="s">
        <v>55</v>
      </c>
      <c r="V2" s="64" t="s">
        <v>56</v>
      </c>
      <c r="W2" s="64" t="s">
        <v>57</v>
      </c>
      <c r="X2" s="65" t="s">
        <v>58</v>
      </c>
      <c r="Y2" s="64" t="s">
        <v>59</v>
      </c>
      <c r="Z2" s="64" t="s">
        <v>60</v>
      </c>
      <c r="AA2" s="64" t="s">
        <v>61</v>
      </c>
      <c r="AB2" s="64" t="s">
        <v>62</v>
      </c>
      <c r="AC2" s="64" t="s">
        <v>63</v>
      </c>
      <c r="AD2" s="64" t="s">
        <v>64</v>
      </c>
      <c r="AE2" s="64" t="s">
        <v>65</v>
      </c>
      <c r="AF2" s="64" t="s">
        <v>66</v>
      </c>
      <c r="AG2" s="64" t="s">
        <v>67</v>
      </c>
      <c r="AH2" s="66" t="s">
        <v>68</v>
      </c>
      <c r="AI2" s="66" t="s">
        <v>69</v>
      </c>
      <c r="AJ2" s="66" t="s">
        <v>70</v>
      </c>
      <c r="AK2" s="66" t="s">
        <v>71</v>
      </c>
      <c r="AL2" s="66" t="s">
        <v>72</v>
      </c>
      <c r="AM2" s="66" t="s">
        <v>73</v>
      </c>
      <c r="AN2" s="66" t="s">
        <v>74</v>
      </c>
      <c r="AO2" s="66" t="s">
        <v>75</v>
      </c>
      <c r="AP2" s="66" t="s">
        <v>76</v>
      </c>
      <c r="AQ2" s="66" t="s">
        <v>77</v>
      </c>
      <c r="AR2" s="67" t="s">
        <v>78</v>
      </c>
      <c r="AS2" s="67" t="s">
        <v>79</v>
      </c>
      <c r="AT2" s="67" t="s">
        <v>80</v>
      </c>
      <c r="AU2" s="67" t="s">
        <v>81</v>
      </c>
      <c r="AV2" s="67" t="s">
        <v>82</v>
      </c>
      <c r="AW2" s="67" t="s">
        <v>83</v>
      </c>
      <c r="AX2" s="67" t="s">
        <v>84</v>
      </c>
      <c r="AY2" s="67" t="s">
        <v>85</v>
      </c>
      <c r="AZ2" s="67" t="s">
        <v>86</v>
      </c>
      <c r="BA2" s="67" t="s">
        <v>87</v>
      </c>
      <c r="BB2" s="68" t="s">
        <v>88</v>
      </c>
      <c r="BC2" s="68" t="s">
        <v>89</v>
      </c>
      <c r="BD2" s="68" t="s">
        <v>90</v>
      </c>
      <c r="BE2" s="68" t="s">
        <v>91</v>
      </c>
      <c r="BF2" s="68" t="s">
        <v>92</v>
      </c>
      <c r="BG2" s="68" t="s">
        <v>93</v>
      </c>
      <c r="BH2" s="68" t="s">
        <v>94</v>
      </c>
      <c r="BI2" s="68" t="s">
        <v>95</v>
      </c>
      <c r="BJ2" s="69" t="s">
        <v>96</v>
      </c>
      <c r="BK2" s="69" t="s">
        <v>97</v>
      </c>
      <c r="BL2" s="69" t="s">
        <v>98</v>
      </c>
      <c r="BM2" s="69" t="s">
        <v>99</v>
      </c>
      <c r="BN2" s="69" t="s">
        <v>100</v>
      </c>
      <c r="BO2" s="69" t="s">
        <v>101</v>
      </c>
      <c r="BP2" s="69" t="s">
        <v>102</v>
      </c>
      <c r="BQ2" s="69" t="s">
        <v>103</v>
      </c>
      <c r="BR2" s="69" t="s">
        <v>104</v>
      </c>
      <c r="BS2" s="69" t="s">
        <v>105</v>
      </c>
      <c r="BT2" s="69" t="s">
        <v>106</v>
      </c>
      <c r="BU2" s="69" t="s">
        <v>107</v>
      </c>
      <c r="BV2" s="69" t="s">
        <v>108</v>
      </c>
      <c r="BW2" s="69" t="s">
        <v>109</v>
      </c>
      <c r="BX2" s="69" t="s">
        <v>110</v>
      </c>
      <c r="BY2" s="69" t="s">
        <v>111</v>
      </c>
      <c r="BZ2" s="69" t="s">
        <v>112</v>
      </c>
      <c r="CA2" s="69" t="s">
        <v>113</v>
      </c>
      <c r="CB2" s="69" t="s">
        <v>114</v>
      </c>
      <c r="CC2" s="69" t="s">
        <v>115</v>
      </c>
      <c r="CD2" s="69" t="s">
        <v>116</v>
      </c>
      <c r="CE2" s="69" t="s">
        <v>117</v>
      </c>
      <c r="CF2" s="69" t="s">
        <v>118</v>
      </c>
      <c r="CG2" s="69" t="s">
        <v>119</v>
      </c>
      <c r="CH2" s="69" t="s">
        <v>120</v>
      </c>
      <c r="CI2" s="69" t="s">
        <v>121</v>
      </c>
      <c r="CJ2" s="70" t="s">
        <v>122</v>
      </c>
      <c r="CK2" s="69" t="s">
        <v>123</v>
      </c>
      <c r="CL2" s="69" t="s">
        <v>124</v>
      </c>
      <c r="CM2" s="71" t="s">
        <v>125</v>
      </c>
    </row>
    <row r="3" spans="1:91" ht="12.65" customHeight="1" x14ac:dyDescent="0.3">
      <c r="A3" s="37">
        <v>1</v>
      </c>
      <c r="B3" s="37" t="s">
        <v>126</v>
      </c>
      <c r="C3" s="123"/>
      <c r="D3" s="123"/>
      <c r="E3" s="37" t="s">
        <v>127</v>
      </c>
      <c r="F3" s="36" t="s">
        <v>128</v>
      </c>
      <c r="G3" s="75" t="s">
        <v>129</v>
      </c>
      <c r="H3" s="37" t="s">
        <v>130</v>
      </c>
      <c r="I3" s="37" t="s">
        <v>131</v>
      </c>
      <c r="J3" s="37" t="s">
        <v>127</v>
      </c>
      <c r="K3" s="37" t="s">
        <v>132</v>
      </c>
      <c r="L3" s="75" t="s">
        <v>133</v>
      </c>
      <c r="M3" s="37" t="s">
        <v>127</v>
      </c>
      <c r="N3" s="37" t="s">
        <v>127</v>
      </c>
      <c r="O3" s="76" t="s">
        <v>134</v>
      </c>
      <c r="P3" s="37" t="s">
        <v>135</v>
      </c>
      <c r="Q3" s="37" t="s">
        <v>127</v>
      </c>
      <c r="R3" s="37" t="s">
        <v>127</v>
      </c>
      <c r="S3" s="37" t="s">
        <v>127</v>
      </c>
      <c r="T3" s="37" t="s">
        <v>127</v>
      </c>
      <c r="U3" s="77" t="s">
        <v>136</v>
      </c>
      <c r="V3" s="37" t="b">
        <v>0</v>
      </c>
      <c r="W3" s="77" t="s">
        <v>127</v>
      </c>
      <c r="X3" s="123"/>
      <c r="Y3" s="37" t="s">
        <v>137</v>
      </c>
      <c r="Z3" s="37" t="s">
        <v>137</v>
      </c>
      <c r="AA3" s="37" t="s">
        <v>138</v>
      </c>
      <c r="AB3" s="37" t="s">
        <v>127</v>
      </c>
      <c r="AC3" s="78">
        <v>1.2</v>
      </c>
      <c r="AD3" s="78" t="s">
        <v>139</v>
      </c>
      <c r="AE3" s="37" t="s">
        <v>140</v>
      </c>
      <c r="AF3" s="37">
        <v>100</v>
      </c>
      <c r="AG3" s="37" t="s">
        <v>141</v>
      </c>
      <c r="AH3" s="77" t="b">
        <v>1</v>
      </c>
      <c r="AI3" s="76" t="s">
        <v>127</v>
      </c>
      <c r="AJ3" s="37" t="s">
        <v>142</v>
      </c>
      <c r="AK3" s="37" t="s">
        <v>127</v>
      </c>
      <c r="AL3" s="37" t="s">
        <v>127</v>
      </c>
      <c r="AM3" s="37" t="b">
        <v>0</v>
      </c>
      <c r="AN3" s="79" t="s">
        <v>127</v>
      </c>
      <c r="AO3" s="37" t="s">
        <v>127</v>
      </c>
      <c r="AP3" s="37" t="s">
        <v>137</v>
      </c>
      <c r="AQ3" s="37" t="b">
        <v>0</v>
      </c>
      <c r="AR3" s="37" t="s">
        <v>127</v>
      </c>
      <c r="AS3" s="76" t="s">
        <v>137</v>
      </c>
      <c r="AT3" s="77" t="s">
        <v>127</v>
      </c>
      <c r="AU3" s="77" t="s">
        <v>127</v>
      </c>
      <c r="AV3" s="37" t="s">
        <v>137</v>
      </c>
      <c r="AW3" s="37" t="s">
        <v>137</v>
      </c>
      <c r="AX3" s="37" t="s">
        <v>127</v>
      </c>
      <c r="AY3" s="76" t="s">
        <v>127</v>
      </c>
      <c r="AZ3" s="77" t="s">
        <v>127</v>
      </c>
      <c r="BA3" s="37" t="s">
        <v>127</v>
      </c>
      <c r="BB3" s="37" t="s">
        <v>143</v>
      </c>
      <c r="BC3" s="77" t="s">
        <v>127</v>
      </c>
      <c r="BD3" s="76" t="s">
        <v>127</v>
      </c>
      <c r="BE3" s="37" t="s">
        <v>127</v>
      </c>
      <c r="BF3" s="76" t="s">
        <v>127</v>
      </c>
      <c r="BG3" s="37" t="s">
        <v>127</v>
      </c>
      <c r="BH3" s="37" t="s">
        <v>127</v>
      </c>
      <c r="BI3" s="77" t="b">
        <v>0</v>
      </c>
      <c r="BJ3" s="43" t="s">
        <v>137</v>
      </c>
      <c r="BK3" s="37" t="s">
        <v>137</v>
      </c>
      <c r="BL3" s="41" t="s">
        <v>127</v>
      </c>
      <c r="BM3" s="41">
        <v>832.83517489999997</v>
      </c>
      <c r="BN3" s="41">
        <v>-59.888304830000003</v>
      </c>
      <c r="BO3" s="41">
        <v>0.45930479299999999</v>
      </c>
      <c r="BP3" s="41">
        <v>0</v>
      </c>
      <c r="BQ3" s="41">
        <v>0</v>
      </c>
      <c r="BR3" s="41">
        <v>0</v>
      </c>
      <c r="BS3" s="41">
        <v>0</v>
      </c>
      <c r="BT3" s="41">
        <v>0</v>
      </c>
      <c r="BU3" s="41">
        <v>0</v>
      </c>
      <c r="BV3" s="41">
        <v>0</v>
      </c>
      <c r="BW3" s="49">
        <v>0</v>
      </c>
      <c r="BX3" s="77" t="s">
        <v>127</v>
      </c>
      <c r="BY3" s="37" t="s">
        <v>127</v>
      </c>
      <c r="BZ3" s="37" t="s">
        <v>144</v>
      </c>
      <c r="CA3" s="41">
        <v>341.33400999999992</v>
      </c>
      <c r="CB3" s="41">
        <v>1.8306100000000005</v>
      </c>
      <c r="CC3" s="41">
        <v>0</v>
      </c>
      <c r="CD3" s="41">
        <v>1.1641354547009541E-14</v>
      </c>
      <c r="CE3" s="41">
        <v>0</v>
      </c>
      <c r="CF3" s="41">
        <v>0</v>
      </c>
      <c r="CG3" s="45">
        <v>0</v>
      </c>
      <c r="CH3" s="45" t="s">
        <v>137</v>
      </c>
      <c r="CI3" s="37" t="s">
        <v>127</v>
      </c>
      <c r="CJ3" s="77" t="s">
        <v>127</v>
      </c>
      <c r="CK3" s="98">
        <v>0.18140000000000001</v>
      </c>
      <c r="CL3" s="98">
        <v>0.81859999999999999</v>
      </c>
      <c r="CM3" s="99" t="s">
        <v>145</v>
      </c>
    </row>
    <row r="4" spans="1:91" ht="12.75" customHeight="1" x14ac:dyDescent="0.3">
      <c r="A4" s="37">
        <v>2</v>
      </c>
      <c r="B4" s="37" t="s">
        <v>146</v>
      </c>
      <c r="C4" s="123"/>
      <c r="D4" s="123"/>
      <c r="E4" s="37" t="s">
        <v>127</v>
      </c>
      <c r="F4" s="36" t="s">
        <v>147</v>
      </c>
      <c r="G4" s="75" t="s">
        <v>148</v>
      </c>
      <c r="H4" s="37" t="s">
        <v>130</v>
      </c>
      <c r="I4" s="37" t="s">
        <v>131</v>
      </c>
      <c r="J4" s="37" t="s">
        <v>127</v>
      </c>
      <c r="K4" s="37" t="s">
        <v>132</v>
      </c>
      <c r="L4" s="75" t="s">
        <v>149</v>
      </c>
      <c r="M4" s="37" t="s">
        <v>127</v>
      </c>
      <c r="N4" s="37" t="s">
        <v>127</v>
      </c>
      <c r="O4" s="76" t="s">
        <v>127</v>
      </c>
      <c r="P4" s="37" t="s">
        <v>135</v>
      </c>
      <c r="Q4" s="37" t="s">
        <v>150</v>
      </c>
      <c r="R4" s="37" t="s">
        <v>151</v>
      </c>
      <c r="S4" s="37" t="s">
        <v>152</v>
      </c>
      <c r="T4" s="37" t="s">
        <v>127</v>
      </c>
      <c r="U4" s="37" t="s">
        <v>136</v>
      </c>
      <c r="V4" s="37" t="b">
        <v>0</v>
      </c>
      <c r="W4" s="77" t="s">
        <v>127</v>
      </c>
      <c r="X4" s="123"/>
      <c r="Y4" s="37" t="s">
        <v>137</v>
      </c>
      <c r="Z4" s="37" t="s">
        <v>137</v>
      </c>
      <c r="AA4" s="37" t="s">
        <v>153</v>
      </c>
      <c r="AB4" s="37" t="s">
        <v>127</v>
      </c>
      <c r="AC4" s="78">
        <v>4.0999999999999996</v>
      </c>
      <c r="AD4" s="78" t="s">
        <v>139</v>
      </c>
      <c r="AE4" s="37" t="s">
        <v>140</v>
      </c>
      <c r="AF4" s="37">
        <v>103</v>
      </c>
      <c r="AG4" s="37" t="s">
        <v>141</v>
      </c>
      <c r="AH4" s="37" t="b">
        <v>1</v>
      </c>
      <c r="AI4" s="76">
        <v>45247</v>
      </c>
      <c r="AJ4" s="77" t="s">
        <v>142</v>
      </c>
      <c r="AK4" s="37" t="s">
        <v>127</v>
      </c>
      <c r="AL4" s="37" t="s">
        <v>127</v>
      </c>
      <c r="AM4" s="37" t="b">
        <v>0</v>
      </c>
      <c r="AN4" s="37" t="s">
        <v>127</v>
      </c>
      <c r="AO4" s="37" t="s">
        <v>127</v>
      </c>
      <c r="AP4" s="37" t="s">
        <v>137</v>
      </c>
      <c r="AQ4" s="37" t="b">
        <v>0</v>
      </c>
      <c r="AR4" s="37" t="s">
        <v>127</v>
      </c>
      <c r="AS4" s="76" t="s">
        <v>137</v>
      </c>
      <c r="AT4" s="37" t="s">
        <v>127</v>
      </c>
      <c r="AU4" s="37" t="s">
        <v>127</v>
      </c>
      <c r="AV4" s="37" t="s">
        <v>137</v>
      </c>
      <c r="AW4" s="37" t="s">
        <v>137</v>
      </c>
      <c r="AX4" s="37" t="s">
        <v>127</v>
      </c>
      <c r="AY4" s="76" t="s">
        <v>127</v>
      </c>
      <c r="AZ4" s="77" t="s">
        <v>127</v>
      </c>
      <c r="BA4" s="37" t="s">
        <v>127</v>
      </c>
      <c r="BB4" s="37" t="s">
        <v>154</v>
      </c>
      <c r="BC4" s="77" t="s">
        <v>127</v>
      </c>
      <c r="BD4" s="76" t="s">
        <v>127</v>
      </c>
      <c r="BE4" s="37" t="s">
        <v>127</v>
      </c>
      <c r="BF4" s="80" t="s">
        <v>127</v>
      </c>
      <c r="BG4" s="39" t="s">
        <v>127</v>
      </c>
      <c r="BH4" s="37" t="s">
        <v>127</v>
      </c>
      <c r="BI4" s="40" t="b">
        <v>1</v>
      </c>
      <c r="BJ4" s="40" t="s">
        <v>137</v>
      </c>
      <c r="BK4" s="37" t="s">
        <v>137</v>
      </c>
      <c r="BL4" s="110">
        <f>76383.3021494374-SUM(BL5:BL12)</f>
        <v>43377.483088849389</v>
      </c>
      <c r="BM4" s="110">
        <f>9955.803585364-SUM(BM5:BM12)</f>
        <v>3678.9175653639995</v>
      </c>
      <c r="BN4" s="110">
        <f>7523.04297597-SUM(BN5:BN12)</f>
        <v>1432.3672499999984</v>
      </c>
      <c r="BO4" s="110">
        <f>1622.161847362-SUM(BO5:BO12)</f>
        <v>1033.5466399999996</v>
      </c>
      <c r="BP4" s="110">
        <f>12620.082598793-SUM(BP5:BP12)</f>
        <v>484.18228000000272</v>
      </c>
      <c r="BQ4" s="110">
        <f>2563.324733117-SUM(BQ5:BQ12)</f>
        <v>2058.9411300000006</v>
      </c>
      <c r="BR4" s="110">
        <f>2322.22985094464-SUM(BR5:BR12)</f>
        <v>2192.57824559864</v>
      </c>
      <c r="BS4" s="110">
        <f>4767.51809377118-SUM(BS5:BS12)</f>
        <v>4767.5180937711802</v>
      </c>
      <c r="BT4" s="110">
        <f>5299.04320100447-SUM(BT5:BT12)</f>
        <v>5299.0432010044697</v>
      </c>
      <c r="BU4" s="110">
        <f>6541.46100679569-SUM(BU5:BU12)</f>
        <v>6541.4610067956901</v>
      </c>
      <c r="BV4" s="110">
        <f>7899.79022409545-SUM(BV5:BV12)</f>
        <v>7899.79022409545</v>
      </c>
      <c r="BW4" s="111">
        <f>3418.79285-SUM(BW5:BW12)</f>
        <v>1565.3513999999998</v>
      </c>
      <c r="BX4" s="37" t="s">
        <v>127</v>
      </c>
      <c r="BY4" s="37" t="s">
        <v>127</v>
      </c>
      <c r="BZ4" s="37" t="s">
        <v>155</v>
      </c>
      <c r="CA4" s="41">
        <f>2437.078</f>
        <v>2437.078</v>
      </c>
      <c r="CB4" s="41">
        <f>1731.92</f>
        <v>1731.92</v>
      </c>
      <c r="CC4" s="41">
        <f>471.04</f>
        <v>471.04</v>
      </c>
      <c r="CD4" s="41">
        <f>925.24</f>
        <v>925.24</v>
      </c>
      <c r="CE4" s="41">
        <f>807.83</f>
        <v>807.83</v>
      </c>
      <c r="CF4" s="110">
        <f>2121.93-SUM(CF5:CF12)</f>
        <v>1994.3007746539997</v>
      </c>
      <c r="CG4" s="45">
        <v>0</v>
      </c>
      <c r="CH4" s="45" t="s">
        <v>137</v>
      </c>
      <c r="CI4" s="37" t="s">
        <v>127</v>
      </c>
      <c r="CJ4" s="77" t="s">
        <v>127</v>
      </c>
      <c r="CK4" s="98">
        <v>0.18140000000000001</v>
      </c>
      <c r="CL4" s="98">
        <v>0.81859999999999999</v>
      </c>
      <c r="CM4" s="99" t="s">
        <v>156</v>
      </c>
    </row>
    <row r="5" spans="1:91" ht="13.15" customHeight="1" x14ac:dyDescent="0.3">
      <c r="A5" s="37">
        <v>3</v>
      </c>
      <c r="B5" s="37" t="s">
        <v>157</v>
      </c>
      <c r="C5" s="123"/>
      <c r="D5" s="123"/>
      <c r="E5" s="37" t="s">
        <v>127</v>
      </c>
      <c r="F5" s="36" t="s">
        <v>158</v>
      </c>
      <c r="G5" s="81" t="s">
        <v>159</v>
      </c>
      <c r="H5" s="38" t="s">
        <v>152</v>
      </c>
      <c r="I5" s="38" t="s">
        <v>127</v>
      </c>
      <c r="J5" s="38" t="s">
        <v>127</v>
      </c>
      <c r="K5" s="38" t="s">
        <v>160</v>
      </c>
      <c r="L5" s="82" t="s">
        <v>149</v>
      </c>
      <c r="M5" s="38" t="s">
        <v>127</v>
      </c>
      <c r="N5" s="38" t="s">
        <v>127</v>
      </c>
      <c r="O5" s="80">
        <v>44664</v>
      </c>
      <c r="P5" s="37" t="s">
        <v>127</v>
      </c>
      <c r="Q5" s="37" t="s">
        <v>127</v>
      </c>
      <c r="R5" s="37" t="s">
        <v>127</v>
      </c>
      <c r="S5" s="37" t="s">
        <v>127</v>
      </c>
      <c r="T5" s="37" t="s">
        <v>127</v>
      </c>
      <c r="U5" s="37" t="s">
        <v>136</v>
      </c>
      <c r="V5" s="37" t="b">
        <v>0</v>
      </c>
      <c r="W5" s="37" t="s">
        <v>127</v>
      </c>
      <c r="X5" s="123"/>
      <c r="Y5" s="37" t="s">
        <v>127</v>
      </c>
      <c r="Z5" s="37" t="s">
        <v>127</v>
      </c>
      <c r="AA5" s="37" t="s">
        <v>127</v>
      </c>
      <c r="AB5" s="37" t="s">
        <v>127</v>
      </c>
      <c r="AC5" s="78">
        <v>4.0999999999999996</v>
      </c>
      <c r="AD5" s="78">
        <v>5629252</v>
      </c>
      <c r="AE5" s="37" t="s">
        <v>127</v>
      </c>
      <c r="AF5" s="37">
        <v>103</v>
      </c>
      <c r="AG5" s="37" t="s">
        <v>127</v>
      </c>
      <c r="AH5" s="37" t="b">
        <v>1</v>
      </c>
      <c r="AI5" s="37" t="s">
        <v>127</v>
      </c>
      <c r="AJ5" s="77" t="s">
        <v>142</v>
      </c>
      <c r="AK5" s="37" t="s">
        <v>127</v>
      </c>
      <c r="AL5" s="37" t="s">
        <v>127</v>
      </c>
      <c r="AM5" s="37" t="b">
        <v>0</v>
      </c>
      <c r="AN5" s="37" t="s">
        <v>127</v>
      </c>
      <c r="AO5" s="37" t="s">
        <v>127</v>
      </c>
      <c r="AP5" s="37" t="s">
        <v>137</v>
      </c>
      <c r="AQ5" s="37" t="b">
        <v>0</v>
      </c>
      <c r="AR5" s="37" t="s">
        <v>127</v>
      </c>
      <c r="AS5" s="76" t="s">
        <v>127</v>
      </c>
      <c r="AT5" s="37" t="s">
        <v>127</v>
      </c>
      <c r="AU5" s="37" t="s">
        <v>127</v>
      </c>
      <c r="AV5" s="37" t="s">
        <v>127</v>
      </c>
      <c r="AW5" s="37" t="s">
        <v>127</v>
      </c>
      <c r="AX5" s="37" t="s">
        <v>161</v>
      </c>
      <c r="AY5" s="76" t="s">
        <v>127</v>
      </c>
      <c r="AZ5" s="77" t="s">
        <v>127</v>
      </c>
      <c r="BA5" s="37" t="s">
        <v>127</v>
      </c>
      <c r="BB5" s="37" t="s">
        <v>143</v>
      </c>
      <c r="BC5" s="77" t="s">
        <v>127</v>
      </c>
      <c r="BD5" s="76">
        <v>44923</v>
      </c>
      <c r="BE5" s="37" t="s">
        <v>127</v>
      </c>
      <c r="BF5" s="80">
        <v>44926</v>
      </c>
      <c r="BG5" s="39" t="s">
        <v>150</v>
      </c>
      <c r="BH5" s="39" t="s">
        <v>127</v>
      </c>
      <c r="BI5" s="40" t="b">
        <v>1</v>
      </c>
      <c r="BJ5" s="40" t="s">
        <v>137</v>
      </c>
      <c r="BK5" s="37" t="s">
        <v>137</v>
      </c>
      <c r="BL5" s="41">
        <v>11690.42935</v>
      </c>
      <c r="BM5" s="41">
        <v>0</v>
      </c>
      <c r="BN5" s="41">
        <v>0</v>
      </c>
      <c r="BO5" s="41">
        <v>0</v>
      </c>
      <c r="BP5" s="41">
        <v>12271.118209999999</v>
      </c>
      <c r="BQ5" s="41">
        <v>-586.10126000000037</v>
      </c>
      <c r="BR5" s="41">
        <v>5.4124000000000088</v>
      </c>
      <c r="BS5" s="41">
        <v>0</v>
      </c>
      <c r="BT5" s="41">
        <v>0</v>
      </c>
      <c r="BU5" s="41">
        <v>0</v>
      </c>
      <c r="BV5" s="41">
        <v>0</v>
      </c>
      <c r="BW5" s="49">
        <v>0</v>
      </c>
      <c r="BX5" s="37" t="s">
        <v>127</v>
      </c>
      <c r="BY5" s="37" t="s">
        <v>127</v>
      </c>
      <c r="BZ5" s="37" t="s">
        <v>162</v>
      </c>
      <c r="CA5" s="41">
        <v>0</v>
      </c>
      <c r="CB5" s="41">
        <v>0</v>
      </c>
      <c r="CC5" s="41">
        <v>12271.118210000001</v>
      </c>
      <c r="CD5" s="41">
        <v>-586.1</v>
      </c>
      <c r="CE5" s="41">
        <v>-34.119999999999997</v>
      </c>
      <c r="CF5" s="41">
        <v>5.4124000000000088</v>
      </c>
      <c r="CG5" s="45">
        <v>0</v>
      </c>
      <c r="CH5" s="45" t="s">
        <v>137</v>
      </c>
      <c r="CI5" s="37" t="s">
        <v>127</v>
      </c>
      <c r="CJ5" s="77" t="s">
        <v>127</v>
      </c>
      <c r="CK5" s="98">
        <v>0.18140000000000001</v>
      </c>
      <c r="CL5" s="98">
        <v>0.81859999999999999</v>
      </c>
      <c r="CM5" s="99" t="s">
        <v>163</v>
      </c>
    </row>
    <row r="6" spans="1:91" ht="13.15" customHeight="1" x14ac:dyDescent="0.3">
      <c r="A6" s="37">
        <v>4</v>
      </c>
      <c r="B6" s="37" t="s">
        <v>164</v>
      </c>
      <c r="C6" s="124"/>
      <c r="D6" s="125"/>
      <c r="E6" s="37" t="s">
        <v>165</v>
      </c>
      <c r="F6" s="36" t="s">
        <v>166</v>
      </c>
      <c r="G6" s="85" t="s">
        <v>167</v>
      </c>
      <c r="H6" s="38" t="s">
        <v>130</v>
      </c>
      <c r="I6" s="38" t="s">
        <v>131</v>
      </c>
      <c r="J6" s="38" t="s">
        <v>127</v>
      </c>
      <c r="K6" s="38" t="s">
        <v>132</v>
      </c>
      <c r="L6" s="81" t="s">
        <v>149</v>
      </c>
      <c r="M6" s="38" t="s">
        <v>127</v>
      </c>
      <c r="N6" s="38" t="s">
        <v>127</v>
      </c>
      <c r="O6" s="76">
        <v>45432</v>
      </c>
      <c r="P6" s="37">
        <v>5</v>
      </c>
      <c r="Q6" s="37" t="s">
        <v>168</v>
      </c>
      <c r="R6" s="37" t="s">
        <v>127</v>
      </c>
      <c r="S6" s="37" t="s">
        <v>127</v>
      </c>
      <c r="T6" s="37" t="s">
        <v>127</v>
      </c>
      <c r="U6" s="37" t="s">
        <v>136</v>
      </c>
      <c r="V6" s="37" t="b">
        <v>0</v>
      </c>
      <c r="W6" s="37" t="s">
        <v>127</v>
      </c>
      <c r="X6" s="123"/>
      <c r="Y6" s="37" t="s">
        <v>127</v>
      </c>
      <c r="Z6" s="37">
        <v>0.17</v>
      </c>
      <c r="AA6" s="37">
        <v>69</v>
      </c>
      <c r="AB6" s="37">
        <v>69</v>
      </c>
      <c r="AC6" s="78">
        <v>4.0999999999999996</v>
      </c>
      <c r="AD6" s="78">
        <v>5981498</v>
      </c>
      <c r="AE6" s="37" t="s">
        <v>169</v>
      </c>
      <c r="AF6" s="37">
        <v>103</v>
      </c>
      <c r="AG6" s="37" t="s">
        <v>127</v>
      </c>
      <c r="AH6" s="37" t="b">
        <v>1</v>
      </c>
      <c r="AI6" s="37" t="s">
        <v>127</v>
      </c>
      <c r="AJ6" s="77" t="s">
        <v>142</v>
      </c>
      <c r="AK6" s="37" t="s">
        <v>127</v>
      </c>
      <c r="AL6" s="37" t="s">
        <v>127</v>
      </c>
      <c r="AM6" s="37" t="b">
        <v>0</v>
      </c>
      <c r="AN6" s="37" t="s">
        <v>127</v>
      </c>
      <c r="AO6" s="37" t="s">
        <v>127</v>
      </c>
      <c r="AP6" s="37" t="s">
        <v>137</v>
      </c>
      <c r="AQ6" s="37" t="b">
        <v>0</v>
      </c>
      <c r="AR6" s="37" t="s">
        <v>127</v>
      </c>
      <c r="AS6" s="37" t="s">
        <v>127</v>
      </c>
      <c r="AT6" s="37" t="s">
        <v>127</v>
      </c>
      <c r="AU6" s="37" t="s">
        <v>127</v>
      </c>
      <c r="AV6" s="37" t="s">
        <v>127</v>
      </c>
      <c r="AW6" s="37" t="s">
        <v>127</v>
      </c>
      <c r="AX6" s="37" t="s">
        <v>161</v>
      </c>
      <c r="AY6" s="37" t="s">
        <v>127</v>
      </c>
      <c r="AZ6" s="37" t="s">
        <v>127</v>
      </c>
      <c r="BA6" s="37" t="s">
        <v>127</v>
      </c>
      <c r="BB6" s="37" t="s">
        <v>170</v>
      </c>
      <c r="BC6" s="77" t="s">
        <v>127</v>
      </c>
      <c r="BD6" s="76" t="s">
        <v>171</v>
      </c>
      <c r="BE6" s="37" t="s">
        <v>127</v>
      </c>
      <c r="BF6" s="86" t="s">
        <v>172</v>
      </c>
      <c r="BG6" s="39" t="s">
        <v>127</v>
      </c>
      <c r="BH6" s="39" t="s">
        <v>127</v>
      </c>
      <c r="BI6" s="40" t="b">
        <v>1</v>
      </c>
      <c r="BJ6" s="40" t="s">
        <v>137</v>
      </c>
      <c r="BK6" s="37" t="s">
        <v>137</v>
      </c>
      <c r="BL6" s="41">
        <v>1981.6201705880014</v>
      </c>
      <c r="BM6" s="41">
        <v>33.129129999999989</v>
      </c>
      <c r="BN6" s="41">
        <v>545.96582596999986</v>
      </c>
      <c r="BO6" s="41">
        <v>193.060577362</v>
      </c>
      <c r="BP6" s="41">
        <v>185.34918879299997</v>
      </c>
      <c r="BQ6" s="41">
        <v>961.84096311699989</v>
      </c>
      <c r="BR6" s="41">
        <v>62.274485346000013</v>
      </c>
      <c r="BS6" s="41">
        <v>0</v>
      </c>
      <c r="BT6" s="41">
        <v>0</v>
      </c>
      <c r="BU6" s="41">
        <v>0</v>
      </c>
      <c r="BV6" s="41">
        <v>0</v>
      </c>
      <c r="BW6" s="49">
        <v>1853.44145</v>
      </c>
      <c r="BX6" s="37" t="s">
        <v>127</v>
      </c>
      <c r="BY6" s="37" t="s">
        <v>127</v>
      </c>
      <c r="BZ6" s="37" t="s">
        <v>173</v>
      </c>
      <c r="CA6" s="41">
        <v>0</v>
      </c>
      <c r="CB6" s="41">
        <v>0</v>
      </c>
      <c r="CC6" s="41">
        <v>0</v>
      </c>
      <c r="CD6" s="41">
        <v>0</v>
      </c>
      <c r="CE6" s="41">
        <v>0</v>
      </c>
      <c r="CF6" s="41">
        <v>60.252105346</v>
      </c>
      <c r="CG6" s="45">
        <v>0</v>
      </c>
      <c r="CH6" s="45" t="s">
        <v>137</v>
      </c>
      <c r="CI6" s="37" t="s">
        <v>127</v>
      </c>
      <c r="CJ6" s="77" t="s">
        <v>127</v>
      </c>
      <c r="CK6" s="98">
        <v>0.18140000000000001</v>
      </c>
      <c r="CL6" s="98">
        <v>0.81859999999999999</v>
      </c>
      <c r="CM6" s="100" t="s">
        <v>174</v>
      </c>
    </row>
    <row r="7" spans="1:91" ht="12.75" customHeight="1" x14ac:dyDescent="0.3">
      <c r="A7" s="37">
        <v>5</v>
      </c>
      <c r="B7" s="37" t="s">
        <v>175</v>
      </c>
      <c r="C7" s="123"/>
      <c r="D7" s="123"/>
      <c r="E7" s="37" t="s">
        <v>127</v>
      </c>
      <c r="F7" s="36" t="s">
        <v>158</v>
      </c>
      <c r="G7" s="81" t="s">
        <v>159</v>
      </c>
      <c r="H7" s="38" t="s">
        <v>152</v>
      </c>
      <c r="I7" s="38" t="s">
        <v>127</v>
      </c>
      <c r="J7" s="38" t="s">
        <v>127</v>
      </c>
      <c r="K7" s="38" t="s">
        <v>160</v>
      </c>
      <c r="L7" s="82" t="s">
        <v>149</v>
      </c>
      <c r="M7" s="38" t="s">
        <v>127</v>
      </c>
      <c r="N7" s="38" t="s">
        <v>127</v>
      </c>
      <c r="O7" s="76" t="s">
        <v>127</v>
      </c>
      <c r="P7" s="37" t="s">
        <v>127</v>
      </c>
      <c r="Q7" s="37" t="s">
        <v>127</v>
      </c>
      <c r="R7" s="37" t="s">
        <v>127</v>
      </c>
      <c r="S7" s="37" t="s">
        <v>127</v>
      </c>
      <c r="T7" s="37" t="s">
        <v>127</v>
      </c>
      <c r="U7" s="77" t="s">
        <v>136</v>
      </c>
      <c r="V7" s="37" t="b">
        <v>0</v>
      </c>
      <c r="W7" s="37" t="s">
        <v>127</v>
      </c>
      <c r="X7" s="123"/>
      <c r="Y7" s="37" t="s">
        <v>127</v>
      </c>
      <c r="Z7" s="37" t="s">
        <v>127</v>
      </c>
      <c r="AA7" s="37" t="s">
        <v>127</v>
      </c>
      <c r="AB7" s="37" t="s">
        <v>127</v>
      </c>
      <c r="AC7" s="78">
        <v>4.0999999999999996</v>
      </c>
      <c r="AD7" s="78">
        <v>5983189</v>
      </c>
      <c r="AE7" s="37" t="s">
        <v>127</v>
      </c>
      <c r="AF7" s="37">
        <v>103</v>
      </c>
      <c r="AG7" s="37" t="s">
        <v>127</v>
      </c>
      <c r="AH7" s="37" t="b">
        <v>1</v>
      </c>
      <c r="AI7" s="37" t="s">
        <v>127</v>
      </c>
      <c r="AJ7" s="77" t="s">
        <v>142</v>
      </c>
      <c r="AK7" s="37" t="s">
        <v>127</v>
      </c>
      <c r="AL7" s="37" t="s">
        <v>127</v>
      </c>
      <c r="AM7" s="37" t="b">
        <v>0</v>
      </c>
      <c r="AN7" s="37" t="s">
        <v>127</v>
      </c>
      <c r="AO7" s="37" t="s">
        <v>127</v>
      </c>
      <c r="AP7" s="37" t="s">
        <v>137</v>
      </c>
      <c r="AQ7" s="37" t="b">
        <v>0</v>
      </c>
      <c r="AR7" s="37" t="s">
        <v>127</v>
      </c>
      <c r="AS7" s="76" t="s">
        <v>127</v>
      </c>
      <c r="AT7" s="37" t="s">
        <v>127</v>
      </c>
      <c r="AU7" s="37" t="s">
        <v>127</v>
      </c>
      <c r="AV7" s="37" t="s">
        <v>127</v>
      </c>
      <c r="AW7" s="37" t="s">
        <v>127</v>
      </c>
      <c r="AX7" s="77" t="s">
        <v>161</v>
      </c>
      <c r="AY7" s="76" t="s">
        <v>127</v>
      </c>
      <c r="AZ7" s="77" t="s">
        <v>127</v>
      </c>
      <c r="BA7" s="37" t="s">
        <v>127</v>
      </c>
      <c r="BB7" s="37" t="s">
        <v>143</v>
      </c>
      <c r="BC7" s="77" t="s">
        <v>127</v>
      </c>
      <c r="BD7" s="76">
        <v>43924</v>
      </c>
      <c r="BE7" s="37" t="s">
        <v>127</v>
      </c>
      <c r="BF7" s="80">
        <v>44561</v>
      </c>
      <c r="BG7" s="39" t="s">
        <v>150</v>
      </c>
      <c r="BH7" s="39" t="s">
        <v>127</v>
      </c>
      <c r="BI7" s="40" t="b">
        <v>0</v>
      </c>
      <c r="BJ7" s="40" t="s">
        <v>137</v>
      </c>
      <c r="BK7" s="37" t="s">
        <v>137</v>
      </c>
      <c r="BL7" s="41">
        <v>2577.8395800000003</v>
      </c>
      <c r="BM7" s="41">
        <v>0</v>
      </c>
      <c r="BN7" s="41">
        <v>1539.6221499999999</v>
      </c>
      <c r="BO7" s="41">
        <v>1037.2103800000002</v>
      </c>
      <c r="BP7" s="41">
        <v>1.0070499999999956</v>
      </c>
      <c r="BQ7" s="41">
        <v>0</v>
      </c>
      <c r="BR7" s="41">
        <v>0</v>
      </c>
      <c r="BS7" s="41">
        <v>0</v>
      </c>
      <c r="BT7" s="41">
        <v>0</v>
      </c>
      <c r="BU7" s="41">
        <v>0</v>
      </c>
      <c r="BV7" s="41">
        <v>0</v>
      </c>
      <c r="BW7" s="49">
        <v>0</v>
      </c>
      <c r="BX7" s="37" t="s">
        <v>127</v>
      </c>
      <c r="BY7" s="37" t="s">
        <v>127</v>
      </c>
      <c r="BZ7" s="37" t="s">
        <v>176</v>
      </c>
      <c r="CA7" s="41">
        <v>1539.6220000000001</v>
      </c>
      <c r="CB7" s="41">
        <v>1037.21</v>
      </c>
      <c r="CC7" s="41">
        <v>1.00705</v>
      </c>
      <c r="CD7" s="41">
        <v>0</v>
      </c>
      <c r="CE7" s="41">
        <v>0</v>
      </c>
      <c r="CF7" s="41">
        <v>0</v>
      </c>
      <c r="CG7" s="45">
        <v>0</v>
      </c>
      <c r="CH7" s="45" t="s">
        <v>137</v>
      </c>
      <c r="CI7" s="37" t="s">
        <v>127</v>
      </c>
      <c r="CJ7" s="77" t="s">
        <v>127</v>
      </c>
      <c r="CK7" s="98">
        <v>0.18140000000000001</v>
      </c>
      <c r="CL7" s="98">
        <v>0.81859999999999999</v>
      </c>
      <c r="CM7" s="100" t="s">
        <v>177</v>
      </c>
    </row>
    <row r="8" spans="1:91" ht="12.75" customHeight="1" x14ac:dyDescent="0.3">
      <c r="A8" s="37">
        <v>6</v>
      </c>
      <c r="B8" s="37" t="s">
        <v>178</v>
      </c>
      <c r="C8" s="123"/>
      <c r="D8" s="123"/>
      <c r="E8" s="37" t="s">
        <v>127</v>
      </c>
      <c r="F8" s="36" t="s">
        <v>158</v>
      </c>
      <c r="G8" s="81" t="s">
        <v>159</v>
      </c>
      <c r="H8" s="38" t="s">
        <v>152</v>
      </c>
      <c r="I8" s="38" t="s">
        <v>127</v>
      </c>
      <c r="J8" s="38" t="s">
        <v>127</v>
      </c>
      <c r="K8" s="38" t="s">
        <v>160</v>
      </c>
      <c r="L8" s="81" t="s">
        <v>179</v>
      </c>
      <c r="M8" s="38" t="s">
        <v>127</v>
      </c>
      <c r="N8" s="38" t="s">
        <v>127</v>
      </c>
      <c r="O8" s="76" t="s">
        <v>127</v>
      </c>
      <c r="P8" s="37" t="s">
        <v>127</v>
      </c>
      <c r="Q8" s="37" t="s">
        <v>127</v>
      </c>
      <c r="R8" s="37" t="s">
        <v>127</v>
      </c>
      <c r="S8" s="37" t="s">
        <v>127</v>
      </c>
      <c r="T8" s="37" t="s">
        <v>127</v>
      </c>
      <c r="U8" s="77" t="s">
        <v>136</v>
      </c>
      <c r="V8" s="37" t="b">
        <v>0</v>
      </c>
      <c r="W8" s="37" t="s">
        <v>127</v>
      </c>
      <c r="X8" s="123"/>
      <c r="Y8" s="37" t="s">
        <v>127</v>
      </c>
      <c r="Z8" s="37" t="s">
        <v>127</v>
      </c>
      <c r="AA8" s="37" t="s">
        <v>127</v>
      </c>
      <c r="AB8" s="37" t="s">
        <v>127</v>
      </c>
      <c r="AC8" s="78">
        <v>4.0999999999999996</v>
      </c>
      <c r="AD8" s="78">
        <v>5984909</v>
      </c>
      <c r="AE8" s="37" t="s">
        <v>127</v>
      </c>
      <c r="AF8" s="37">
        <v>103</v>
      </c>
      <c r="AG8" s="37" t="s">
        <v>127</v>
      </c>
      <c r="AH8" s="37" t="b">
        <v>1</v>
      </c>
      <c r="AI8" s="37" t="s">
        <v>127</v>
      </c>
      <c r="AJ8" s="77" t="s">
        <v>142</v>
      </c>
      <c r="AK8" s="37" t="s">
        <v>127</v>
      </c>
      <c r="AL8" s="37" t="s">
        <v>127</v>
      </c>
      <c r="AM8" s="37" t="b">
        <v>0</v>
      </c>
      <c r="AN8" s="37" t="s">
        <v>127</v>
      </c>
      <c r="AO8" s="37" t="s">
        <v>127</v>
      </c>
      <c r="AP8" s="37" t="s">
        <v>137</v>
      </c>
      <c r="AQ8" s="37" t="b">
        <v>0</v>
      </c>
      <c r="AR8" s="37" t="s">
        <v>127</v>
      </c>
      <c r="AS8" s="76" t="s">
        <v>127</v>
      </c>
      <c r="AT8" s="37" t="s">
        <v>127</v>
      </c>
      <c r="AU8" s="37" t="s">
        <v>127</v>
      </c>
      <c r="AV8" s="37" t="s">
        <v>127</v>
      </c>
      <c r="AW8" s="37" t="s">
        <v>127</v>
      </c>
      <c r="AX8" s="77" t="s">
        <v>161</v>
      </c>
      <c r="AY8" s="76" t="s">
        <v>127</v>
      </c>
      <c r="AZ8" s="77" t="s">
        <v>127</v>
      </c>
      <c r="BA8" s="37" t="s">
        <v>127</v>
      </c>
      <c r="BB8" s="37" t="s">
        <v>143</v>
      </c>
      <c r="BC8" s="77" t="s">
        <v>127</v>
      </c>
      <c r="BD8" s="76">
        <v>42674</v>
      </c>
      <c r="BE8" s="37" t="s">
        <v>127</v>
      </c>
      <c r="BF8" s="80">
        <v>43773</v>
      </c>
      <c r="BG8" s="39" t="s">
        <v>127</v>
      </c>
      <c r="BH8" s="39" t="s">
        <v>127</v>
      </c>
      <c r="BI8" s="40" t="b">
        <v>0</v>
      </c>
      <c r="BJ8" s="40" t="s">
        <v>137</v>
      </c>
      <c r="BK8" s="37" t="s">
        <v>137</v>
      </c>
      <c r="BL8" s="41">
        <v>8619.1111700000019</v>
      </c>
      <c r="BM8" s="41">
        <v>334.52257000000003</v>
      </c>
      <c r="BN8" s="41">
        <v>1126.0043699999999</v>
      </c>
      <c r="BO8" s="41">
        <v>0</v>
      </c>
      <c r="BP8" s="41">
        <v>0</v>
      </c>
      <c r="BQ8" s="41">
        <v>0</v>
      </c>
      <c r="BR8" s="41">
        <v>0</v>
      </c>
      <c r="BS8" s="41">
        <v>0</v>
      </c>
      <c r="BT8" s="41">
        <v>0</v>
      </c>
      <c r="BU8" s="41">
        <v>0</v>
      </c>
      <c r="BV8" s="41">
        <v>0</v>
      </c>
      <c r="BW8" s="49">
        <v>0</v>
      </c>
      <c r="BX8" s="37" t="s">
        <v>127</v>
      </c>
      <c r="BY8" s="37" t="s">
        <v>127</v>
      </c>
      <c r="BZ8" s="37" t="s">
        <v>180</v>
      </c>
      <c r="CA8" s="41">
        <v>1126.0039999999999</v>
      </c>
      <c r="CB8" s="41">
        <v>0</v>
      </c>
      <c r="CC8" s="41">
        <v>0</v>
      </c>
      <c r="CD8" s="41">
        <v>0</v>
      </c>
      <c r="CE8" s="41">
        <v>0</v>
      </c>
      <c r="CF8" s="41">
        <v>0</v>
      </c>
      <c r="CG8" s="45">
        <v>0</v>
      </c>
      <c r="CH8" s="45" t="s">
        <v>137</v>
      </c>
      <c r="CI8" s="37" t="s">
        <v>127</v>
      </c>
      <c r="CJ8" s="77" t="s">
        <v>127</v>
      </c>
      <c r="CK8" s="98">
        <v>0.18140000000000001</v>
      </c>
      <c r="CL8" s="98">
        <v>0.81859999999999999</v>
      </c>
      <c r="CM8" s="100" t="s">
        <v>177</v>
      </c>
    </row>
    <row r="9" spans="1:91" ht="12.75" customHeight="1" x14ac:dyDescent="0.3">
      <c r="A9" s="37">
        <v>7</v>
      </c>
      <c r="B9" s="37" t="s">
        <v>181</v>
      </c>
      <c r="C9" s="124"/>
      <c r="D9" s="124"/>
      <c r="E9" s="37" t="s">
        <v>182</v>
      </c>
      <c r="F9" s="36" t="s">
        <v>183</v>
      </c>
      <c r="G9" s="81" t="s">
        <v>184</v>
      </c>
      <c r="H9" s="37" t="s">
        <v>130</v>
      </c>
      <c r="I9" s="37" t="s">
        <v>131</v>
      </c>
      <c r="J9" s="37" t="s">
        <v>127</v>
      </c>
      <c r="K9" s="38" t="s">
        <v>132</v>
      </c>
      <c r="L9" s="75" t="s">
        <v>149</v>
      </c>
      <c r="M9" s="37" t="s">
        <v>127</v>
      </c>
      <c r="N9" s="37" t="s">
        <v>127</v>
      </c>
      <c r="O9" s="76">
        <v>45362</v>
      </c>
      <c r="P9" s="37" t="s">
        <v>185</v>
      </c>
      <c r="Q9" s="37" t="s">
        <v>127</v>
      </c>
      <c r="R9" s="37" t="s">
        <v>127</v>
      </c>
      <c r="S9" s="37" t="s">
        <v>127</v>
      </c>
      <c r="T9" s="37" t="s">
        <v>127</v>
      </c>
      <c r="U9" s="37" t="s">
        <v>136</v>
      </c>
      <c r="V9" s="37" t="b">
        <v>0</v>
      </c>
      <c r="W9" s="37" t="s">
        <v>127</v>
      </c>
      <c r="X9" s="123"/>
      <c r="Y9" s="37" t="s">
        <v>127</v>
      </c>
      <c r="Z9" s="37">
        <v>72.12</v>
      </c>
      <c r="AA9" s="37">
        <v>230</v>
      </c>
      <c r="AB9" s="37" t="s">
        <v>127</v>
      </c>
      <c r="AC9" s="78">
        <v>4.0999999999999996</v>
      </c>
      <c r="AD9" s="78">
        <v>5987485</v>
      </c>
      <c r="AE9" s="37" t="s">
        <v>186</v>
      </c>
      <c r="AF9" s="37">
        <v>103</v>
      </c>
      <c r="AG9" s="37" t="s">
        <v>127</v>
      </c>
      <c r="AH9" s="37" t="b">
        <v>1</v>
      </c>
      <c r="AI9" s="37" t="s">
        <v>127</v>
      </c>
      <c r="AJ9" s="77" t="s">
        <v>142</v>
      </c>
      <c r="AK9" s="37" t="s">
        <v>127</v>
      </c>
      <c r="AL9" s="37" t="s">
        <v>127</v>
      </c>
      <c r="AM9" s="37" t="b">
        <v>0</v>
      </c>
      <c r="AN9" s="37" t="s">
        <v>127</v>
      </c>
      <c r="AO9" s="37" t="s">
        <v>127</v>
      </c>
      <c r="AP9" s="37" t="s">
        <v>137</v>
      </c>
      <c r="AQ9" s="37" t="b">
        <v>0</v>
      </c>
      <c r="AR9" s="37" t="s">
        <v>127</v>
      </c>
      <c r="AS9" s="37" t="s">
        <v>127</v>
      </c>
      <c r="AT9" s="37" t="s">
        <v>127</v>
      </c>
      <c r="AU9" s="37" t="s">
        <v>127</v>
      </c>
      <c r="AV9" s="37" t="s">
        <v>127</v>
      </c>
      <c r="AW9" s="37" t="s">
        <v>127</v>
      </c>
      <c r="AX9" s="37" t="s">
        <v>161</v>
      </c>
      <c r="AY9" s="37" t="s">
        <v>127</v>
      </c>
      <c r="AZ9" s="37" t="s">
        <v>127</v>
      </c>
      <c r="BA9" s="37" t="s">
        <v>127</v>
      </c>
      <c r="BB9" s="37" t="s">
        <v>143</v>
      </c>
      <c r="BC9" s="77" t="s">
        <v>127</v>
      </c>
      <c r="BD9" s="76" t="s">
        <v>187</v>
      </c>
      <c r="BE9" s="37" t="s">
        <v>127</v>
      </c>
      <c r="BF9" s="86" t="s">
        <v>188</v>
      </c>
      <c r="BG9" s="39" t="s">
        <v>127</v>
      </c>
      <c r="BH9" s="37" t="s">
        <v>127</v>
      </c>
      <c r="BI9" s="40" t="b">
        <v>0</v>
      </c>
      <c r="BJ9" s="40" t="s">
        <v>137</v>
      </c>
      <c r="BK9" s="37" t="s">
        <v>137</v>
      </c>
      <c r="BL9" s="41">
        <v>1248.2272699999999</v>
      </c>
      <c r="BM9" s="41">
        <v>1098.4005099999999</v>
      </c>
      <c r="BN9" s="41">
        <v>5.59016</v>
      </c>
      <c r="BO9" s="41">
        <v>22.08175</v>
      </c>
      <c r="BP9" s="41">
        <v>1.0325</v>
      </c>
      <c r="BQ9" s="41">
        <v>0</v>
      </c>
      <c r="BR9" s="41">
        <v>0</v>
      </c>
      <c r="BS9" s="41">
        <v>0</v>
      </c>
      <c r="BT9" s="41">
        <v>0</v>
      </c>
      <c r="BU9" s="41">
        <v>0</v>
      </c>
      <c r="BV9" s="41">
        <v>0</v>
      </c>
      <c r="BW9" s="49">
        <v>0</v>
      </c>
      <c r="BX9" s="37" t="s">
        <v>127</v>
      </c>
      <c r="BY9" s="37" t="s">
        <v>127</v>
      </c>
      <c r="BZ9" s="37" t="s">
        <v>176</v>
      </c>
      <c r="CA9" s="41">
        <v>5.59</v>
      </c>
      <c r="CB9" s="41">
        <v>22.02</v>
      </c>
      <c r="CC9" s="41">
        <v>1.03</v>
      </c>
      <c r="CD9" s="41">
        <v>0</v>
      </c>
      <c r="CE9" s="41">
        <v>0</v>
      </c>
      <c r="CF9" s="41">
        <v>0</v>
      </c>
      <c r="CG9" s="45">
        <v>0</v>
      </c>
      <c r="CH9" s="45" t="s">
        <v>137</v>
      </c>
      <c r="CI9" s="37" t="s">
        <v>127</v>
      </c>
      <c r="CJ9" s="77" t="s">
        <v>127</v>
      </c>
      <c r="CK9" s="98">
        <v>0.18140000000000001</v>
      </c>
      <c r="CL9" s="98">
        <v>0.81859999999999999</v>
      </c>
      <c r="CM9" s="100" t="s">
        <v>189</v>
      </c>
    </row>
    <row r="10" spans="1:91" ht="12.75" customHeight="1" x14ac:dyDescent="0.3">
      <c r="A10" s="37">
        <v>8</v>
      </c>
      <c r="B10" s="37" t="s">
        <v>190</v>
      </c>
      <c r="C10" s="124"/>
      <c r="D10" s="126"/>
      <c r="E10" s="37" t="s">
        <v>191</v>
      </c>
      <c r="F10" s="36" t="s">
        <v>192</v>
      </c>
      <c r="G10" s="81" t="s">
        <v>184</v>
      </c>
      <c r="H10" s="38" t="s">
        <v>130</v>
      </c>
      <c r="I10" s="38" t="s">
        <v>131</v>
      </c>
      <c r="J10" s="38" t="s">
        <v>127</v>
      </c>
      <c r="K10" s="38" t="s">
        <v>132</v>
      </c>
      <c r="L10" s="81" t="s">
        <v>149</v>
      </c>
      <c r="M10" s="38" t="s">
        <v>127</v>
      </c>
      <c r="N10" s="38" t="s">
        <v>127</v>
      </c>
      <c r="O10" s="76">
        <v>45411</v>
      </c>
      <c r="P10" s="37" t="s">
        <v>193</v>
      </c>
      <c r="Q10" s="37" t="s">
        <v>127</v>
      </c>
      <c r="R10" s="37" t="s">
        <v>127</v>
      </c>
      <c r="S10" s="37" t="s">
        <v>127</v>
      </c>
      <c r="T10" s="37" t="s">
        <v>127</v>
      </c>
      <c r="U10" s="37" t="s">
        <v>136</v>
      </c>
      <c r="V10" s="37" t="b">
        <v>0</v>
      </c>
      <c r="W10" s="37" t="s">
        <v>127</v>
      </c>
      <c r="X10" s="123"/>
      <c r="Y10" s="37" t="s">
        <v>127</v>
      </c>
      <c r="Z10" s="37">
        <v>12.37</v>
      </c>
      <c r="AA10" s="37">
        <v>12</v>
      </c>
      <c r="AB10" s="37" t="s">
        <v>194</v>
      </c>
      <c r="AC10" s="78">
        <v>4.0999999999999996</v>
      </c>
      <c r="AD10" s="78">
        <v>5987512</v>
      </c>
      <c r="AE10" s="37" t="s">
        <v>195</v>
      </c>
      <c r="AF10" s="37">
        <v>103</v>
      </c>
      <c r="AG10" s="37" t="s">
        <v>127</v>
      </c>
      <c r="AH10" s="37" t="b">
        <v>1</v>
      </c>
      <c r="AI10" s="37" t="s">
        <v>127</v>
      </c>
      <c r="AJ10" s="77" t="s">
        <v>142</v>
      </c>
      <c r="AK10" s="37" t="s">
        <v>127</v>
      </c>
      <c r="AL10" s="37" t="s">
        <v>127</v>
      </c>
      <c r="AM10" s="37" t="b">
        <v>0</v>
      </c>
      <c r="AN10" s="37" t="s">
        <v>127</v>
      </c>
      <c r="AO10" s="37" t="s">
        <v>127</v>
      </c>
      <c r="AP10" s="37" t="s">
        <v>137</v>
      </c>
      <c r="AQ10" s="37" t="b">
        <v>0</v>
      </c>
      <c r="AR10" s="37" t="s">
        <v>127</v>
      </c>
      <c r="AS10" s="76" t="s">
        <v>127</v>
      </c>
      <c r="AT10" s="37" t="s">
        <v>127</v>
      </c>
      <c r="AU10" s="37" t="s">
        <v>127</v>
      </c>
      <c r="AV10" s="37" t="s">
        <v>127</v>
      </c>
      <c r="AW10" s="37" t="s">
        <v>127</v>
      </c>
      <c r="AX10" s="37" t="s">
        <v>161</v>
      </c>
      <c r="AY10" s="37" t="s">
        <v>127</v>
      </c>
      <c r="AZ10" s="37" t="s">
        <v>127</v>
      </c>
      <c r="BA10" s="37" t="s">
        <v>127</v>
      </c>
      <c r="BB10" s="37" t="s">
        <v>143</v>
      </c>
      <c r="BC10" s="77" t="s">
        <v>127</v>
      </c>
      <c r="BD10" s="76" t="s">
        <v>196</v>
      </c>
      <c r="BE10" s="37" t="s">
        <v>127</v>
      </c>
      <c r="BF10" s="86" t="s">
        <v>197</v>
      </c>
      <c r="BG10" s="39" t="s">
        <v>127</v>
      </c>
      <c r="BH10" s="39" t="s">
        <v>127</v>
      </c>
      <c r="BI10" s="40" t="b">
        <v>1</v>
      </c>
      <c r="BJ10" s="40" t="s">
        <v>137</v>
      </c>
      <c r="BK10" s="37" t="s">
        <v>137</v>
      </c>
      <c r="BL10" s="41">
        <v>1077.4762500000002</v>
      </c>
      <c r="BM10" s="41">
        <v>229.47796</v>
      </c>
      <c r="BN10" s="41">
        <v>242.10869</v>
      </c>
      <c r="BO10" s="41">
        <v>136.33441999999999</v>
      </c>
      <c r="BP10" s="41">
        <v>118.84620000000001</v>
      </c>
      <c r="BQ10" s="41">
        <v>288.74426</v>
      </c>
      <c r="BR10" s="41">
        <v>61.96472</v>
      </c>
      <c r="BS10" s="41">
        <v>0</v>
      </c>
      <c r="BT10" s="41">
        <v>0</v>
      </c>
      <c r="BU10" s="41">
        <v>0</v>
      </c>
      <c r="BV10" s="41">
        <v>0</v>
      </c>
      <c r="BW10" s="49">
        <v>0</v>
      </c>
      <c r="BX10" s="37" t="s">
        <v>127</v>
      </c>
      <c r="BY10" s="37" t="s">
        <v>127</v>
      </c>
      <c r="BZ10" s="37" t="s">
        <v>198</v>
      </c>
      <c r="CA10" s="41">
        <v>0</v>
      </c>
      <c r="CB10" s="41">
        <v>0</v>
      </c>
      <c r="CC10" s="41">
        <v>0</v>
      </c>
      <c r="CD10" s="41">
        <v>1012.1407800000001</v>
      </c>
      <c r="CE10" s="41">
        <v>87.84</v>
      </c>
      <c r="CF10" s="41">
        <v>61.96472</v>
      </c>
      <c r="CG10" s="45">
        <v>0</v>
      </c>
      <c r="CH10" s="45" t="s">
        <v>137</v>
      </c>
      <c r="CI10" s="37" t="s">
        <v>127</v>
      </c>
      <c r="CJ10" s="77" t="s">
        <v>127</v>
      </c>
      <c r="CK10" s="98">
        <v>0.18140000000000001</v>
      </c>
      <c r="CL10" s="98">
        <v>0.81859999999999999</v>
      </c>
      <c r="CM10" s="100" t="s">
        <v>189</v>
      </c>
    </row>
    <row r="11" spans="1:91" ht="12.75" customHeight="1" x14ac:dyDescent="0.3">
      <c r="A11" s="37">
        <v>9</v>
      </c>
      <c r="B11" s="37" t="s">
        <v>199</v>
      </c>
      <c r="C11" s="124"/>
      <c r="D11" s="124"/>
      <c r="E11" s="37" t="s">
        <v>200</v>
      </c>
      <c r="F11" s="36" t="s">
        <v>201</v>
      </c>
      <c r="G11" s="81" t="s">
        <v>167</v>
      </c>
      <c r="H11" s="37" t="s">
        <v>130</v>
      </c>
      <c r="I11" s="37" t="s">
        <v>130</v>
      </c>
      <c r="J11" s="38" t="s">
        <v>127</v>
      </c>
      <c r="K11" s="37" t="s">
        <v>132</v>
      </c>
      <c r="L11" s="75" t="s">
        <v>149</v>
      </c>
      <c r="M11" s="37" t="s">
        <v>127</v>
      </c>
      <c r="N11" s="37" t="s">
        <v>127</v>
      </c>
      <c r="O11" s="76">
        <v>45426</v>
      </c>
      <c r="P11" s="37">
        <v>9</v>
      </c>
      <c r="Q11" s="37" t="s">
        <v>127</v>
      </c>
      <c r="R11" s="37" t="s">
        <v>127</v>
      </c>
      <c r="S11" s="37" t="s">
        <v>127</v>
      </c>
      <c r="T11" s="37" t="s">
        <v>127</v>
      </c>
      <c r="U11" s="37" t="s">
        <v>136</v>
      </c>
      <c r="V11" s="37" t="b">
        <v>0</v>
      </c>
      <c r="W11" s="37" t="s">
        <v>127</v>
      </c>
      <c r="X11" s="123"/>
      <c r="Y11" s="37" t="s">
        <v>127</v>
      </c>
      <c r="Z11" s="37">
        <v>10.210000000000001</v>
      </c>
      <c r="AA11" s="37">
        <v>230</v>
      </c>
      <c r="AB11" s="37">
        <v>230</v>
      </c>
      <c r="AC11" s="78">
        <v>4.0999999999999996</v>
      </c>
      <c r="AD11" s="78">
        <v>5987522</v>
      </c>
      <c r="AE11" s="37" t="s">
        <v>202</v>
      </c>
      <c r="AF11" s="37">
        <v>103</v>
      </c>
      <c r="AG11" s="37" t="s">
        <v>127</v>
      </c>
      <c r="AH11" s="37" t="b">
        <v>1</v>
      </c>
      <c r="AI11" s="37" t="s">
        <v>127</v>
      </c>
      <c r="AJ11" s="77" t="s">
        <v>142</v>
      </c>
      <c r="AK11" s="37" t="s">
        <v>127</v>
      </c>
      <c r="AL11" s="37" t="s">
        <v>127</v>
      </c>
      <c r="AM11" s="37" t="b">
        <v>0</v>
      </c>
      <c r="AN11" s="37" t="s">
        <v>127</v>
      </c>
      <c r="AO11" s="37" t="s">
        <v>127</v>
      </c>
      <c r="AP11" s="37" t="s">
        <v>137</v>
      </c>
      <c r="AQ11" s="37" t="b">
        <v>0</v>
      </c>
      <c r="AR11" s="37" t="s">
        <v>127</v>
      </c>
      <c r="AS11" s="76" t="s">
        <v>127</v>
      </c>
      <c r="AT11" s="37" t="s">
        <v>127</v>
      </c>
      <c r="AU11" s="37" t="s">
        <v>127</v>
      </c>
      <c r="AV11" s="37" t="s">
        <v>127</v>
      </c>
      <c r="AW11" s="37" t="s">
        <v>127</v>
      </c>
      <c r="AX11" s="37" t="s">
        <v>127</v>
      </c>
      <c r="AY11" s="76" t="s">
        <v>127</v>
      </c>
      <c r="AZ11" s="77" t="s">
        <v>127</v>
      </c>
      <c r="BA11" s="37" t="s">
        <v>127</v>
      </c>
      <c r="BB11" s="37" t="s">
        <v>143</v>
      </c>
      <c r="BC11" s="77" t="s">
        <v>127</v>
      </c>
      <c r="BD11" s="76" t="s">
        <v>127</v>
      </c>
      <c r="BE11" s="37" t="s">
        <v>127</v>
      </c>
      <c r="BF11" s="80" t="s">
        <v>127</v>
      </c>
      <c r="BG11" s="39" t="s">
        <v>127</v>
      </c>
      <c r="BH11" s="39" t="s">
        <v>127</v>
      </c>
      <c r="BI11" s="40" t="b">
        <v>0</v>
      </c>
      <c r="BJ11" s="40" t="s">
        <v>137</v>
      </c>
      <c r="BK11" s="37" t="s">
        <v>137</v>
      </c>
      <c r="BL11" s="41">
        <v>2784.3640400000027</v>
      </c>
      <c r="BM11" s="41">
        <v>1664.70632</v>
      </c>
      <c r="BN11" s="41">
        <v>2522.554070000001</v>
      </c>
      <c r="BO11" s="41">
        <v>-801.34316000000001</v>
      </c>
      <c r="BP11" s="41">
        <v>-441.45282999999995</v>
      </c>
      <c r="BQ11" s="41">
        <v>-160.10035999999999</v>
      </c>
      <c r="BR11" s="41">
        <v>0</v>
      </c>
      <c r="BS11" s="41">
        <v>0</v>
      </c>
      <c r="BT11" s="41">
        <v>0</v>
      </c>
      <c r="BU11" s="41">
        <v>0</v>
      </c>
      <c r="BV11" s="41">
        <v>0</v>
      </c>
      <c r="BW11" s="49">
        <v>0</v>
      </c>
      <c r="BX11" s="37" t="s">
        <v>127</v>
      </c>
      <c r="BY11" s="37" t="s">
        <v>127</v>
      </c>
      <c r="BZ11" s="37" t="s">
        <v>203</v>
      </c>
      <c r="CA11" s="41">
        <v>4172.9489999999996</v>
      </c>
      <c r="CB11" s="41">
        <v>-923.82</v>
      </c>
      <c r="CC11" s="41">
        <v>-430.45</v>
      </c>
      <c r="CD11" s="41">
        <v>-160.1</v>
      </c>
      <c r="CE11" s="41">
        <v>0</v>
      </c>
      <c r="CF11" s="41">
        <v>0</v>
      </c>
      <c r="CG11" s="45">
        <v>0</v>
      </c>
      <c r="CH11" s="45" t="s">
        <v>137</v>
      </c>
      <c r="CI11" s="77" t="s">
        <v>127</v>
      </c>
      <c r="CJ11" s="77" t="s">
        <v>127</v>
      </c>
      <c r="CK11" s="98">
        <v>0.18140000000000001</v>
      </c>
      <c r="CL11" s="98">
        <v>0.81859999999999999</v>
      </c>
      <c r="CM11" s="100" t="s">
        <v>189</v>
      </c>
    </row>
    <row r="12" spans="1:91" ht="12.75" customHeight="1" x14ac:dyDescent="0.3">
      <c r="A12" s="37">
        <v>10</v>
      </c>
      <c r="B12" s="37" t="s">
        <v>204</v>
      </c>
      <c r="C12" s="124"/>
      <c r="D12" s="124"/>
      <c r="E12" s="37" t="s">
        <v>200</v>
      </c>
      <c r="F12" s="36" t="s">
        <v>205</v>
      </c>
      <c r="G12" s="81" t="s">
        <v>148</v>
      </c>
      <c r="H12" s="38" t="s">
        <v>131</v>
      </c>
      <c r="I12" s="38" t="s">
        <v>131</v>
      </c>
      <c r="J12" s="38" t="s">
        <v>127</v>
      </c>
      <c r="K12" s="38" t="s">
        <v>132</v>
      </c>
      <c r="L12" s="81" t="s">
        <v>206</v>
      </c>
      <c r="M12" s="38" t="s">
        <v>127</v>
      </c>
      <c r="N12" s="38" t="s">
        <v>127</v>
      </c>
      <c r="O12" s="76">
        <v>45426</v>
      </c>
      <c r="P12" s="37" t="s">
        <v>127</v>
      </c>
      <c r="Q12" s="37" t="s">
        <v>127</v>
      </c>
      <c r="R12" s="37" t="s">
        <v>127</v>
      </c>
      <c r="S12" s="37" t="s">
        <v>127</v>
      </c>
      <c r="T12" s="37" t="s">
        <v>127</v>
      </c>
      <c r="U12" s="37" t="s">
        <v>136</v>
      </c>
      <c r="V12" s="37" t="b">
        <v>0</v>
      </c>
      <c r="W12" s="37" t="s">
        <v>127</v>
      </c>
      <c r="X12" s="123"/>
      <c r="Y12" s="37" t="s">
        <v>127</v>
      </c>
      <c r="Z12" s="37">
        <v>9.6</v>
      </c>
      <c r="AA12" s="37">
        <v>69</v>
      </c>
      <c r="AB12" s="37">
        <v>69</v>
      </c>
      <c r="AC12" s="78">
        <v>4.0999999999999996</v>
      </c>
      <c r="AD12" s="78">
        <v>5987524</v>
      </c>
      <c r="AE12" s="37" t="s">
        <v>127</v>
      </c>
      <c r="AF12" s="37">
        <v>103</v>
      </c>
      <c r="AG12" s="37" t="s">
        <v>127</v>
      </c>
      <c r="AH12" s="37" t="b">
        <v>0</v>
      </c>
      <c r="AI12" s="37" t="s">
        <v>127</v>
      </c>
      <c r="AJ12" s="77" t="s">
        <v>142</v>
      </c>
      <c r="AK12" s="37" t="s">
        <v>127</v>
      </c>
      <c r="AL12" s="37" t="s">
        <v>127</v>
      </c>
      <c r="AM12" s="37" t="b">
        <v>0</v>
      </c>
      <c r="AN12" s="37" t="s">
        <v>127</v>
      </c>
      <c r="AO12" s="37" t="s">
        <v>127</v>
      </c>
      <c r="AP12" s="37" t="s">
        <v>137</v>
      </c>
      <c r="AQ12" s="37" t="b">
        <v>0</v>
      </c>
      <c r="AR12" s="37" t="s">
        <v>127</v>
      </c>
      <c r="AS12" s="76" t="s">
        <v>127</v>
      </c>
      <c r="AT12" s="37" t="s">
        <v>127</v>
      </c>
      <c r="AU12" s="37" t="s">
        <v>127</v>
      </c>
      <c r="AV12" s="37" t="s">
        <v>127</v>
      </c>
      <c r="AW12" s="37" t="s">
        <v>127</v>
      </c>
      <c r="AX12" s="77" t="s">
        <v>161</v>
      </c>
      <c r="AY12" s="76" t="s">
        <v>127</v>
      </c>
      <c r="AZ12" s="77" t="s">
        <v>127</v>
      </c>
      <c r="BA12" s="37" t="s">
        <v>127</v>
      </c>
      <c r="BB12" s="37" t="s">
        <v>143</v>
      </c>
      <c r="BC12" s="77" t="s">
        <v>127</v>
      </c>
      <c r="BD12" s="76">
        <v>43592</v>
      </c>
      <c r="BE12" s="37" t="s">
        <v>127</v>
      </c>
      <c r="BF12" s="80">
        <v>43872</v>
      </c>
      <c r="BG12" s="39" t="s">
        <v>127</v>
      </c>
      <c r="BH12" s="39" t="s">
        <v>127</v>
      </c>
      <c r="BI12" s="40" t="b">
        <v>0</v>
      </c>
      <c r="BJ12" s="40" t="s">
        <v>137</v>
      </c>
      <c r="BK12" s="37" t="s">
        <v>137</v>
      </c>
      <c r="BL12" s="41">
        <v>3026.7512300000003</v>
      </c>
      <c r="BM12" s="41">
        <v>2916.6495300000001</v>
      </c>
      <c r="BN12" s="41">
        <v>108.83045999999999</v>
      </c>
      <c r="BO12" s="41">
        <v>1.2712400000000001</v>
      </c>
      <c r="BP12" s="41">
        <v>0</v>
      </c>
      <c r="BQ12" s="41">
        <v>0</v>
      </c>
      <c r="BR12" s="41">
        <v>0</v>
      </c>
      <c r="BS12" s="41">
        <v>0</v>
      </c>
      <c r="BT12" s="41">
        <v>0</v>
      </c>
      <c r="BU12" s="41">
        <v>0</v>
      </c>
      <c r="BV12" s="41">
        <v>0</v>
      </c>
      <c r="BW12" s="49">
        <v>0</v>
      </c>
      <c r="BX12" s="37" t="s">
        <v>127</v>
      </c>
      <c r="BY12" s="37" t="s">
        <v>127</v>
      </c>
      <c r="BZ12" s="37" t="s">
        <v>207</v>
      </c>
      <c r="CA12" s="41">
        <v>3025.48</v>
      </c>
      <c r="CB12" s="41">
        <v>1.27</v>
      </c>
      <c r="CC12" s="41">
        <v>0</v>
      </c>
      <c r="CD12" s="41">
        <v>0</v>
      </c>
      <c r="CE12" s="41">
        <v>0</v>
      </c>
      <c r="CF12" s="41">
        <v>0</v>
      </c>
      <c r="CG12" s="45">
        <v>0</v>
      </c>
      <c r="CH12" s="45" t="s">
        <v>137</v>
      </c>
      <c r="CI12" s="37" t="s">
        <v>127</v>
      </c>
      <c r="CJ12" s="77" t="s">
        <v>127</v>
      </c>
      <c r="CK12" s="98">
        <v>0.18140000000000001</v>
      </c>
      <c r="CL12" s="98">
        <v>0.81859999999999999</v>
      </c>
      <c r="CM12" s="100" t="s">
        <v>208</v>
      </c>
    </row>
    <row r="13" spans="1:91" ht="12.75" customHeight="1" x14ac:dyDescent="0.3">
      <c r="A13" s="37">
        <v>11</v>
      </c>
      <c r="B13" s="37" t="s">
        <v>209</v>
      </c>
      <c r="C13" s="123"/>
      <c r="D13" s="127"/>
      <c r="E13" s="77" t="s">
        <v>127</v>
      </c>
      <c r="F13" s="36" t="s">
        <v>210</v>
      </c>
      <c r="G13" s="75" t="s">
        <v>211</v>
      </c>
      <c r="H13" s="37" t="s">
        <v>127</v>
      </c>
      <c r="I13" s="37" t="s">
        <v>127</v>
      </c>
      <c r="J13" s="37" t="s">
        <v>127</v>
      </c>
      <c r="K13" s="37" t="s">
        <v>212</v>
      </c>
      <c r="L13" s="75" t="s">
        <v>213</v>
      </c>
      <c r="M13" s="37" t="s">
        <v>127</v>
      </c>
      <c r="N13" s="37" t="s">
        <v>127</v>
      </c>
      <c r="O13" s="76" t="s">
        <v>134</v>
      </c>
      <c r="P13" s="37" t="s">
        <v>135</v>
      </c>
      <c r="Q13" s="37" t="s">
        <v>127</v>
      </c>
      <c r="R13" s="37" t="s">
        <v>127</v>
      </c>
      <c r="S13" s="37" t="s">
        <v>127</v>
      </c>
      <c r="T13" s="37" t="s">
        <v>127</v>
      </c>
      <c r="U13" s="37" t="s">
        <v>136</v>
      </c>
      <c r="V13" s="37" t="b">
        <v>0</v>
      </c>
      <c r="W13" s="77" t="s">
        <v>127</v>
      </c>
      <c r="X13" s="123"/>
      <c r="Y13" s="37" t="s">
        <v>137</v>
      </c>
      <c r="Z13" s="37" t="s">
        <v>137</v>
      </c>
      <c r="AA13" s="37" t="s">
        <v>153</v>
      </c>
      <c r="AB13" s="37" t="s">
        <v>127</v>
      </c>
      <c r="AC13" s="78" t="s">
        <v>127</v>
      </c>
      <c r="AD13" s="78" t="s">
        <v>139</v>
      </c>
      <c r="AE13" s="37" t="s">
        <v>140</v>
      </c>
      <c r="AF13" s="37">
        <v>104</v>
      </c>
      <c r="AG13" s="37" t="s">
        <v>141</v>
      </c>
      <c r="AH13" s="37" t="b">
        <v>1</v>
      </c>
      <c r="AI13" s="76">
        <v>45258</v>
      </c>
      <c r="AJ13" s="77" t="s">
        <v>142</v>
      </c>
      <c r="AK13" s="37" t="s">
        <v>127</v>
      </c>
      <c r="AL13" s="37" t="s">
        <v>127</v>
      </c>
      <c r="AM13" s="37" t="b">
        <v>0</v>
      </c>
      <c r="AN13" s="37" t="s">
        <v>127</v>
      </c>
      <c r="AO13" s="37" t="s">
        <v>127</v>
      </c>
      <c r="AP13" s="37" t="s">
        <v>137</v>
      </c>
      <c r="AQ13" s="37" t="b">
        <v>0</v>
      </c>
      <c r="AR13" s="37" t="s">
        <v>127</v>
      </c>
      <c r="AS13" s="76" t="s">
        <v>137</v>
      </c>
      <c r="AT13" s="37" t="s">
        <v>127</v>
      </c>
      <c r="AU13" s="37" t="s">
        <v>127</v>
      </c>
      <c r="AV13" s="37" t="s">
        <v>137</v>
      </c>
      <c r="AW13" s="37" t="s">
        <v>137</v>
      </c>
      <c r="AX13" s="37" t="s">
        <v>127</v>
      </c>
      <c r="AY13" s="76" t="s">
        <v>127</v>
      </c>
      <c r="AZ13" s="77" t="s">
        <v>127</v>
      </c>
      <c r="BA13" s="37" t="s">
        <v>127</v>
      </c>
      <c r="BB13" s="37" t="s">
        <v>154</v>
      </c>
      <c r="BC13" s="77" t="s">
        <v>127</v>
      </c>
      <c r="BD13" s="76" t="s">
        <v>127</v>
      </c>
      <c r="BE13" s="37" t="s">
        <v>127</v>
      </c>
      <c r="BF13" s="80" t="s">
        <v>127</v>
      </c>
      <c r="BG13" s="39" t="s">
        <v>127</v>
      </c>
      <c r="BH13" s="37" t="s">
        <v>127</v>
      </c>
      <c r="BI13" s="40" t="b">
        <v>1</v>
      </c>
      <c r="BJ13" s="40" t="s">
        <v>137</v>
      </c>
      <c r="BK13" s="37" t="s">
        <v>127</v>
      </c>
      <c r="BL13" s="110">
        <f>7068.65220808547-BL14</f>
        <v>5602.3255354944595</v>
      </c>
      <c r="BM13" s="110">
        <f>347.23448-BM14</f>
        <v>347.23448000000002</v>
      </c>
      <c r="BN13" s="110">
        <f>61.774-BN14</f>
        <v>61.774000000000001</v>
      </c>
      <c r="BO13" s="110">
        <f>30.73549-BO14</f>
        <v>30.735489999999999</v>
      </c>
      <c r="BP13" s="110">
        <f>512.3698-BP14</f>
        <v>71.787220000000048</v>
      </c>
      <c r="BQ13" s="110">
        <f>725.38671-BQ14</f>
        <v>16.081059999999866</v>
      </c>
      <c r="BR13" s="110">
        <f>1980.59388517047-BR14</f>
        <v>1664.1554425794595</v>
      </c>
      <c r="BS13" s="110">
        <f>779.161724385-BS14</f>
        <v>779.16172438499996</v>
      </c>
      <c r="BT13" s="110">
        <f>785.132752785-BT14</f>
        <v>785.13275278499998</v>
      </c>
      <c r="BU13" s="110">
        <f>791.32769475-BU14</f>
        <v>791.32769474999998</v>
      </c>
      <c r="BV13" s="110">
        <f>797.721670995-BV14</f>
        <v>797.72167099499995</v>
      </c>
      <c r="BW13" s="111">
        <f>1500.60012-BW14</f>
        <v>96.733629999999948</v>
      </c>
      <c r="BX13" s="37" t="s">
        <v>127</v>
      </c>
      <c r="BY13" s="37" t="s">
        <v>127</v>
      </c>
      <c r="BZ13" s="37" t="s">
        <v>214</v>
      </c>
      <c r="CA13" s="41">
        <f>559.17674</f>
        <v>559.17674</v>
      </c>
      <c r="CB13" s="41">
        <f>30.81619</f>
        <v>30.816189999999999</v>
      </c>
      <c r="CC13" s="41">
        <v>0</v>
      </c>
      <c r="CD13" s="41">
        <v>0</v>
      </c>
      <c r="CE13" s="41">
        <v>0</v>
      </c>
      <c r="CF13" s="110">
        <f>4882.59-CF14</f>
        <v>3416.2633274089894</v>
      </c>
      <c r="CG13" s="45">
        <v>0</v>
      </c>
      <c r="CH13" s="45" t="s">
        <v>137</v>
      </c>
      <c r="CI13" s="37" t="s">
        <v>127</v>
      </c>
      <c r="CJ13" s="77" t="s">
        <v>127</v>
      </c>
      <c r="CK13" s="98">
        <v>0.18140000000000001</v>
      </c>
      <c r="CL13" s="98">
        <v>0.81859999999999999</v>
      </c>
      <c r="CM13" s="100" t="s">
        <v>215</v>
      </c>
    </row>
    <row r="14" spans="1:91" ht="12.75" customHeight="1" x14ac:dyDescent="0.3">
      <c r="A14" s="37">
        <v>12</v>
      </c>
      <c r="B14" s="37" t="s">
        <v>216</v>
      </c>
      <c r="C14" s="123"/>
      <c r="D14" s="123"/>
      <c r="E14" s="37" t="s">
        <v>127</v>
      </c>
      <c r="F14" s="36" t="s">
        <v>217</v>
      </c>
      <c r="G14" s="85" t="s">
        <v>211</v>
      </c>
      <c r="H14" s="38" t="s">
        <v>127</v>
      </c>
      <c r="I14" s="38" t="s">
        <v>127</v>
      </c>
      <c r="J14" s="38" t="s">
        <v>127</v>
      </c>
      <c r="K14" s="38" t="s">
        <v>212</v>
      </c>
      <c r="L14" s="82" t="s">
        <v>218</v>
      </c>
      <c r="M14" s="38" t="s">
        <v>127</v>
      </c>
      <c r="N14" s="38" t="s">
        <v>127</v>
      </c>
      <c r="O14" s="80">
        <v>45352</v>
      </c>
      <c r="P14" s="37" t="s">
        <v>127</v>
      </c>
      <c r="Q14" s="37" t="s">
        <v>127</v>
      </c>
      <c r="R14" s="37" t="s">
        <v>127</v>
      </c>
      <c r="S14" s="37" t="s">
        <v>127</v>
      </c>
      <c r="T14" s="37" t="s">
        <v>137</v>
      </c>
      <c r="U14" s="37" t="s">
        <v>136</v>
      </c>
      <c r="V14" s="37" t="b">
        <v>0</v>
      </c>
      <c r="W14" s="37" t="s">
        <v>127</v>
      </c>
      <c r="X14" s="123"/>
      <c r="Y14" s="37" t="s">
        <v>127</v>
      </c>
      <c r="Z14" s="37" t="s">
        <v>127</v>
      </c>
      <c r="AA14" s="37" t="s">
        <v>127</v>
      </c>
      <c r="AB14" s="37" t="s">
        <v>127</v>
      </c>
      <c r="AC14" s="78" t="s">
        <v>127</v>
      </c>
      <c r="AD14" s="78">
        <v>2301606</v>
      </c>
      <c r="AE14" s="37" t="s">
        <v>127</v>
      </c>
      <c r="AF14" s="37">
        <v>104</v>
      </c>
      <c r="AG14" s="37" t="s">
        <v>127</v>
      </c>
      <c r="AH14" s="37" t="b">
        <v>0</v>
      </c>
      <c r="AI14" s="37" t="s">
        <v>127</v>
      </c>
      <c r="AJ14" s="77" t="s">
        <v>142</v>
      </c>
      <c r="AK14" s="37" t="s">
        <v>127</v>
      </c>
      <c r="AL14" s="37" t="s">
        <v>127</v>
      </c>
      <c r="AM14" s="37" t="b">
        <v>0</v>
      </c>
      <c r="AN14" s="37" t="s">
        <v>127</v>
      </c>
      <c r="AO14" s="37" t="s">
        <v>127</v>
      </c>
      <c r="AP14" s="37" t="s">
        <v>127</v>
      </c>
      <c r="AQ14" s="37" t="b">
        <v>0</v>
      </c>
      <c r="AR14" s="37" t="s">
        <v>127</v>
      </c>
      <c r="AS14" s="37" t="s">
        <v>127</v>
      </c>
      <c r="AT14" s="37" t="s">
        <v>127</v>
      </c>
      <c r="AU14" s="37" t="s">
        <v>127</v>
      </c>
      <c r="AV14" s="37" t="s">
        <v>127</v>
      </c>
      <c r="AW14" s="37" t="s">
        <v>127</v>
      </c>
      <c r="AX14" s="77" t="s">
        <v>161</v>
      </c>
      <c r="AY14" s="80" t="s">
        <v>127</v>
      </c>
      <c r="AZ14" s="37" t="s">
        <v>127</v>
      </c>
      <c r="BA14" s="37" t="s">
        <v>137</v>
      </c>
      <c r="BB14" s="37" t="s">
        <v>219</v>
      </c>
      <c r="BC14" s="77" t="s">
        <v>127</v>
      </c>
      <c r="BD14" s="78" t="s">
        <v>127</v>
      </c>
      <c r="BE14" s="37" t="s">
        <v>127</v>
      </c>
      <c r="BF14" s="80" t="s">
        <v>127</v>
      </c>
      <c r="BG14" s="39" t="s">
        <v>127</v>
      </c>
      <c r="BH14" s="39" t="s">
        <v>127</v>
      </c>
      <c r="BI14" s="40" t="b">
        <v>1</v>
      </c>
      <c r="BJ14" s="40" t="s">
        <v>137</v>
      </c>
      <c r="BK14" s="37" t="s">
        <v>127</v>
      </c>
      <c r="BL14" s="41">
        <v>1466.3266725910103</v>
      </c>
      <c r="BM14" s="41">
        <v>0</v>
      </c>
      <c r="BN14" s="41">
        <v>0</v>
      </c>
      <c r="BO14" s="41">
        <v>0</v>
      </c>
      <c r="BP14" s="41">
        <v>440.58258000000001</v>
      </c>
      <c r="BQ14" s="41">
        <v>709.30565000000013</v>
      </c>
      <c r="BR14" s="41">
        <v>316.43844259101053</v>
      </c>
      <c r="BS14" s="41">
        <v>0</v>
      </c>
      <c r="BT14" s="41">
        <v>0</v>
      </c>
      <c r="BU14" s="41">
        <v>0</v>
      </c>
      <c r="BV14" s="41">
        <v>0</v>
      </c>
      <c r="BW14" s="49">
        <v>1403.8664900000001</v>
      </c>
      <c r="BX14" s="37" t="s">
        <v>127</v>
      </c>
      <c r="BY14" s="37" t="s">
        <v>127</v>
      </c>
      <c r="BZ14" s="37" t="s">
        <v>173</v>
      </c>
      <c r="CA14" s="41">
        <v>0</v>
      </c>
      <c r="CB14" s="41">
        <v>0</v>
      </c>
      <c r="CC14" s="41">
        <v>0</v>
      </c>
      <c r="CD14" s="41">
        <v>0</v>
      </c>
      <c r="CE14" s="41">
        <v>0</v>
      </c>
      <c r="CF14" s="41">
        <v>1466.3266725910105</v>
      </c>
      <c r="CG14" s="45">
        <v>0</v>
      </c>
      <c r="CH14" s="45" t="s">
        <v>127</v>
      </c>
      <c r="CI14" s="37" t="s">
        <v>127</v>
      </c>
      <c r="CJ14" s="77" t="s">
        <v>127</v>
      </c>
      <c r="CK14" s="98">
        <v>0.18140000000000001</v>
      </c>
      <c r="CL14" s="98">
        <v>0.81859999999999999</v>
      </c>
      <c r="CM14" s="100" t="s">
        <v>220</v>
      </c>
    </row>
    <row r="15" spans="1:91" ht="12.75" customHeight="1" x14ac:dyDescent="0.3">
      <c r="A15" s="37">
        <v>13</v>
      </c>
      <c r="B15" s="37" t="s">
        <v>221</v>
      </c>
      <c r="C15" s="127"/>
      <c r="D15" s="127"/>
      <c r="E15" s="77" t="s">
        <v>127</v>
      </c>
      <c r="F15" s="36" t="s">
        <v>222</v>
      </c>
      <c r="G15" s="81" t="s">
        <v>148</v>
      </c>
      <c r="H15" s="38" t="s">
        <v>152</v>
      </c>
      <c r="I15" s="38" t="s">
        <v>152</v>
      </c>
      <c r="J15" s="38" t="s">
        <v>127</v>
      </c>
      <c r="K15" s="38" t="s">
        <v>132</v>
      </c>
      <c r="L15" s="81" t="s">
        <v>149</v>
      </c>
      <c r="M15" s="38" t="s">
        <v>150</v>
      </c>
      <c r="N15" s="38" t="s">
        <v>150</v>
      </c>
      <c r="O15" s="76">
        <v>45378</v>
      </c>
      <c r="P15" s="37" t="s">
        <v>135</v>
      </c>
      <c r="Q15" s="37" t="s">
        <v>127</v>
      </c>
      <c r="R15" s="37" t="s">
        <v>127</v>
      </c>
      <c r="S15" s="37" t="s">
        <v>127</v>
      </c>
      <c r="T15" s="37" t="s">
        <v>127</v>
      </c>
      <c r="U15" s="37" t="s">
        <v>136</v>
      </c>
      <c r="V15" s="37" t="b">
        <v>0</v>
      </c>
      <c r="W15" s="37" t="s">
        <v>127</v>
      </c>
      <c r="X15" s="123"/>
      <c r="Y15" s="37" t="s">
        <v>137</v>
      </c>
      <c r="Z15" s="37" t="s">
        <v>137</v>
      </c>
      <c r="AA15" s="37" t="s">
        <v>127</v>
      </c>
      <c r="AB15" s="77" t="s">
        <v>127</v>
      </c>
      <c r="AC15" s="78">
        <v>1.3</v>
      </c>
      <c r="AD15" s="78" t="s">
        <v>139</v>
      </c>
      <c r="AE15" s="37" t="s">
        <v>140</v>
      </c>
      <c r="AF15" s="37">
        <v>106</v>
      </c>
      <c r="AG15" s="37" t="s">
        <v>127</v>
      </c>
      <c r="AH15" s="37" t="b">
        <v>0</v>
      </c>
      <c r="AI15" s="76">
        <v>45252</v>
      </c>
      <c r="AJ15" s="77" t="s">
        <v>142</v>
      </c>
      <c r="AK15" s="37">
        <v>2019</v>
      </c>
      <c r="AL15" s="37" t="s">
        <v>127</v>
      </c>
      <c r="AM15" s="37" t="b">
        <v>0</v>
      </c>
      <c r="AN15" s="37" t="s">
        <v>127</v>
      </c>
      <c r="AO15" s="37" t="s">
        <v>127</v>
      </c>
      <c r="AP15" s="37" t="s">
        <v>127</v>
      </c>
      <c r="AQ15" s="37" t="b">
        <v>0</v>
      </c>
      <c r="AR15" s="37" t="s">
        <v>127</v>
      </c>
      <c r="AS15" s="37" t="s">
        <v>127</v>
      </c>
      <c r="AT15" s="37" t="s">
        <v>127</v>
      </c>
      <c r="AU15" s="37" t="s">
        <v>127</v>
      </c>
      <c r="AV15" s="37" t="s">
        <v>127</v>
      </c>
      <c r="AW15" s="37" t="s">
        <v>127</v>
      </c>
      <c r="AX15" s="37" t="s">
        <v>127</v>
      </c>
      <c r="AY15" s="76" t="s">
        <v>127</v>
      </c>
      <c r="AZ15" s="76" t="s">
        <v>127</v>
      </c>
      <c r="BA15" s="76" t="s">
        <v>127</v>
      </c>
      <c r="BB15" s="37" t="s">
        <v>143</v>
      </c>
      <c r="BC15" s="77" t="s">
        <v>127</v>
      </c>
      <c r="BD15" s="76" t="s">
        <v>127</v>
      </c>
      <c r="BE15" s="37" t="s">
        <v>127</v>
      </c>
      <c r="BF15" s="80" t="s">
        <v>127</v>
      </c>
      <c r="BG15" s="39" t="s">
        <v>127</v>
      </c>
      <c r="BH15" s="39" t="s">
        <v>127</v>
      </c>
      <c r="BI15" s="40" t="b">
        <v>1</v>
      </c>
      <c r="BJ15" s="40" t="s">
        <v>137</v>
      </c>
      <c r="BK15" s="37" t="s">
        <v>127</v>
      </c>
      <c r="BL15" s="41">
        <v>1184.2550457370971</v>
      </c>
      <c r="BM15" s="41">
        <v>30.797380432000004</v>
      </c>
      <c r="BN15" s="41">
        <v>82.746510389999997</v>
      </c>
      <c r="BO15" s="41">
        <v>86.293090817999996</v>
      </c>
      <c r="BP15" s="41">
        <v>83.199821872999991</v>
      </c>
      <c r="BQ15" s="41">
        <v>93.577103186000002</v>
      </c>
      <c r="BR15" s="41">
        <v>115.63341862055951</v>
      </c>
      <c r="BS15" s="41">
        <v>137.7346331133698</v>
      </c>
      <c r="BT15" s="41">
        <v>153.03809537645665</v>
      </c>
      <c r="BU15" s="41">
        <v>166.66579058003063</v>
      </c>
      <c r="BV15" s="41">
        <v>127.31791466568005</v>
      </c>
      <c r="BW15" s="49">
        <v>0</v>
      </c>
      <c r="BX15" s="37" t="s">
        <v>127</v>
      </c>
      <c r="BY15" s="37" t="s">
        <v>127</v>
      </c>
      <c r="BZ15" s="37" t="s">
        <v>173</v>
      </c>
      <c r="CA15" s="41">
        <v>0</v>
      </c>
      <c r="CB15" s="41">
        <v>0</v>
      </c>
      <c r="CC15" s="41">
        <v>0</v>
      </c>
      <c r="CD15" s="41">
        <v>0</v>
      </c>
      <c r="CE15" s="41">
        <v>0</v>
      </c>
      <c r="CF15" s="41">
        <v>106.09246644960828</v>
      </c>
      <c r="CG15" s="45">
        <v>0</v>
      </c>
      <c r="CH15" s="45" t="s">
        <v>127</v>
      </c>
      <c r="CI15" s="78" t="s">
        <v>127</v>
      </c>
      <c r="CJ15" s="77" t="s">
        <v>127</v>
      </c>
      <c r="CK15" s="98">
        <v>0.18140000000000001</v>
      </c>
      <c r="CL15" s="98">
        <v>0.81859999999999999</v>
      </c>
      <c r="CM15" s="99" t="s">
        <v>223</v>
      </c>
    </row>
    <row r="16" spans="1:91" ht="12.75" customHeight="1" x14ac:dyDescent="0.3">
      <c r="A16" s="37">
        <v>14</v>
      </c>
      <c r="B16" s="37" t="s">
        <v>224</v>
      </c>
      <c r="C16" s="123"/>
      <c r="D16" s="127"/>
      <c r="E16" s="77" t="s">
        <v>127</v>
      </c>
      <c r="F16" s="36" t="s">
        <v>225</v>
      </c>
      <c r="G16" s="75" t="s">
        <v>226</v>
      </c>
      <c r="H16" s="37" t="s">
        <v>227</v>
      </c>
      <c r="I16" s="37" t="s">
        <v>127</v>
      </c>
      <c r="J16" s="37" t="s">
        <v>127</v>
      </c>
      <c r="K16" s="37" t="s">
        <v>228</v>
      </c>
      <c r="L16" s="75" t="s">
        <v>229</v>
      </c>
      <c r="M16" s="37" t="s">
        <v>127</v>
      </c>
      <c r="N16" s="37" t="s">
        <v>127</v>
      </c>
      <c r="O16" s="76" t="s">
        <v>134</v>
      </c>
      <c r="P16" s="37" t="s">
        <v>135</v>
      </c>
      <c r="Q16" s="37" t="s">
        <v>127</v>
      </c>
      <c r="R16" s="37" t="s">
        <v>127</v>
      </c>
      <c r="S16" s="37" t="s">
        <v>127</v>
      </c>
      <c r="T16" s="37" t="s">
        <v>137</v>
      </c>
      <c r="U16" s="37" t="s">
        <v>230</v>
      </c>
      <c r="V16" s="37" t="b">
        <v>1</v>
      </c>
      <c r="W16" s="77" t="s">
        <v>127</v>
      </c>
      <c r="X16" s="123"/>
      <c r="Y16" s="37" t="s">
        <v>137</v>
      </c>
      <c r="Z16" s="37" t="s">
        <v>137</v>
      </c>
      <c r="AA16" s="37">
        <v>69</v>
      </c>
      <c r="AB16" s="37" t="s">
        <v>127</v>
      </c>
      <c r="AC16" s="78" t="s">
        <v>127</v>
      </c>
      <c r="AD16" s="78" t="s">
        <v>139</v>
      </c>
      <c r="AE16" s="37" t="s">
        <v>140</v>
      </c>
      <c r="AF16" s="37">
        <v>206</v>
      </c>
      <c r="AG16" s="37" t="s">
        <v>141</v>
      </c>
      <c r="AH16" s="37" t="b">
        <v>1</v>
      </c>
      <c r="AI16" s="76">
        <v>45246</v>
      </c>
      <c r="AJ16" s="77" t="s">
        <v>142</v>
      </c>
      <c r="AK16" s="37" t="s">
        <v>127</v>
      </c>
      <c r="AL16" s="37" t="s">
        <v>127</v>
      </c>
      <c r="AM16" s="37" t="b">
        <v>0</v>
      </c>
      <c r="AN16" s="37" t="s">
        <v>127</v>
      </c>
      <c r="AO16" s="37" t="s">
        <v>127</v>
      </c>
      <c r="AP16" s="37" t="s">
        <v>137</v>
      </c>
      <c r="AQ16" s="37" t="b">
        <v>0</v>
      </c>
      <c r="AR16" s="37" t="s">
        <v>127</v>
      </c>
      <c r="AS16" s="37" t="s">
        <v>137</v>
      </c>
      <c r="AT16" s="37" t="s">
        <v>127</v>
      </c>
      <c r="AU16" s="37" t="s">
        <v>127</v>
      </c>
      <c r="AV16" s="37" t="s">
        <v>137</v>
      </c>
      <c r="AW16" s="37" t="s">
        <v>137</v>
      </c>
      <c r="AX16" s="37" t="s">
        <v>127</v>
      </c>
      <c r="AY16" s="37" t="s">
        <v>137</v>
      </c>
      <c r="AZ16" s="77" t="s">
        <v>127</v>
      </c>
      <c r="BA16" s="37" t="s">
        <v>137</v>
      </c>
      <c r="BB16" s="37" t="s">
        <v>143</v>
      </c>
      <c r="BC16" s="77" t="s">
        <v>127</v>
      </c>
      <c r="BD16" s="76" t="s">
        <v>127</v>
      </c>
      <c r="BE16" s="37" t="s">
        <v>127</v>
      </c>
      <c r="BF16" s="80" t="s">
        <v>127</v>
      </c>
      <c r="BG16" s="37" t="s">
        <v>127</v>
      </c>
      <c r="BH16" s="37" t="s">
        <v>127</v>
      </c>
      <c r="BI16" s="40" t="b">
        <v>1</v>
      </c>
      <c r="BJ16" s="40" t="s">
        <v>137</v>
      </c>
      <c r="BK16" s="37" t="s">
        <v>137</v>
      </c>
      <c r="BL16" s="110">
        <f>4943.10521840433-BL17</f>
        <v>1714.1203707883305</v>
      </c>
      <c r="BM16" s="110">
        <f>302.9443760276-BM17</f>
        <v>31.936548349600002</v>
      </c>
      <c r="BN16" s="110">
        <f>440.845786455-BN17</f>
        <v>32.731484484999953</v>
      </c>
      <c r="BO16" s="110">
        <f>548.0051582619-BO17</f>
        <v>0.50352469289987312</v>
      </c>
      <c r="BP16" s="110">
        <f>196.327654894-BP17</f>
        <v>0</v>
      </c>
      <c r="BQ16" s="110">
        <f>171.461330558-BQ17</f>
        <v>0</v>
      </c>
      <c r="BR16" s="110">
        <f>313.290868340982-BR17</f>
        <v>155.84880734798199</v>
      </c>
      <c r="BS16" s="110">
        <f>326.9832663216-BS17</f>
        <v>326.98326632160001</v>
      </c>
      <c r="BT16" s="110">
        <f>230.77295446968-BT17</f>
        <v>230.77295446968</v>
      </c>
      <c r="BU16" s="110">
        <f>236.5442869158-BU17</f>
        <v>236.5442869158</v>
      </c>
      <c r="BV16" s="110">
        <f>242.44952498712-BV17</f>
        <v>242.44952498711999</v>
      </c>
      <c r="BW16" s="111">
        <f>0-BW17</f>
        <v>0</v>
      </c>
      <c r="BX16" s="37" t="s">
        <v>127</v>
      </c>
      <c r="BY16" s="37" t="s">
        <v>127</v>
      </c>
      <c r="BZ16" s="37" t="s">
        <v>173</v>
      </c>
      <c r="CA16" s="41">
        <v>0</v>
      </c>
      <c r="CB16" s="41">
        <v>0</v>
      </c>
      <c r="CC16" s="41">
        <v>0</v>
      </c>
      <c r="CD16" s="41">
        <v>0</v>
      </c>
      <c r="CE16" s="41">
        <v>0</v>
      </c>
      <c r="CF16" s="110">
        <f>431.34-CF17</f>
        <v>273.89793900699999</v>
      </c>
      <c r="CG16" s="45">
        <v>0</v>
      </c>
      <c r="CH16" s="45" t="s">
        <v>137</v>
      </c>
      <c r="CI16" s="37" t="s">
        <v>127</v>
      </c>
      <c r="CJ16" s="77" t="s">
        <v>127</v>
      </c>
      <c r="CK16" s="98">
        <v>0</v>
      </c>
      <c r="CL16" s="98">
        <v>1</v>
      </c>
      <c r="CM16" s="100" t="s">
        <v>231</v>
      </c>
    </row>
    <row r="17" spans="1:91" ht="12.75" customHeight="1" x14ac:dyDescent="0.3">
      <c r="A17" s="37">
        <v>15</v>
      </c>
      <c r="B17" s="37" t="s">
        <v>232</v>
      </c>
      <c r="C17" s="123"/>
      <c r="D17" s="123"/>
      <c r="E17" s="37" t="s">
        <v>127</v>
      </c>
      <c r="F17" s="36" t="s">
        <v>233</v>
      </c>
      <c r="G17" s="81" t="s">
        <v>226</v>
      </c>
      <c r="H17" s="38" t="s">
        <v>152</v>
      </c>
      <c r="I17" s="38" t="s">
        <v>127</v>
      </c>
      <c r="J17" s="38" t="s">
        <v>127</v>
      </c>
      <c r="K17" s="38" t="s">
        <v>228</v>
      </c>
      <c r="L17" s="81" t="s">
        <v>234</v>
      </c>
      <c r="M17" s="38" t="s">
        <v>127</v>
      </c>
      <c r="N17" s="38" t="s">
        <v>127</v>
      </c>
      <c r="O17" s="76" t="s">
        <v>134</v>
      </c>
      <c r="P17" s="37" t="s">
        <v>135</v>
      </c>
      <c r="Q17" s="37" t="s">
        <v>127</v>
      </c>
      <c r="R17" s="37" t="s">
        <v>127</v>
      </c>
      <c r="S17" s="37" t="s">
        <v>127</v>
      </c>
      <c r="T17" s="37" t="s">
        <v>127</v>
      </c>
      <c r="U17" s="37" t="s">
        <v>235</v>
      </c>
      <c r="V17" s="37" t="b">
        <v>0</v>
      </c>
      <c r="W17" s="37" t="s">
        <v>127</v>
      </c>
      <c r="X17" s="123"/>
      <c r="Y17" s="37" t="s">
        <v>127</v>
      </c>
      <c r="Z17" s="37" t="s">
        <v>127</v>
      </c>
      <c r="AA17" s="37" t="s">
        <v>127</v>
      </c>
      <c r="AB17" s="37" t="s">
        <v>127</v>
      </c>
      <c r="AC17" s="78">
        <v>1.3</v>
      </c>
      <c r="AD17" s="78">
        <v>2595730</v>
      </c>
      <c r="AE17" s="37" t="s">
        <v>127</v>
      </c>
      <c r="AF17" s="37">
        <v>206</v>
      </c>
      <c r="AG17" s="37" t="s">
        <v>127</v>
      </c>
      <c r="AH17" s="37" t="b">
        <v>0</v>
      </c>
      <c r="AI17" s="76" t="s">
        <v>127</v>
      </c>
      <c r="AJ17" s="77" t="s">
        <v>142</v>
      </c>
      <c r="AK17" s="37" t="s">
        <v>127</v>
      </c>
      <c r="AL17" s="37" t="s">
        <v>127</v>
      </c>
      <c r="AM17" s="37" t="b">
        <v>0</v>
      </c>
      <c r="AN17" s="37" t="s">
        <v>127</v>
      </c>
      <c r="AO17" s="37" t="s">
        <v>127</v>
      </c>
      <c r="AP17" s="37" t="s">
        <v>127</v>
      </c>
      <c r="AQ17" s="37" t="b">
        <v>0</v>
      </c>
      <c r="AR17" s="37" t="s">
        <v>127</v>
      </c>
      <c r="AS17" s="37" t="s">
        <v>127</v>
      </c>
      <c r="AT17" s="37" t="s">
        <v>127</v>
      </c>
      <c r="AU17" s="37" t="s">
        <v>127</v>
      </c>
      <c r="AV17" s="37" t="s">
        <v>127</v>
      </c>
      <c r="AW17" s="37" t="s">
        <v>127</v>
      </c>
      <c r="AX17" s="77" t="s">
        <v>127</v>
      </c>
      <c r="AY17" s="80" t="s">
        <v>127</v>
      </c>
      <c r="AZ17" s="37" t="s">
        <v>127</v>
      </c>
      <c r="BA17" s="37" t="s">
        <v>127</v>
      </c>
      <c r="BB17" s="37" t="s">
        <v>143</v>
      </c>
      <c r="BC17" s="77" t="s">
        <v>127</v>
      </c>
      <c r="BD17" s="76" t="s">
        <v>127</v>
      </c>
      <c r="BE17" s="37" t="s">
        <v>127</v>
      </c>
      <c r="BF17" s="80" t="s">
        <v>127</v>
      </c>
      <c r="BG17" s="39" t="s">
        <v>127</v>
      </c>
      <c r="BH17" s="39" t="s">
        <v>127</v>
      </c>
      <c r="BI17" s="40" t="b">
        <v>1</v>
      </c>
      <c r="BJ17" s="40" t="s">
        <v>137</v>
      </c>
      <c r="BK17" s="37" t="s">
        <v>127</v>
      </c>
      <c r="BL17" s="41">
        <v>3228.9848476159996</v>
      </c>
      <c r="BM17" s="41">
        <v>271.00782767800001</v>
      </c>
      <c r="BN17" s="41">
        <v>408.11430197000004</v>
      </c>
      <c r="BO17" s="41">
        <v>547.50163356900009</v>
      </c>
      <c r="BP17" s="41">
        <v>196.32765489400001</v>
      </c>
      <c r="BQ17" s="41">
        <v>171.46133055800001</v>
      </c>
      <c r="BR17" s="41">
        <v>157.44206099300001</v>
      </c>
      <c r="BS17" s="41">
        <v>0</v>
      </c>
      <c r="BT17" s="41">
        <v>0</v>
      </c>
      <c r="BU17" s="41">
        <v>0</v>
      </c>
      <c r="BV17" s="41">
        <v>0</v>
      </c>
      <c r="BW17" s="49">
        <v>0</v>
      </c>
      <c r="BX17" s="37" t="s">
        <v>127</v>
      </c>
      <c r="BY17" s="37" t="s">
        <v>127</v>
      </c>
      <c r="BZ17" s="37" t="s">
        <v>173</v>
      </c>
      <c r="CA17" s="41">
        <v>0</v>
      </c>
      <c r="CB17" s="41">
        <v>0</v>
      </c>
      <c r="CC17" s="41">
        <v>0</v>
      </c>
      <c r="CD17" s="41">
        <v>0</v>
      </c>
      <c r="CE17" s="41">
        <v>0</v>
      </c>
      <c r="CF17" s="41">
        <v>157.44206099300001</v>
      </c>
      <c r="CG17" s="45">
        <v>0</v>
      </c>
      <c r="CH17" s="45" t="s">
        <v>127</v>
      </c>
      <c r="CI17" s="37" t="s">
        <v>127</v>
      </c>
      <c r="CJ17" s="77" t="s">
        <v>127</v>
      </c>
      <c r="CK17" s="98">
        <v>0</v>
      </c>
      <c r="CL17" s="98">
        <v>1</v>
      </c>
      <c r="CM17" s="99" t="s">
        <v>236</v>
      </c>
    </row>
    <row r="18" spans="1:91" ht="12.75" customHeight="1" x14ac:dyDescent="0.3">
      <c r="A18" s="37">
        <v>16</v>
      </c>
      <c r="B18" s="37" t="s">
        <v>237</v>
      </c>
      <c r="C18" s="123"/>
      <c r="D18" s="127"/>
      <c r="E18" s="77" t="s">
        <v>127</v>
      </c>
      <c r="F18" s="36" t="s">
        <v>238</v>
      </c>
      <c r="G18" s="75" t="s">
        <v>148</v>
      </c>
      <c r="H18" s="37" t="s">
        <v>130</v>
      </c>
      <c r="I18" s="37" t="s">
        <v>131</v>
      </c>
      <c r="J18" s="37" t="s">
        <v>127</v>
      </c>
      <c r="K18" s="37" t="s">
        <v>132</v>
      </c>
      <c r="L18" s="75" t="s">
        <v>149</v>
      </c>
      <c r="M18" s="37" t="s">
        <v>127</v>
      </c>
      <c r="N18" s="37" t="s">
        <v>127</v>
      </c>
      <c r="O18" s="76" t="s">
        <v>127</v>
      </c>
      <c r="P18" s="37" t="s">
        <v>135</v>
      </c>
      <c r="Q18" s="37" t="s">
        <v>239</v>
      </c>
      <c r="R18" s="37" t="s">
        <v>127</v>
      </c>
      <c r="S18" s="37" t="s">
        <v>152</v>
      </c>
      <c r="T18" s="37" t="s">
        <v>127</v>
      </c>
      <c r="U18" s="37" t="s">
        <v>136</v>
      </c>
      <c r="V18" s="37" t="b">
        <v>0</v>
      </c>
      <c r="W18" s="77" t="s">
        <v>127</v>
      </c>
      <c r="X18" s="123"/>
      <c r="Y18" s="37" t="s">
        <v>137</v>
      </c>
      <c r="Z18" s="37" t="s">
        <v>137</v>
      </c>
      <c r="AA18" s="37" t="s">
        <v>153</v>
      </c>
      <c r="AB18" s="37" t="s">
        <v>127</v>
      </c>
      <c r="AC18" s="78">
        <v>4.0999999999999996</v>
      </c>
      <c r="AD18" s="78" t="s">
        <v>139</v>
      </c>
      <c r="AE18" s="37" t="s">
        <v>140</v>
      </c>
      <c r="AF18" s="37">
        <v>1145</v>
      </c>
      <c r="AG18" s="37" t="s">
        <v>141</v>
      </c>
      <c r="AH18" s="37" t="b">
        <v>1</v>
      </c>
      <c r="AI18" s="76">
        <v>45247</v>
      </c>
      <c r="AJ18" s="77" t="s">
        <v>142</v>
      </c>
      <c r="AK18" s="37" t="s">
        <v>127</v>
      </c>
      <c r="AL18" s="37" t="s">
        <v>127</v>
      </c>
      <c r="AM18" s="37" t="b">
        <v>0</v>
      </c>
      <c r="AN18" s="37" t="s">
        <v>127</v>
      </c>
      <c r="AO18" s="37" t="s">
        <v>127</v>
      </c>
      <c r="AP18" s="37" t="s">
        <v>137</v>
      </c>
      <c r="AQ18" s="37" t="b">
        <v>0</v>
      </c>
      <c r="AR18" s="37" t="s">
        <v>127</v>
      </c>
      <c r="AS18" s="76" t="s">
        <v>137</v>
      </c>
      <c r="AT18" s="37" t="s">
        <v>127</v>
      </c>
      <c r="AU18" s="37" t="s">
        <v>127</v>
      </c>
      <c r="AV18" s="37" t="s">
        <v>137</v>
      </c>
      <c r="AW18" s="37" t="s">
        <v>137</v>
      </c>
      <c r="AX18" s="37" t="s">
        <v>127</v>
      </c>
      <c r="AY18" s="76" t="s">
        <v>127</v>
      </c>
      <c r="AZ18" s="77" t="s">
        <v>127</v>
      </c>
      <c r="BA18" s="37" t="s">
        <v>127</v>
      </c>
      <c r="BB18" s="37" t="s">
        <v>154</v>
      </c>
      <c r="BC18" s="77" t="s">
        <v>127</v>
      </c>
      <c r="BD18" s="76" t="s">
        <v>127</v>
      </c>
      <c r="BE18" s="37" t="s">
        <v>127</v>
      </c>
      <c r="BF18" s="80" t="s">
        <v>127</v>
      </c>
      <c r="BG18" s="39" t="s">
        <v>127</v>
      </c>
      <c r="BH18" s="37" t="s">
        <v>127</v>
      </c>
      <c r="BI18" s="40" t="b">
        <v>1</v>
      </c>
      <c r="BJ18" s="40" t="s">
        <v>137</v>
      </c>
      <c r="BK18" s="37" t="s">
        <v>137</v>
      </c>
      <c r="BL18" s="110">
        <f>100158.919848118-SUM(BL19:BL34)</f>
        <v>61782.373599107195</v>
      </c>
      <c r="BM18" s="110">
        <f>13572.39326772-SUM(BM19:BM34)</f>
        <v>5585.7569355659989</v>
      </c>
      <c r="BN18" s="110">
        <f>11134.775026495-SUM(BN19:BN34)</f>
        <v>3100.7716073350002</v>
      </c>
      <c r="BO18" s="110">
        <f>6979.572152347-SUM(BO19:BO34)</f>
        <v>2504.9383513989997</v>
      </c>
      <c r="BP18" s="110">
        <f>7430.581090775-SUM(BP19:BP34)</f>
        <v>3299.5666572969985</v>
      </c>
      <c r="BQ18" s="110">
        <f>8526.247715074-SUM(BQ19:BQ34)</f>
        <v>3009.3969211649983</v>
      </c>
      <c r="BR18" s="110">
        <f>7298.52272556911-SUM(BR19:BR34)</f>
        <v>6262.0875505209351</v>
      </c>
      <c r="BS18" s="110">
        <f>6647.43431310758-SUM(BS19:BS34)</f>
        <v>6488.6709423620487</v>
      </c>
      <c r="BT18" s="110">
        <f>7333.85142031315-SUM(BT19:BT34)</f>
        <v>7211.5005435850426</v>
      </c>
      <c r="BU18" s="110">
        <f>8006.28822548479-SUM(BU19:BU34)</f>
        <v>8006.28822548479</v>
      </c>
      <c r="BV18" s="110">
        <f>8806.19312135787-SUM(BV19:BV34)</f>
        <v>8806.19312135787</v>
      </c>
      <c r="BW18" s="111">
        <f>13476.55035-SUM(BW19:BW34)</f>
        <v>3523.0909200000006</v>
      </c>
      <c r="BX18" s="37" t="s">
        <v>127</v>
      </c>
      <c r="BY18" s="37" t="s">
        <v>127</v>
      </c>
      <c r="BZ18" s="37" t="s">
        <v>155</v>
      </c>
      <c r="CA18" s="41">
        <f>5510.66</f>
        <v>5510.66</v>
      </c>
      <c r="CB18" s="41">
        <f>1435.25</f>
        <v>1435.25</v>
      </c>
      <c r="CC18" s="41">
        <f>3837.71</f>
        <v>3837.71</v>
      </c>
      <c r="CD18" s="41">
        <f>2449.58</f>
        <v>2449.58</v>
      </c>
      <c r="CE18" s="41">
        <f>1673.75</f>
        <v>1673.75</v>
      </c>
      <c r="CF18" s="110">
        <f>13592.6084092005-SUM(CF19:CF34)</f>
        <v>4060.0838182637854</v>
      </c>
      <c r="CG18" s="45">
        <v>0</v>
      </c>
      <c r="CH18" s="45" t="s">
        <v>137</v>
      </c>
      <c r="CI18" s="37" t="s">
        <v>127</v>
      </c>
      <c r="CJ18" s="77" t="s">
        <v>127</v>
      </c>
      <c r="CK18" s="98">
        <v>0.18140000000000001</v>
      </c>
      <c r="CL18" s="98">
        <v>0.81859999999999999</v>
      </c>
      <c r="CM18" s="100" t="s">
        <v>145</v>
      </c>
    </row>
    <row r="19" spans="1:91" ht="12.75" customHeight="1" x14ac:dyDescent="0.3">
      <c r="A19" s="37">
        <v>17</v>
      </c>
      <c r="B19" s="37" t="s">
        <v>240</v>
      </c>
      <c r="C19" s="124"/>
      <c r="D19" s="124"/>
      <c r="E19" s="37" t="s">
        <v>191</v>
      </c>
      <c r="F19" s="36" t="s">
        <v>241</v>
      </c>
      <c r="G19" s="81" t="s">
        <v>242</v>
      </c>
      <c r="H19" s="38" t="s">
        <v>131</v>
      </c>
      <c r="I19" s="38" t="s">
        <v>131</v>
      </c>
      <c r="J19" s="38" t="s">
        <v>127</v>
      </c>
      <c r="K19" s="38" t="s">
        <v>228</v>
      </c>
      <c r="L19" s="81" t="s">
        <v>243</v>
      </c>
      <c r="M19" s="38" t="s">
        <v>127</v>
      </c>
      <c r="N19" s="38" t="s">
        <v>127</v>
      </c>
      <c r="O19" s="76">
        <v>45411</v>
      </c>
      <c r="P19" s="37" t="s">
        <v>127</v>
      </c>
      <c r="Q19" s="37" t="s">
        <v>127</v>
      </c>
      <c r="R19" s="37" t="s">
        <v>127</v>
      </c>
      <c r="S19" s="37" t="s">
        <v>127</v>
      </c>
      <c r="T19" s="37" t="s">
        <v>127</v>
      </c>
      <c r="U19" s="37" t="s">
        <v>136</v>
      </c>
      <c r="V19" s="37" t="b">
        <v>0</v>
      </c>
      <c r="W19" s="37" t="s">
        <v>127</v>
      </c>
      <c r="X19" s="123"/>
      <c r="Y19" s="37" t="s">
        <v>127</v>
      </c>
      <c r="Z19" s="37">
        <v>2.9</v>
      </c>
      <c r="AA19" s="37" t="s">
        <v>153</v>
      </c>
      <c r="AB19" s="37" t="s">
        <v>127</v>
      </c>
      <c r="AC19" s="78">
        <v>4.0999999999999996</v>
      </c>
      <c r="AD19" s="78">
        <v>5981499</v>
      </c>
      <c r="AE19" s="37" t="s">
        <v>127</v>
      </c>
      <c r="AF19" s="37">
        <v>1145</v>
      </c>
      <c r="AG19" s="37" t="s">
        <v>127</v>
      </c>
      <c r="AH19" s="37" t="b">
        <v>0</v>
      </c>
      <c r="AI19" s="76" t="s">
        <v>127</v>
      </c>
      <c r="AJ19" s="77" t="s">
        <v>142</v>
      </c>
      <c r="AK19" s="37" t="s">
        <v>127</v>
      </c>
      <c r="AL19" s="37" t="s">
        <v>127</v>
      </c>
      <c r="AM19" s="37" t="b">
        <v>0</v>
      </c>
      <c r="AN19" s="37" t="s">
        <v>127</v>
      </c>
      <c r="AO19" s="37" t="s">
        <v>127</v>
      </c>
      <c r="AP19" s="37" t="s">
        <v>137</v>
      </c>
      <c r="AQ19" s="37" t="b">
        <v>0</v>
      </c>
      <c r="AR19" s="37" t="s">
        <v>127</v>
      </c>
      <c r="AS19" s="76" t="s">
        <v>127</v>
      </c>
      <c r="AT19" s="37" t="s">
        <v>127</v>
      </c>
      <c r="AU19" s="37" t="s">
        <v>127</v>
      </c>
      <c r="AV19" s="37" t="s">
        <v>127</v>
      </c>
      <c r="AW19" s="37" t="s">
        <v>127</v>
      </c>
      <c r="AX19" s="77" t="s">
        <v>161</v>
      </c>
      <c r="AY19" s="76" t="s">
        <v>127</v>
      </c>
      <c r="AZ19" s="77" t="s">
        <v>127</v>
      </c>
      <c r="BA19" s="37" t="s">
        <v>127</v>
      </c>
      <c r="BB19" s="37" t="s">
        <v>143</v>
      </c>
      <c r="BC19" s="77" t="s">
        <v>127</v>
      </c>
      <c r="BD19" s="76">
        <v>43741</v>
      </c>
      <c r="BE19" s="37" t="s">
        <v>127</v>
      </c>
      <c r="BF19" s="80">
        <v>44334</v>
      </c>
      <c r="BG19" s="39" t="s">
        <v>127</v>
      </c>
      <c r="BH19" s="39" t="s">
        <v>127</v>
      </c>
      <c r="BI19" s="40" t="b">
        <v>0</v>
      </c>
      <c r="BJ19" s="40" t="s">
        <v>137</v>
      </c>
      <c r="BK19" s="37" t="s">
        <v>137</v>
      </c>
      <c r="BL19" s="41">
        <v>1746.32087</v>
      </c>
      <c r="BM19" s="41">
        <v>5.3897700000000004</v>
      </c>
      <c r="BN19" s="41">
        <v>981.5307700000003</v>
      </c>
      <c r="BO19" s="41">
        <v>759.40033000000017</v>
      </c>
      <c r="BP19" s="41">
        <v>0</v>
      </c>
      <c r="BQ19" s="41">
        <v>0</v>
      </c>
      <c r="BR19" s="41">
        <v>0</v>
      </c>
      <c r="BS19" s="41">
        <v>0</v>
      </c>
      <c r="BT19" s="41">
        <v>0</v>
      </c>
      <c r="BU19" s="41">
        <v>0</v>
      </c>
      <c r="BV19" s="41">
        <v>0</v>
      </c>
      <c r="BW19" s="49">
        <v>0</v>
      </c>
      <c r="BX19" s="37" t="s">
        <v>127</v>
      </c>
      <c r="BY19" s="37" t="s">
        <v>127</v>
      </c>
      <c r="BZ19" s="37" t="s">
        <v>244</v>
      </c>
      <c r="CA19" s="41">
        <v>0</v>
      </c>
      <c r="CB19" s="41">
        <v>1746.32</v>
      </c>
      <c r="CC19" s="41">
        <v>0</v>
      </c>
      <c r="CD19" s="41">
        <v>0</v>
      </c>
      <c r="CE19" s="41">
        <v>0</v>
      </c>
      <c r="CF19" s="41">
        <v>0</v>
      </c>
      <c r="CG19" s="45">
        <v>0</v>
      </c>
      <c r="CH19" s="45" t="s">
        <v>137</v>
      </c>
      <c r="CI19" s="37" t="s">
        <v>127</v>
      </c>
      <c r="CJ19" s="77" t="s">
        <v>127</v>
      </c>
      <c r="CK19" s="98">
        <v>0.18140000000000001</v>
      </c>
      <c r="CL19" s="98">
        <v>0.81859999999999999</v>
      </c>
      <c r="CM19" s="100" t="s">
        <v>208</v>
      </c>
    </row>
    <row r="20" spans="1:91" ht="12.75" customHeight="1" x14ac:dyDescent="0.3">
      <c r="A20" s="37">
        <v>18</v>
      </c>
      <c r="B20" s="37" t="s">
        <v>245</v>
      </c>
      <c r="C20" s="124"/>
      <c r="D20" s="124"/>
      <c r="E20" s="37" t="s">
        <v>246</v>
      </c>
      <c r="F20" s="36" t="s">
        <v>247</v>
      </c>
      <c r="G20" s="81" t="s">
        <v>184</v>
      </c>
      <c r="H20" s="38" t="s">
        <v>227</v>
      </c>
      <c r="I20" s="38" t="s">
        <v>227</v>
      </c>
      <c r="J20" s="38" t="s">
        <v>127</v>
      </c>
      <c r="K20" s="38" t="s">
        <v>132</v>
      </c>
      <c r="L20" s="81" t="s">
        <v>149</v>
      </c>
      <c r="M20" s="38" t="s">
        <v>127</v>
      </c>
      <c r="N20" s="38" t="s">
        <v>127</v>
      </c>
      <c r="O20" s="76">
        <v>45377</v>
      </c>
      <c r="P20" s="37">
        <v>5</v>
      </c>
      <c r="Q20" s="37" t="s">
        <v>127</v>
      </c>
      <c r="R20" s="37" t="s">
        <v>127</v>
      </c>
      <c r="S20" s="37" t="s">
        <v>127</v>
      </c>
      <c r="T20" s="37" t="s">
        <v>248</v>
      </c>
      <c r="U20" s="37" t="s">
        <v>136</v>
      </c>
      <c r="V20" s="37" t="b">
        <v>0</v>
      </c>
      <c r="W20" s="37" t="s">
        <v>127</v>
      </c>
      <c r="X20" s="123"/>
      <c r="Y20" s="37" t="s">
        <v>127</v>
      </c>
      <c r="Z20" s="37">
        <v>0.15</v>
      </c>
      <c r="AA20" s="37">
        <v>69</v>
      </c>
      <c r="AB20" s="37">
        <v>69</v>
      </c>
      <c r="AC20" s="78">
        <v>4.0999999999999996</v>
      </c>
      <c r="AD20" s="78">
        <v>5981937</v>
      </c>
      <c r="AE20" s="37" t="s">
        <v>249</v>
      </c>
      <c r="AF20" s="37">
        <v>1145</v>
      </c>
      <c r="AG20" s="37" t="s">
        <v>127</v>
      </c>
      <c r="AH20" s="37" t="b">
        <v>1</v>
      </c>
      <c r="AI20" s="76" t="s">
        <v>127</v>
      </c>
      <c r="AJ20" s="77" t="s">
        <v>142</v>
      </c>
      <c r="AK20" s="37" t="s">
        <v>127</v>
      </c>
      <c r="AL20" s="37" t="s">
        <v>127</v>
      </c>
      <c r="AM20" s="37" t="b">
        <v>0</v>
      </c>
      <c r="AN20" s="37" t="s">
        <v>127</v>
      </c>
      <c r="AO20" s="37" t="s">
        <v>127</v>
      </c>
      <c r="AP20" s="37" t="s">
        <v>137</v>
      </c>
      <c r="AQ20" s="37" t="b">
        <v>0</v>
      </c>
      <c r="AR20" s="37" t="s">
        <v>127</v>
      </c>
      <c r="AS20" s="37" t="s">
        <v>127</v>
      </c>
      <c r="AT20" s="37" t="s">
        <v>127</v>
      </c>
      <c r="AU20" s="37" t="s">
        <v>127</v>
      </c>
      <c r="AV20" s="37" t="s">
        <v>127</v>
      </c>
      <c r="AW20" s="37" t="s">
        <v>127</v>
      </c>
      <c r="AX20" s="37" t="s">
        <v>161</v>
      </c>
      <c r="AY20" s="37" t="s">
        <v>127</v>
      </c>
      <c r="AZ20" s="37" t="s">
        <v>127</v>
      </c>
      <c r="BA20" s="37" t="s">
        <v>127</v>
      </c>
      <c r="BB20" s="37" t="s">
        <v>143</v>
      </c>
      <c r="BC20" s="77" t="s">
        <v>127</v>
      </c>
      <c r="BD20" s="76" t="s">
        <v>250</v>
      </c>
      <c r="BE20" s="37" t="s">
        <v>127</v>
      </c>
      <c r="BF20" s="86" t="s">
        <v>251</v>
      </c>
      <c r="BG20" s="39" t="s">
        <v>127</v>
      </c>
      <c r="BH20" s="39" t="s">
        <v>127</v>
      </c>
      <c r="BI20" s="40" t="b">
        <v>0</v>
      </c>
      <c r="BJ20" s="40" t="s">
        <v>137</v>
      </c>
      <c r="BK20" s="37" t="s">
        <v>137</v>
      </c>
      <c r="BL20" s="41">
        <v>2106.7827900439988</v>
      </c>
      <c r="BM20" s="41">
        <v>66.114204102000016</v>
      </c>
      <c r="BN20" s="41">
        <v>1654.1180060799993</v>
      </c>
      <c r="BO20" s="41">
        <v>282.81817817700005</v>
      </c>
      <c r="BP20" s="41">
        <v>80.09352750900004</v>
      </c>
      <c r="BQ20" s="41">
        <v>0</v>
      </c>
      <c r="BR20" s="41">
        <v>0</v>
      </c>
      <c r="BS20" s="41">
        <v>0</v>
      </c>
      <c r="BT20" s="41">
        <v>0</v>
      </c>
      <c r="BU20" s="41">
        <v>0</v>
      </c>
      <c r="BV20" s="41">
        <v>0</v>
      </c>
      <c r="BW20" s="49">
        <v>0</v>
      </c>
      <c r="BX20" s="37" t="s">
        <v>127</v>
      </c>
      <c r="BY20" s="37" t="s">
        <v>127</v>
      </c>
      <c r="BZ20" s="37" t="s">
        <v>252</v>
      </c>
      <c r="CA20" s="41">
        <v>0</v>
      </c>
      <c r="CB20" s="41">
        <v>0</v>
      </c>
      <c r="CC20" s="41">
        <v>1982.23</v>
      </c>
      <c r="CD20" s="41">
        <v>0</v>
      </c>
      <c r="CE20" s="41">
        <v>0</v>
      </c>
      <c r="CF20" s="41">
        <v>0</v>
      </c>
      <c r="CG20" s="45">
        <v>0</v>
      </c>
      <c r="CH20" s="45" t="s">
        <v>137</v>
      </c>
      <c r="CI20" s="37" t="s">
        <v>127</v>
      </c>
      <c r="CJ20" s="77" t="s">
        <v>127</v>
      </c>
      <c r="CK20" s="98">
        <v>0.18140000000000001</v>
      </c>
      <c r="CL20" s="98">
        <v>0.81859999999999999</v>
      </c>
      <c r="CM20" s="100" t="s">
        <v>189</v>
      </c>
    </row>
    <row r="21" spans="1:91" ht="12.75" customHeight="1" x14ac:dyDescent="0.3">
      <c r="A21" s="37">
        <v>19</v>
      </c>
      <c r="B21" s="37" t="s">
        <v>253</v>
      </c>
      <c r="C21" s="124"/>
      <c r="D21" s="124"/>
      <c r="E21" s="37" t="s">
        <v>254</v>
      </c>
      <c r="F21" s="36" t="s">
        <v>255</v>
      </c>
      <c r="G21" s="81" t="s">
        <v>184</v>
      </c>
      <c r="H21" s="37" t="s">
        <v>130</v>
      </c>
      <c r="I21" s="37" t="s">
        <v>131</v>
      </c>
      <c r="J21" s="37" t="s">
        <v>127</v>
      </c>
      <c r="K21" s="38" t="s">
        <v>228</v>
      </c>
      <c r="L21" s="75" t="s">
        <v>149</v>
      </c>
      <c r="M21" s="37" t="s">
        <v>127</v>
      </c>
      <c r="N21" s="37" t="s">
        <v>127</v>
      </c>
      <c r="O21" s="76">
        <v>45362</v>
      </c>
      <c r="P21" s="37" t="s">
        <v>256</v>
      </c>
      <c r="Q21" s="37" t="s">
        <v>127</v>
      </c>
      <c r="R21" s="37" t="s">
        <v>127</v>
      </c>
      <c r="S21" s="37" t="s">
        <v>127</v>
      </c>
      <c r="T21" s="37" t="s">
        <v>127</v>
      </c>
      <c r="U21" s="37" t="s">
        <v>136</v>
      </c>
      <c r="V21" s="37" t="b">
        <v>0</v>
      </c>
      <c r="W21" s="37" t="s">
        <v>127</v>
      </c>
      <c r="X21" s="123"/>
      <c r="Y21" s="37" t="s">
        <v>127</v>
      </c>
      <c r="Z21" s="37">
        <v>72.12</v>
      </c>
      <c r="AA21" s="37">
        <v>230</v>
      </c>
      <c r="AB21" s="37" t="s">
        <v>127</v>
      </c>
      <c r="AC21" s="78">
        <v>4.0999999999999996</v>
      </c>
      <c r="AD21" s="78">
        <v>5983049</v>
      </c>
      <c r="AE21" s="37" t="s">
        <v>186</v>
      </c>
      <c r="AF21" s="37">
        <v>1145</v>
      </c>
      <c r="AG21" s="37" t="s">
        <v>127</v>
      </c>
      <c r="AH21" s="37" t="b">
        <v>1</v>
      </c>
      <c r="AI21" s="76" t="s">
        <v>127</v>
      </c>
      <c r="AJ21" s="77" t="s">
        <v>142</v>
      </c>
      <c r="AK21" s="37" t="s">
        <v>127</v>
      </c>
      <c r="AL21" s="37" t="s">
        <v>127</v>
      </c>
      <c r="AM21" s="37" t="b">
        <v>0</v>
      </c>
      <c r="AN21" s="37" t="s">
        <v>127</v>
      </c>
      <c r="AO21" s="37" t="s">
        <v>127</v>
      </c>
      <c r="AP21" s="37" t="s">
        <v>137</v>
      </c>
      <c r="AQ21" s="37" t="b">
        <v>0</v>
      </c>
      <c r="AR21" s="37" t="s">
        <v>127</v>
      </c>
      <c r="AS21" s="37" t="s">
        <v>127</v>
      </c>
      <c r="AT21" s="37" t="s">
        <v>127</v>
      </c>
      <c r="AU21" s="37" t="s">
        <v>127</v>
      </c>
      <c r="AV21" s="37" t="s">
        <v>127</v>
      </c>
      <c r="AW21" s="37" t="s">
        <v>127</v>
      </c>
      <c r="AX21" s="37" t="s">
        <v>161</v>
      </c>
      <c r="AY21" s="37" t="s">
        <v>127</v>
      </c>
      <c r="AZ21" s="37" t="s">
        <v>127</v>
      </c>
      <c r="BA21" s="37" t="s">
        <v>127</v>
      </c>
      <c r="BB21" s="37" t="s">
        <v>170</v>
      </c>
      <c r="BC21" s="77" t="s">
        <v>127</v>
      </c>
      <c r="BD21" s="76" t="s">
        <v>187</v>
      </c>
      <c r="BE21" s="37" t="s">
        <v>127</v>
      </c>
      <c r="BF21" s="86" t="s">
        <v>188</v>
      </c>
      <c r="BG21" s="39" t="s">
        <v>127</v>
      </c>
      <c r="BH21" s="37" t="s">
        <v>127</v>
      </c>
      <c r="BI21" s="40" t="b">
        <v>1</v>
      </c>
      <c r="BJ21" s="40" t="s">
        <v>137</v>
      </c>
      <c r="BK21" s="37" t="s">
        <v>137</v>
      </c>
      <c r="BL21" s="41">
        <v>5448.581644342994</v>
      </c>
      <c r="BM21" s="41">
        <v>0.57664994600000008</v>
      </c>
      <c r="BN21" s="41">
        <v>559.28922124999997</v>
      </c>
      <c r="BO21" s="41">
        <v>782.87556181100013</v>
      </c>
      <c r="BP21" s="41">
        <v>1298.5535259690009</v>
      </c>
      <c r="BQ21" s="41">
        <v>2358.5231249550006</v>
      </c>
      <c r="BR21" s="41">
        <v>448.76356041200006</v>
      </c>
      <c r="BS21" s="41">
        <v>0</v>
      </c>
      <c r="BT21" s="41">
        <v>0</v>
      </c>
      <c r="BU21" s="41">
        <v>0</v>
      </c>
      <c r="BV21" s="41">
        <v>0</v>
      </c>
      <c r="BW21" s="49">
        <v>5509.9836999999998</v>
      </c>
      <c r="BX21" s="37" t="s">
        <v>127</v>
      </c>
      <c r="BY21" s="37" t="s">
        <v>127</v>
      </c>
      <c r="BZ21" s="37" t="s">
        <v>173</v>
      </c>
      <c r="CA21" s="41">
        <v>0</v>
      </c>
      <c r="CB21" s="41">
        <v>0</v>
      </c>
      <c r="CC21" s="41">
        <v>0</v>
      </c>
      <c r="CD21" s="41">
        <v>0</v>
      </c>
      <c r="CE21" s="41">
        <v>0</v>
      </c>
      <c r="CF21" s="41">
        <v>5385.6805743429986</v>
      </c>
      <c r="CG21" s="45">
        <v>0</v>
      </c>
      <c r="CH21" s="45" t="s">
        <v>137</v>
      </c>
      <c r="CI21" s="37" t="s">
        <v>127</v>
      </c>
      <c r="CJ21" s="77" t="s">
        <v>127</v>
      </c>
      <c r="CK21" s="98">
        <v>0.18140000000000001</v>
      </c>
      <c r="CL21" s="98">
        <v>0.81859999999999999</v>
      </c>
      <c r="CM21" s="100" t="s">
        <v>189</v>
      </c>
    </row>
    <row r="22" spans="1:91" ht="12.75" customHeight="1" x14ac:dyDescent="0.3">
      <c r="A22" s="37">
        <v>20</v>
      </c>
      <c r="B22" s="37" t="s">
        <v>257</v>
      </c>
      <c r="C22" s="124"/>
      <c r="D22" s="124"/>
      <c r="E22" s="37" t="s">
        <v>258</v>
      </c>
      <c r="F22" s="36" t="s">
        <v>259</v>
      </c>
      <c r="G22" s="81" t="s">
        <v>260</v>
      </c>
      <c r="H22" s="38" t="s">
        <v>130</v>
      </c>
      <c r="I22" s="38" t="s">
        <v>131</v>
      </c>
      <c r="J22" s="38" t="s">
        <v>127</v>
      </c>
      <c r="K22" s="38" t="s">
        <v>132</v>
      </c>
      <c r="L22" s="81" t="s">
        <v>149</v>
      </c>
      <c r="M22" s="38" t="s">
        <v>127</v>
      </c>
      <c r="N22" s="38" t="s">
        <v>127</v>
      </c>
      <c r="O22" s="76">
        <v>45418</v>
      </c>
      <c r="P22" s="37" t="s">
        <v>137</v>
      </c>
      <c r="Q22" s="37" t="s">
        <v>239</v>
      </c>
      <c r="R22" s="37" t="s">
        <v>127</v>
      </c>
      <c r="S22" s="37" t="s">
        <v>127</v>
      </c>
      <c r="T22" s="37" t="s">
        <v>127</v>
      </c>
      <c r="U22" s="37" t="s">
        <v>136</v>
      </c>
      <c r="V22" s="37" t="b">
        <v>0</v>
      </c>
      <c r="W22" s="37" t="s">
        <v>127</v>
      </c>
      <c r="X22" s="123"/>
      <c r="Y22" s="37" t="s">
        <v>127</v>
      </c>
      <c r="Z22" s="37">
        <v>13.94</v>
      </c>
      <c r="AA22" s="37">
        <v>230</v>
      </c>
      <c r="AB22" s="37">
        <v>230</v>
      </c>
      <c r="AC22" s="78">
        <v>4.0999999999999996</v>
      </c>
      <c r="AD22" s="78">
        <v>5983053</v>
      </c>
      <c r="AE22" s="37" t="s">
        <v>261</v>
      </c>
      <c r="AF22" s="37">
        <v>1145</v>
      </c>
      <c r="AG22" s="37" t="s">
        <v>127</v>
      </c>
      <c r="AH22" s="37" t="b">
        <v>0</v>
      </c>
      <c r="AI22" s="76" t="s">
        <v>127</v>
      </c>
      <c r="AJ22" s="77" t="s">
        <v>142</v>
      </c>
      <c r="AK22" s="37" t="s">
        <v>127</v>
      </c>
      <c r="AL22" s="37" t="s">
        <v>127</v>
      </c>
      <c r="AM22" s="37" t="b">
        <v>0</v>
      </c>
      <c r="AN22" s="37" t="s">
        <v>127</v>
      </c>
      <c r="AO22" s="37" t="s">
        <v>127</v>
      </c>
      <c r="AP22" s="37" t="s">
        <v>137</v>
      </c>
      <c r="AQ22" s="37" t="b">
        <v>0</v>
      </c>
      <c r="AR22" s="37" t="s">
        <v>127</v>
      </c>
      <c r="AS22" s="76" t="s">
        <v>127</v>
      </c>
      <c r="AT22" s="37" t="s">
        <v>127</v>
      </c>
      <c r="AU22" s="37" t="s">
        <v>127</v>
      </c>
      <c r="AV22" s="37" t="s">
        <v>127</v>
      </c>
      <c r="AW22" s="37" t="s">
        <v>127</v>
      </c>
      <c r="AX22" s="37" t="s">
        <v>161</v>
      </c>
      <c r="AY22" s="37" t="s">
        <v>127</v>
      </c>
      <c r="AZ22" s="37" t="s">
        <v>127</v>
      </c>
      <c r="BA22" s="37" t="s">
        <v>127</v>
      </c>
      <c r="BB22" s="37" t="s">
        <v>143</v>
      </c>
      <c r="BC22" s="77" t="s">
        <v>127</v>
      </c>
      <c r="BD22" s="76" t="s">
        <v>262</v>
      </c>
      <c r="BE22" s="76" t="s">
        <v>263</v>
      </c>
      <c r="BF22" s="86" t="s">
        <v>263</v>
      </c>
      <c r="BG22" s="39" t="s">
        <v>127</v>
      </c>
      <c r="BH22" s="39" t="s">
        <v>127</v>
      </c>
      <c r="BI22" s="40" t="b">
        <v>0</v>
      </c>
      <c r="BJ22" s="40" t="s">
        <v>137</v>
      </c>
      <c r="BK22" s="37" t="s">
        <v>137</v>
      </c>
      <c r="BL22" s="41">
        <v>2668.21693</v>
      </c>
      <c r="BM22" s="41">
        <v>334.59531999999996</v>
      </c>
      <c r="BN22" s="41">
        <v>1225.85998</v>
      </c>
      <c r="BO22" s="41">
        <v>1104.1145499999996</v>
      </c>
      <c r="BP22" s="41">
        <v>3.6470799999999999</v>
      </c>
      <c r="BQ22" s="41">
        <v>0</v>
      </c>
      <c r="BR22" s="41">
        <v>0</v>
      </c>
      <c r="BS22" s="41">
        <v>0</v>
      </c>
      <c r="BT22" s="41">
        <v>0</v>
      </c>
      <c r="BU22" s="41">
        <v>0</v>
      </c>
      <c r="BV22" s="41">
        <v>0</v>
      </c>
      <c r="BW22" s="49">
        <v>0</v>
      </c>
      <c r="BX22" s="37" t="s">
        <v>127</v>
      </c>
      <c r="BY22" s="37" t="s">
        <v>127</v>
      </c>
      <c r="BZ22" s="37" t="s">
        <v>264</v>
      </c>
      <c r="CA22" s="41">
        <v>0</v>
      </c>
      <c r="CB22" s="41">
        <v>2594.1</v>
      </c>
      <c r="CC22" s="41">
        <v>3.38</v>
      </c>
      <c r="CD22" s="41">
        <v>0</v>
      </c>
      <c r="CE22" s="41">
        <v>0</v>
      </c>
      <c r="CF22" s="41">
        <v>0</v>
      </c>
      <c r="CG22" s="45">
        <v>0</v>
      </c>
      <c r="CH22" s="45" t="s">
        <v>137</v>
      </c>
      <c r="CI22" s="37" t="s">
        <v>127</v>
      </c>
      <c r="CJ22" s="77" t="s">
        <v>127</v>
      </c>
      <c r="CK22" s="98">
        <v>0.18140000000000001</v>
      </c>
      <c r="CL22" s="98">
        <v>0.81859999999999999</v>
      </c>
      <c r="CM22" s="99" t="s">
        <v>265</v>
      </c>
    </row>
    <row r="23" spans="1:91" ht="12.75" customHeight="1" x14ac:dyDescent="0.3">
      <c r="A23" s="37">
        <v>21</v>
      </c>
      <c r="B23" s="37" t="s">
        <v>266</v>
      </c>
      <c r="C23" s="124"/>
      <c r="D23" s="124"/>
      <c r="E23" s="37" t="s">
        <v>165</v>
      </c>
      <c r="F23" s="36" t="s">
        <v>267</v>
      </c>
      <c r="G23" s="87" t="s">
        <v>226</v>
      </c>
      <c r="H23" s="38" t="s">
        <v>268</v>
      </c>
      <c r="I23" s="38" t="s">
        <v>268</v>
      </c>
      <c r="J23" s="38" t="s">
        <v>127</v>
      </c>
      <c r="K23" s="37" t="s">
        <v>269</v>
      </c>
      <c r="L23" s="81" t="s">
        <v>270</v>
      </c>
      <c r="M23" s="38" t="s">
        <v>127</v>
      </c>
      <c r="N23" s="38" t="s">
        <v>127</v>
      </c>
      <c r="O23" s="76">
        <v>45378</v>
      </c>
      <c r="P23" s="37" t="s">
        <v>127</v>
      </c>
      <c r="Q23" s="37" t="s">
        <v>127</v>
      </c>
      <c r="R23" s="37" t="s">
        <v>271</v>
      </c>
      <c r="S23" s="37" t="s">
        <v>272</v>
      </c>
      <c r="T23" s="37" t="s">
        <v>127</v>
      </c>
      <c r="U23" s="37" t="s">
        <v>136</v>
      </c>
      <c r="V23" s="37" t="b">
        <v>0</v>
      </c>
      <c r="W23" s="37" t="s">
        <v>127</v>
      </c>
      <c r="X23" s="123"/>
      <c r="Y23" s="37" t="s">
        <v>127</v>
      </c>
      <c r="Z23" s="37" t="s">
        <v>137</v>
      </c>
      <c r="AA23" s="37">
        <v>69</v>
      </c>
      <c r="AB23" s="37">
        <v>69</v>
      </c>
      <c r="AC23" s="78">
        <v>4.0999999999999996</v>
      </c>
      <c r="AD23" s="78">
        <v>5983087</v>
      </c>
      <c r="AE23" s="37" t="s">
        <v>127</v>
      </c>
      <c r="AF23" s="37">
        <v>1145</v>
      </c>
      <c r="AG23" s="37" t="s">
        <v>127</v>
      </c>
      <c r="AH23" s="37" t="b">
        <v>1</v>
      </c>
      <c r="AI23" s="76" t="s">
        <v>127</v>
      </c>
      <c r="AJ23" s="77" t="s">
        <v>142</v>
      </c>
      <c r="AK23" s="37" t="s">
        <v>127</v>
      </c>
      <c r="AL23" s="37" t="s">
        <v>127</v>
      </c>
      <c r="AM23" s="37" t="b">
        <v>0</v>
      </c>
      <c r="AN23" s="37" t="s">
        <v>127</v>
      </c>
      <c r="AO23" s="37" t="s">
        <v>127</v>
      </c>
      <c r="AP23" s="37" t="s">
        <v>137</v>
      </c>
      <c r="AQ23" s="37" t="b">
        <v>0</v>
      </c>
      <c r="AR23" s="37" t="s">
        <v>127</v>
      </c>
      <c r="AS23" s="76" t="s">
        <v>127</v>
      </c>
      <c r="AT23" s="37" t="s">
        <v>127</v>
      </c>
      <c r="AU23" s="37" t="s">
        <v>127</v>
      </c>
      <c r="AV23" s="37" t="s">
        <v>127</v>
      </c>
      <c r="AW23" s="37" t="s">
        <v>127</v>
      </c>
      <c r="AX23" s="77" t="s">
        <v>161</v>
      </c>
      <c r="AY23" s="76" t="s">
        <v>127</v>
      </c>
      <c r="AZ23" s="77" t="s">
        <v>127</v>
      </c>
      <c r="BA23" s="37" t="s">
        <v>127</v>
      </c>
      <c r="BB23" s="37" t="s">
        <v>143</v>
      </c>
      <c r="BC23" s="77" t="s">
        <v>127</v>
      </c>
      <c r="BD23" s="88">
        <v>43624</v>
      </c>
      <c r="BE23" s="37" t="s">
        <v>127</v>
      </c>
      <c r="BF23" s="80" t="s">
        <v>127</v>
      </c>
      <c r="BG23" s="39" t="s">
        <v>127</v>
      </c>
      <c r="BH23" s="39" t="s">
        <v>127</v>
      </c>
      <c r="BI23" s="40" t="b">
        <v>0</v>
      </c>
      <c r="BJ23" s="40" t="s">
        <v>137</v>
      </c>
      <c r="BK23" s="37" t="s">
        <v>137</v>
      </c>
      <c r="BL23" s="41">
        <v>1412.0499494500002</v>
      </c>
      <c r="BM23" s="41">
        <v>1303.7332245900002</v>
      </c>
      <c r="BN23" s="41">
        <v>107.95706486000002</v>
      </c>
      <c r="BO23" s="41">
        <v>0.35966000000000004</v>
      </c>
      <c r="BP23" s="41">
        <v>0</v>
      </c>
      <c r="BQ23" s="41">
        <v>0</v>
      </c>
      <c r="BR23" s="41">
        <v>0</v>
      </c>
      <c r="BS23" s="41">
        <v>0</v>
      </c>
      <c r="BT23" s="41">
        <v>0</v>
      </c>
      <c r="BU23" s="41">
        <v>0</v>
      </c>
      <c r="BV23" s="41">
        <v>0</v>
      </c>
      <c r="BW23" s="49">
        <v>0</v>
      </c>
      <c r="BX23" s="37" t="s">
        <v>127</v>
      </c>
      <c r="BY23" s="37" t="s">
        <v>127</v>
      </c>
      <c r="BZ23" s="37" t="s">
        <v>180</v>
      </c>
      <c r="CA23" s="41">
        <v>586.96400000000006</v>
      </c>
      <c r="CB23" s="41">
        <v>0</v>
      </c>
      <c r="CC23" s="41">
        <v>0</v>
      </c>
      <c r="CD23" s="41">
        <v>0</v>
      </c>
      <c r="CE23" s="41">
        <v>0</v>
      </c>
      <c r="CF23" s="41">
        <v>0</v>
      </c>
      <c r="CG23" s="45">
        <v>0</v>
      </c>
      <c r="CH23" s="45">
        <v>0</v>
      </c>
      <c r="CI23" s="37" t="s">
        <v>127</v>
      </c>
      <c r="CJ23" s="77" t="s">
        <v>127</v>
      </c>
      <c r="CK23" s="98">
        <v>0.18140000000000001</v>
      </c>
      <c r="CL23" s="98">
        <v>0.81859999999999999</v>
      </c>
      <c r="CM23" s="99" t="s">
        <v>273</v>
      </c>
    </row>
    <row r="24" spans="1:91" ht="12.75" customHeight="1" x14ac:dyDescent="0.3">
      <c r="A24" s="37">
        <v>22</v>
      </c>
      <c r="B24" s="37" t="s">
        <v>274</v>
      </c>
      <c r="C24" s="124"/>
      <c r="D24" s="124"/>
      <c r="E24" s="37" t="s">
        <v>191</v>
      </c>
      <c r="F24" s="36" t="s">
        <v>275</v>
      </c>
      <c r="G24" s="81" t="s">
        <v>159</v>
      </c>
      <c r="H24" s="38" t="s">
        <v>130</v>
      </c>
      <c r="I24" s="38" t="s">
        <v>131</v>
      </c>
      <c r="J24" s="38" t="s">
        <v>127</v>
      </c>
      <c r="K24" s="38" t="s">
        <v>228</v>
      </c>
      <c r="L24" s="75" t="s">
        <v>276</v>
      </c>
      <c r="M24" s="38" t="s">
        <v>127</v>
      </c>
      <c r="N24" s="38" t="s">
        <v>127</v>
      </c>
      <c r="O24" s="76">
        <v>45411</v>
      </c>
      <c r="P24" s="37" t="s">
        <v>137</v>
      </c>
      <c r="Q24" s="37" t="s">
        <v>239</v>
      </c>
      <c r="R24" s="37" t="s">
        <v>127</v>
      </c>
      <c r="S24" s="37" t="s">
        <v>127</v>
      </c>
      <c r="T24" s="37" t="s">
        <v>127</v>
      </c>
      <c r="U24" s="37" t="s">
        <v>136</v>
      </c>
      <c r="V24" s="37" t="b">
        <v>0</v>
      </c>
      <c r="W24" s="37" t="s">
        <v>127</v>
      </c>
      <c r="X24" s="123"/>
      <c r="Y24" s="37" t="s">
        <v>127</v>
      </c>
      <c r="Z24" s="37">
        <v>2.9</v>
      </c>
      <c r="AA24" s="37">
        <v>500</v>
      </c>
      <c r="AB24" s="37" t="s">
        <v>277</v>
      </c>
      <c r="AC24" s="78">
        <v>4.0999999999999996</v>
      </c>
      <c r="AD24" s="78">
        <v>5983122</v>
      </c>
      <c r="AE24" s="37" t="s">
        <v>127</v>
      </c>
      <c r="AF24" s="37">
        <v>1145</v>
      </c>
      <c r="AG24" s="37" t="s">
        <v>127</v>
      </c>
      <c r="AH24" s="37" t="b">
        <v>1</v>
      </c>
      <c r="AI24" s="76" t="s">
        <v>127</v>
      </c>
      <c r="AJ24" s="77" t="s">
        <v>142</v>
      </c>
      <c r="AK24" s="37" t="s">
        <v>127</v>
      </c>
      <c r="AL24" s="37" t="s">
        <v>127</v>
      </c>
      <c r="AM24" s="37" t="b">
        <v>0</v>
      </c>
      <c r="AN24" s="37" t="s">
        <v>127</v>
      </c>
      <c r="AO24" s="37" t="s">
        <v>127</v>
      </c>
      <c r="AP24" s="37" t="s">
        <v>137</v>
      </c>
      <c r="AQ24" s="37" t="b">
        <v>0</v>
      </c>
      <c r="AR24" s="37" t="s">
        <v>127</v>
      </c>
      <c r="AS24" s="37" t="s">
        <v>127</v>
      </c>
      <c r="AT24" s="37" t="s">
        <v>127</v>
      </c>
      <c r="AU24" s="37" t="s">
        <v>127</v>
      </c>
      <c r="AV24" s="37" t="s">
        <v>127</v>
      </c>
      <c r="AW24" s="37" t="s">
        <v>127</v>
      </c>
      <c r="AX24" s="77" t="s">
        <v>161</v>
      </c>
      <c r="AY24" s="80" t="s">
        <v>127</v>
      </c>
      <c r="AZ24" s="77" t="s">
        <v>127</v>
      </c>
      <c r="BA24" s="37" t="s">
        <v>127</v>
      </c>
      <c r="BB24" s="37" t="s">
        <v>143</v>
      </c>
      <c r="BC24" s="77" t="s">
        <v>127</v>
      </c>
      <c r="BD24" s="76">
        <v>43809</v>
      </c>
      <c r="BE24" s="37" t="s">
        <v>127</v>
      </c>
      <c r="BF24" s="80">
        <v>45657</v>
      </c>
      <c r="BG24" s="39" t="s">
        <v>127</v>
      </c>
      <c r="BH24" s="39" t="s">
        <v>127</v>
      </c>
      <c r="BI24" s="40" t="b">
        <v>1</v>
      </c>
      <c r="BJ24" s="40" t="s">
        <v>137</v>
      </c>
      <c r="BK24" s="37" t="s">
        <v>137</v>
      </c>
      <c r="BL24" s="41">
        <v>2856.9589265937148</v>
      </c>
      <c r="BM24" s="41">
        <v>2.8309099999999998</v>
      </c>
      <c r="BN24" s="41">
        <v>1273.1861699999999</v>
      </c>
      <c r="BO24" s="41">
        <v>224.92710000000005</v>
      </c>
      <c r="BP24" s="41">
        <v>113.24605999999999</v>
      </c>
      <c r="BQ24" s="41">
        <v>1128.71883</v>
      </c>
      <c r="BR24" s="41">
        <v>114.04985659371499</v>
      </c>
      <c r="BS24" s="41">
        <v>0</v>
      </c>
      <c r="BT24" s="41">
        <v>0</v>
      </c>
      <c r="BU24" s="41">
        <v>0</v>
      </c>
      <c r="BV24" s="41">
        <v>0</v>
      </c>
      <c r="BW24" s="49">
        <v>2716.5303600000002</v>
      </c>
      <c r="BX24" s="37" t="s">
        <v>127</v>
      </c>
      <c r="BY24" s="37" t="s">
        <v>127</v>
      </c>
      <c r="BZ24" s="37" t="s">
        <v>173</v>
      </c>
      <c r="CA24" s="41">
        <v>0</v>
      </c>
      <c r="CB24" s="41">
        <v>0</v>
      </c>
      <c r="CC24" s="41">
        <v>0</v>
      </c>
      <c r="CD24" s="41">
        <v>0</v>
      </c>
      <c r="CE24" s="41">
        <v>0</v>
      </c>
      <c r="CF24" s="41">
        <v>2747.0154165937151</v>
      </c>
      <c r="CG24" s="45">
        <v>0</v>
      </c>
      <c r="CH24" s="45">
        <v>0</v>
      </c>
      <c r="CI24" s="37" t="s">
        <v>127</v>
      </c>
      <c r="CJ24" s="77" t="s">
        <v>127</v>
      </c>
      <c r="CK24" s="98">
        <v>0.18140000000000001</v>
      </c>
      <c r="CL24" s="98">
        <v>0.81859999999999999</v>
      </c>
      <c r="CM24" s="99" t="s">
        <v>278</v>
      </c>
    </row>
    <row r="25" spans="1:91" ht="12.75" customHeight="1" x14ac:dyDescent="0.3">
      <c r="A25" s="37">
        <v>23</v>
      </c>
      <c r="B25" s="37" t="s">
        <v>279</v>
      </c>
      <c r="C25" s="124"/>
      <c r="D25" s="124"/>
      <c r="E25" s="37" t="s">
        <v>258</v>
      </c>
      <c r="F25" s="36" t="s">
        <v>280</v>
      </c>
      <c r="G25" s="81" t="s">
        <v>281</v>
      </c>
      <c r="H25" s="38" t="s">
        <v>130</v>
      </c>
      <c r="I25" s="38" t="s">
        <v>130</v>
      </c>
      <c r="J25" s="38" t="s">
        <v>127</v>
      </c>
      <c r="K25" s="38" t="s">
        <v>269</v>
      </c>
      <c r="L25" s="81" t="s">
        <v>282</v>
      </c>
      <c r="M25" s="38" t="s">
        <v>127</v>
      </c>
      <c r="N25" s="38" t="s">
        <v>127</v>
      </c>
      <c r="O25" s="76">
        <v>45420</v>
      </c>
      <c r="P25" s="37" t="s">
        <v>137</v>
      </c>
      <c r="Q25" s="37" t="s">
        <v>127</v>
      </c>
      <c r="R25" s="37" t="s">
        <v>127</v>
      </c>
      <c r="S25" s="37" t="s">
        <v>127</v>
      </c>
      <c r="T25" s="37" t="s">
        <v>127</v>
      </c>
      <c r="U25" s="37" t="s">
        <v>136</v>
      </c>
      <c r="V25" s="37" t="b">
        <v>0</v>
      </c>
      <c r="W25" s="37" t="s">
        <v>127</v>
      </c>
      <c r="X25" s="123"/>
      <c r="Y25" s="37" t="s">
        <v>127</v>
      </c>
      <c r="Z25" s="37">
        <v>1.1000000000000001</v>
      </c>
      <c r="AA25" s="37">
        <v>69</v>
      </c>
      <c r="AB25" s="37">
        <v>69</v>
      </c>
      <c r="AC25" s="78">
        <v>4.0999999999999996</v>
      </c>
      <c r="AD25" s="78">
        <v>5983268</v>
      </c>
      <c r="AE25" s="37" t="s">
        <v>283</v>
      </c>
      <c r="AF25" s="37">
        <v>1145</v>
      </c>
      <c r="AG25" s="37" t="s">
        <v>127</v>
      </c>
      <c r="AH25" s="37" t="b">
        <v>1</v>
      </c>
      <c r="AI25" s="76" t="s">
        <v>127</v>
      </c>
      <c r="AJ25" s="77" t="s">
        <v>142</v>
      </c>
      <c r="AK25" s="37" t="s">
        <v>127</v>
      </c>
      <c r="AL25" s="37" t="s">
        <v>127</v>
      </c>
      <c r="AM25" s="37" t="b">
        <v>0</v>
      </c>
      <c r="AN25" s="37" t="s">
        <v>127</v>
      </c>
      <c r="AO25" s="37" t="s">
        <v>127</v>
      </c>
      <c r="AP25" s="37" t="s">
        <v>137</v>
      </c>
      <c r="AQ25" s="37" t="b">
        <v>0</v>
      </c>
      <c r="AR25" s="37" t="s">
        <v>127</v>
      </c>
      <c r="AS25" s="37" t="s">
        <v>127</v>
      </c>
      <c r="AT25" s="37" t="s">
        <v>127</v>
      </c>
      <c r="AU25" s="37" t="s">
        <v>127</v>
      </c>
      <c r="AV25" s="37" t="s">
        <v>127</v>
      </c>
      <c r="AW25" s="37" t="s">
        <v>127</v>
      </c>
      <c r="AX25" s="37" t="s">
        <v>161</v>
      </c>
      <c r="AY25" s="37" t="s">
        <v>127</v>
      </c>
      <c r="AZ25" s="37" t="s">
        <v>127</v>
      </c>
      <c r="BA25" s="37" t="s">
        <v>127</v>
      </c>
      <c r="BB25" s="37" t="s">
        <v>143</v>
      </c>
      <c r="BC25" s="77" t="s">
        <v>127</v>
      </c>
      <c r="BD25" s="76" t="s">
        <v>284</v>
      </c>
      <c r="BE25" s="37" t="s">
        <v>127</v>
      </c>
      <c r="BF25" s="86" t="s">
        <v>285</v>
      </c>
      <c r="BG25" s="39" t="s">
        <v>127</v>
      </c>
      <c r="BH25" s="39" t="s">
        <v>127</v>
      </c>
      <c r="BI25" s="40" t="b">
        <v>1</v>
      </c>
      <c r="BJ25" s="40" t="s">
        <v>137</v>
      </c>
      <c r="BK25" s="37" t="s">
        <v>137</v>
      </c>
      <c r="BL25" s="41">
        <v>2014.9230200000004</v>
      </c>
      <c r="BM25" s="41">
        <v>0</v>
      </c>
      <c r="BN25" s="41">
        <v>3.8494300000000004</v>
      </c>
      <c r="BO25" s="41">
        <v>337.21141999999986</v>
      </c>
      <c r="BP25" s="41">
        <v>1289.1569000000002</v>
      </c>
      <c r="BQ25" s="41">
        <v>384.63333</v>
      </c>
      <c r="BR25" s="41">
        <v>7.1940000000000004E-2</v>
      </c>
      <c r="BS25" s="41">
        <v>0</v>
      </c>
      <c r="BT25" s="41">
        <v>0</v>
      </c>
      <c r="BU25" s="41">
        <v>0</v>
      </c>
      <c r="BV25" s="41">
        <v>0</v>
      </c>
      <c r="BW25" s="49">
        <v>0</v>
      </c>
      <c r="BX25" s="37" t="s">
        <v>127</v>
      </c>
      <c r="BY25" s="37" t="s">
        <v>127</v>
      </c>
      <c r="BZ25" s="37" t="s">
        <v>198</v>
      </c>
      <c r="CA25" s="41">
        <v>0</v>
      </c>
      <c r="CB25" s="41">
        <v>0</v>
      </c>
      <c r="CC25" s="41">
        <v>0</v>
      </c>
      <c r="CD25" s="41">
        <v>1783.42</v>
      </c>
      <c r="CE25" s="41">
        <v>7.1940000000000004E-2</v>
      </c>
      <c r="CF25" s="41">
        <v>7.1940000000000004E-2</v>
      </c>
      <c r="CG25" s="45">
        <v>0</v>
      </c>
      <c r="CH25" s="45" t="s">
        <v>137</v>
      </c>
      <c r="CI25" s="37" t="s">
        <v>127</v>
      </c>
      <c r="CJ25" s="77" t="s">
        <v>127</v>
      </c>
      <c r="CK25" s="98">
        <v>0.18140000000000001</v>
      </c>
      <c r="CL25" s="98">
        <v>0.81859999999999999</v>
      </c>
      <c r="CM25" s="100" t="s">
        <v>286</v>
      </c>
    </row>
    <row r="26" spans="1:91" ht="12.75" customHeight="1" x14ac:dyDescent="0.3">
      <c r="A26" s="37">
        <v>24</v>
      </c>
      <c r="B26" s="37" t="s">
        <v>287</v>
      </c>
      <c r="C26" s="124"/>
      <c r="D26" s="124"/>
      <c r="E26" s="37" t="s">
        <v>288</v>
      </c>
      <c r="F26" s="36" t="s">
        <v>289</v>
      </c>
      <c r="G26" s="81" t="s">
        <v>290</v>
      </c>
      <c r="H26" s="37" t="s">
        <v>127</v>
      </c>
      <c r="I26" s="37" t="s">
        <v>127</v>
      </c>
      <c r="J26" s="37" t="s">
        <v>127</v>
      </c>
      <c r="K26" s="37" t="s">
        <v>291</v>
      </c>
      <c r="L26" s="75" t="s">
        <v>292</v>
      </c>
      <c r="M26" s="37" t="s">
        <v>127</v>
      </c>
      <c r="N26" s="37" t="s">
        <v>127</v>
      </c>
      <c r="O26" s="76">
        <v>45390</v>
      </c>
      <c r="P26" s="37" t="s">
        <v>127</v>
      </c>
      <c r="Q26" s="37" t="s">
        <v>127</v>
      </c>
      <c r="R26" s="37" t="s">
        <v>127</v>
      </c>
      <c r="S26" s="37" t="s">
        <v>127</v>
      </c>
      <c r="T26" s="37" t="s">
        <v>127</v>
      </c>
      <c r="U26" s="37" t="s">
        <v>136</v>
      </c>
      <c r="V26" s="37" t="b">
        <v>0</v>
      </c>
      <c r="W26" s="37" t="s">
        <v>127</v>
      </c>
      <c r="X26" s="123"/>
      <c r="Y26" s="37" t="s">
        <v>127</v>
      </c>
      <c r="Z26" s="37">
        <v>1.1299999999999999</v>
      </c>
      <c r="AA26" s="37">
        <v>69</v>
      </c>
      <c r="AB26" s="37">
        <v>69</v>
      </c>
      <c r="AC26" s="78">
        <v>4.0999999999999996</v>
      </c>
      <c r="AD26" s="78">
        <v>5984479</v>
      </c>
      <c r="AE26" s="37" t="s">
        <v>293</v>
      </c>
      <c r="AF26" s="37">
        <v>1145</v>
      </c>
      <c r="AG26" s="37" t="s">
        <v>127</v>
      </c>
      <c r="AH26" s="37" t="b">
        <v>1</v>
      </c>
      <c r="AI26" s="76" t="s">
        <v>127</v>
      </c>
      <c r="AJ26" s="77" t="s">
        <v>142</v>
      </c>
      <c r="AK26" s="37" t="s">
        <v>127</v>
      </c>
      <c r="AL26" s="37" t="s">
        <v>127</v>
      </c>
      <c r="AM26" s="37" t="b">
        <v>0</v>
      </c>
      <c r="AN26" s="37" t="s">
        <v>127</v>
      </c>
      <c r="AO26" s="37" t="s">
        <v>127</v>
      </c>
      <c r="AP26" s="37" t="s">
        <v>137</v>
      </c>
      <c r="AQ26" s="37" t="b">
        <v>0</v>
      </c>
      <c r="AR26" s="37" t="s">
        <v>127</v>
      </c>
      <c r="AS26" s="37" t="s">
        <v>127</v>
      </c>
      <c r="AT26" s="37" t="s">
        <v>127</v>
      </c>
      <c r="AU26" s="37" t="s">
        <v>127</v>
      </c>
      <c r="AV26" s="37" t="s">
        <v>127</v>
      </c>
      <c r="AW26" s="37" t="s">
        <v>127</v>
      </c>
      <c r="AX26" s="37" t="s">
        <v>161</v>
      </c>
      <c r="AY26" s="37" t="s">
        <v>127</v>
      </c>
      <c r="AZ26" s="37" t="s">
        <v>127</v>
      </c>
      <c r="BA26" s="37" t="s">
        <v>127</v>
      </c>
      <c r="BB26" s="37" t="s">
        <v>143</v>
      </c>
      <c r="BC26" s="77" t="s">
        <v>127</v>
      </c>
      <c r="BD26" s="76" t="s">
        <v>294</v>
      </c>
      <c r="BE26" s="37" t="s">
        <v>127</v>
      </c>
      <c r="BF26" s="86" t="s">
        <v>295</v>
      </c>
      <c r="BG26" s="39" t="s">
        <v>127</v>
      </c>
      <c r="BH26" s="37" t="s">
        <v>127</v>
      </c>
      <c r="BI26" s="40" t="b">
        <v>0</v>
      </c>
      <c r="BJ26" s="40" t="s">
        <v>137</v>
      </c>
      <c r="BK26" s="37" t="s">
        <v>137</v>
      </c>
      <c r="BL26" s="41">
        <v>4692.7355660290041</v>
      </c>
      <c r="BM26" s="41">
        <v>1203.9120740079998</v>
      </c>
      <c r="BN26" s="41">
        <v>-46.90303358500001</v>
      </c>
      <c r="BO26" s="41">
        <v>40.308010000000003</v>
      </c>
      <c r="BP26" s="41">
        <v>0</v>
      </c>
      <c r="BQ26" s="41">
        <v>0</v>
      </c>
      <c r="BR26" s="41">
        <v>0</v>
      </c>
      <c r="BS26" s="41">
        <v>0</v>
      </c>
      <c r="BT26" s="41">
        <v>0</v>
      </c>
      <c r="BU26" s="41">
        <v>0</v>
      </c>
      <c r="BV26" s="41">
        <v>0</v>
      </c>
      <c r="BW26" s="49">
        <v>0</v>
      </c>
      <c r="BX26" s="37" t="s">
        <v>127</v>
      </c>
      <c r="BY26" s="37" t="s">
        <v>127</v>
      </c>
      <c r="BZ26" s="37" t="s">
        <v>207</v>
      </c>
      <c r="CA26" s="41">
        <v>4684.8739999999998</v>
      </c>
      <c r="CB26" s="41">
        <v>40.31</v>
      </c>
      <c r="CC26" s="41">
        <v>0</v>
      </c>
      <c r="CD26" s="41">
        <v>0</v>
      </c>
      <c r="CE26" s="41">
        <v>0</v>
      </c>
      <c r="CF26" s="41">
        <v>0</v>
      </c>
      <c r="CG26" s="45">
        <v>0</v>
      </c>
      <c r="CH26" s="45" t="s">
        <v>137</v>
      </c>
      <c r="CI26" s="37" t="s">
        <v>127</v>
      </c>
      <c r="CJ26" s="77" t="s">
        <v>127</v>
      </c>
      <c r="CK26" s="98">
        <v>0.18140000000000001</v>
      </c>
      <c r="CL26" s="98">
        <v>0.81859999999999999</v>
      </c>
      <c r="CM26" s="100" t="s">
        <v>296</v>
      </c>
    </row>
    <row r="27" spans="1:91" ht="12.75" customHeight="1" x14ac:dyDescent="0.3">
      <c r="A27" s="37">
        <v>25</v>
      </c>
      <c r="B27" s="37" t="s">
        <v>297</v>
      </c>
      <c r="C27" s="124"/>
      <c r="D27" s="124"/>
      <c r="E27" s="37" t="s">
        <v>258</v>
      </c>
      <c r="F27" s="36" t="s">
        <v>298</v>
      </c>
      <c r="G27" s="81" t="s">
        <v>148</v>
      </c>
      <c r="H27" s="38" t="s">
        <v>268</v>
      </c>
      <c r="I27" s="38" t="s">
        <v>227</v>
      </c>
      <c r="J27" s="38" t="s">
        <v>127</v>
      </c>
      <c r="K27" s="38" t="s">
        <v>132</v>
      </c>
      <c r="L27" s="89" t="s">
        <v>276</v>
      </c>
      <c r="M27" s="38" t="s">
        <v>127</v>
      </c>
      <c r="N27" s="38" t="s">
        <v>127</v>
      </c>
      <c r="O27" s="76">
        <v>45419</v>
      </c>
      <c r="P27" s="37" t="s">
        <v>137</v>
      </c>
      <c r="Q27" s="37" t="s">
        <v>127</v>
      </c>
      <c r="R27" s="37" t="s">
        <v>127</v>
      </c>
      <c r="S27" s="37" t="s">
        <v>127</v>
      </c>
      <c r="T27" s="37" t="s">
        <v>127</v>
      </c>
      <c r="U27" s="37" t="s">
        <v>136</v>
      </c>
      <c r="V27" s="37" t="b">
        <v>0</v>
      </c>
      <c r="W27" s="37" t="s">
        <v>127</v>
      </c>
      <c r="X27" s="123"/>
      <c r="Y27" s="37" t="s">
        <v>127</v>
      </c>
      <c r="Z27" s="37">
        <v>9</v>
      </c>
      <c r="AA27" s="37">
        <v>69</v>
      </c>
      <c r="AB27" s="37">
        <v>69</v>
      </c>
      <c r="AC27" s="78">
        <v>4.0999999999999996</v>
      </c>
      <c r="AD27" s="78">
        <v>5987309</v>
      </c>
      <c r="AE27" s="37" t="s">
        <v>299</v>
      </c>
      <c r="AF27" s="37">
        <v>1145</v>
      </c>
      <c r="AG27" s="37" t="s">
        <v>127</v>
      </c>
      <c r="AH27" s="37" t="b">
        <v>1</v>
      </c>
      <c r="AI27" s="76" t="s">
        <v>127</v>
      </c>
      <c r="AJ27" s="77" t="s">
        <v>142</v>
      </c>
      <c r="AK27" s="37" t="s">
        <v>127</v>
      </c>
      <c r="AL27" s="37" t="s">
        <v>127</v>
      </c>
      <c r="AM27" s="37" t="b">
        <v>0</v>
      </c>
      <c r="AN27" s="37" t="s">
        <v>127</v>
      </c>
      <c r="AO27" s="37" t="s">
        <v>127</v>
      </c>
      <c r="AP27" s="37" t="s">
        <v>137</v>
      </c>
      <c r="AQ27" s="37" t="b">
        <v>0</v>
      </c>
      <c r="AR27" s="37" t="s">
        <v>127</v>
      </c>
      <c r="AS27" s="37" t="s">
        <v>127</v>
      </c>
      <c r="AT27" s="37" t="s">
        <v>127</v>
      </c>
      <c r="AU27" s="37" t="s">
        <v>127</v>
      </c>
      <c r="AV27" s="37" t="s">
        <v>127</v>
      </c>
      <c r="AW27" s="37" t="s">
        <v>127</v>
      </c>
      <c r="AX27" s="37" t="s">
        <v>161</v>
      </c>
      <c r="AY27" s="37" t="s">
        <v>127</v>
      </c>
      <c r="AZ27" s="37" t="s">
        <v>127</v>
      </c>
      <c r="BA27" s="37" t="s">
        <v>127</v>
      </c>
      <c r="BB27" s="37" t="s">
        <v>143</v>
      </c>
      <c r="BC27" s="77" t="s">
        <v>127</v>
      </c>
      <c r="BD27" s="76" t="s">
        <v>300</v>
      </c>
      <c r="BE27" s="37" t="s">
        <v>127</v>
      </c>
      <c r="BF27" s="86" t="s">
        <v>301</v>
      </c>
      <c r="BG27" s="39" t="s">
        <v>127</v>
      </c>
      <c r="BH27" s="39" t="s">
        <v>127</v>
      </c>
      <c r="BI27" s="40" t="b">
        <v>0</v>
      </c>
      <c r="BJ27" s="40" t="s">
        <v>137</v>
      </c>
      <c r="BK27" s="37" t="s">
        <v>137</v>
      </c>
      <c r="BL27" s="41">
        <v>3555.3212191140005</v>
      </c>
      <c r="BM27" s="41">
        <v>367.94965347399983</v>
      </c>
      <c r="BN27" s="41">
        <v>694.1416992799999</v>
      </c>
      <c r="BO27" s="41">
        <v>192.97495096000003</v>
      </c>
      <c r="BP27" s="41">
        <v>0</v>
      </c>
      <c r="BQ27" s="41">
        <v>0</v>
      </c>
      <c r="BR27" s="41">
        <v>0</v>
      </c>
      <c r="BS27" s="41">
        <v>0</v>
      </c>
      <c r="BT27" s="41">
        <v>0</v>
      </c>
      <c r="BU27" s="41">
        <v>0</v>
      </c>
      <c r="BV27" s="41">
        <v>0</v>
      </c>
      <c r="BW27" s="49">
        <v>0</v>
      </c>
      <c r="BX27" s="37" t="s">
        <v>127</v>
      </c>
      <c r="BY27" s="37" t="s">
        <v>127</v>
      </c>
      <c r="BZ27" s="37" t="s">
        <v>244</v>
      </c>
      <c r="CA27" s="41">
        <v>0</v>
      </c>
      <c r="CB27" s="41">
        <v>4480.95</v>
      </c>
      <c r="CC27" s="41">
        <v>0</v>
      </c>
      <c r="CD27" s="41">
        <v>0</v>
      </c>
      <c r="CE27" s="41">
        <v>0</v>
      </c>
      <c r="CF27" s="41">
        <v>0</v>
      </c>
      <c r="CG27" s="45">
        <v>0</v>
      </c>
      <c r="CH27" s="45" t="s">
        <v>137</v>
      </c>
      <c r="CI27" s="37" t="s">
        <v>127</v>
      </c>
      <c r="CJ27" s="77" t="s">
        <v>127</v>
      </c>
      <c r="CK27" s="98">
        <v>0.18140000000000001</v>
      </c>
      <c r="CL27" s="98">
        <v>0.81859999999999999</v>
      </c>
      <c r="CM27" s="100" t="s">
        <v>302</v>
      </c>
    </row>
    <row r="28" spans="1:91" ht="12.75" customHeight="1" x14ac:dyDescent="0.3">
      <c r="A28" s="37">
        <v>26</v>
      </c>
      <c r="B28" s="37" t="s">
        <v>303</v>
      </c>
      <c r="C28" s="124"/>
      <c r="D28" s="124"/>
      <c r="E28" s="37" t="s">
        <v>165</v>
      </c>
      <c r="F28" s="36" t="s">
        <v>304</v>
      </c>
      <c r="G28" s="81" t="s">
        <v>184</v>
      </c>
      <c r="H28" s="38" t="s">
        <v>130</v>
      </c>
      <c r="I28" s="38" t="s">
        <v>131</v>
      </c>
      <c r="J28" s="38" t="s">
        <v>127</v>
      </c>
      <c r="K28" s="37" t="s">
        <v>132</v>
      </c>
      <c r="L28" s="81" t="s">
        <v>149</v>
      </c>
      <c r="M28" s="38" t="s">
        <v>127</v>
      </c>
      <c r="N28" s="38" t="s">
        <v>127</v>
      </c>
      <c r="O28" s="76">
        <v>45420</v>
      </c>
      <c r="P28" s="37" t="s">
        <v>305</v>
      </c>
      <c r="Q28" s="37" t="s">
        <v>127</v>
      </c>
      <c r="R28" s="37" t="s">
        <v>127</v>
      </c>
      <c r="S28" s="37" t="s">
        <v>127</v>
      </c>
      <c r="T28" s="37" t="s">
        <v>127</v>
      </c>
      <c r="U28" s="37" t="s">
        <v>136</v>
      </c>
      <c r="V28" s="37" t="b">
        <v>0</v>
      </c>
      <c r="W28" s="37" t="s">
        <v>127</v>
      </c>
      <c r="X28" s="123"/>
      <c r="Y28" s="37" t="s">
        <v>127</v>
      </c>
      <c r="Z28" s="37">
        <v>0.76</v>
      </c>
      <c r="AA28" s="37">
        <v>69</v>
      </c>
      <c r="AB28" s="37" t="s">
        <v>306</v>
      </c>
      <c r="AC28" s="78">
        <v>4.0999999999999996</v>
      </c>
      <c r="AD28" s="78">
        <v>5987430</v>
      </c>
      <c r="AE28" s="37" t="s">
        <v>307</v>
      </c>
      <c r="AF28" s="37">
        <v>1145</v>
      </c>
      <c r="AG28" s="37" t="s">
        <v>127</v>
      </c>
      <c r="AH28" s="37" t="b">
        <v>1</v>
      </c>
      <c r="AI28" s="76" t="s">
        <v>127</v>
      </c>
      <c r="AJ28" s="77" t="s">
        <v>142</v>
      </c>
      <c r="AK28" s="37" t="s">
        <v>127</v>
      </c>
      <c r="AL28" s="37" t="s">
        <v>127</v>
      </c>
      <c r="AM28" s="37" t="b">
        <v>0</v>
      </c>
      <c r="AN28" s="37" t="s">
        <v>127</v>
      </c>
      <c r="AO28" s="37" t="s">
        <v>127</v>
      </c>
      <c r="AP28" s="37" t="s">
        <v>137</v>
      </c>
      <c r="AQ28" s="37" t="b">
        <v>0</v>
      </c>
      <c r="AR28" s="37" t="s">
        <v>127</v>
      </c>
      <c r="AS28" s="76" t="s">
        <v>127</v>
      </c>
      <c r="AT28" s="37" t="s">
        <v>127</v>
      </c>
      <c r="AU28" s="37" t="s">
        <v>127</v>
      </c>
      <c r="AV28" s="37" t="s">
        <v>127</v>
      </c>
      <c r="AW28" s="37" t="s">
        <v>127</v>
      </c>
      <c r="AX28" s="37" t="s">
        <v>127</v>
      </c>
      <c r="AY28" s="76" t="s">
        <v>127</v>
      </c>
      <c r="AZ28" s="77" t="s">
        <v>127</v>
      </c>
      <c r="BA28" s="37" t="s">
        <v>127</v>
      </c>
      <c r="BB28" s="37" t="s">
        <v>143</v>
      </c>
      <c r="BC28" s="77" t="s">
        <v>127</v>
      </c>
      <c r="BD28" s="76" t="s">
        <v>127</v>
      </c>
      <c r="BE28" s="37" t="s">
        <v>127</v>
      </c>
      <c r="BF28" s="80" t="s">
        <v>127</v>
      </c>
      <c r="BG28" s="39" t="s">
        <v>127</v>
      </c>
      <c r="BH28" s="39" t="s">
        <v>127</v>
      </c>
      <c r="BI28" s="40" t="b">
        <v>0</v>
      </c>
      <c r="BJ28" s="40" t="s">
        <v>137</v>
      </c>
      <c r="BK28" s="37" t="s">
        <v>137</v>
      </c>
      <c r="BL28" s="41">
        <v>2352.9447479210007</v>
      </c>
      <c r="BM28" s="41">
        <v>1189.0666160339999</v>
      </c>
      <c r="BN28" s="41">
        <v>67.186521275000004</v>
      </c>
      <c r="BO28" s="41">
        <v>0</v>
      </c>
      <c r="BP28" s="41">
        <v>0</v>
      </c>
      <c r="BQ28" s="41">
        <v>0.145868954</v>
      </c>
      <c r="BR28" s="41">
        <v>0</v>
      </c>
      <c r="BS28" s="41">
        <v>0</v>
      </c>
      <c r="BT28" s="41">
        <v>0</v>
      </c>
      <c r="BU28" s="41">
        <v>0</v>
      </c>
      <c r="BV28" s="41">
        <v>0</v>
      </c>
      <c r="BW28" s="49">
        <v>0</v>
      </c>
      <c r="BX28" s="37" t="s">
        <v>127</v>
      </c>
      <c r="BY28" s="37" t="s">
        <v>127</v>
      </c>
      <c r="BZ28" s="37" t="s">
        <v>180</v>
      </c>
      <c r="CA28" s="41">
        <v>2159.9349999999999</v>
      </c>
      <c r="CB28" s="41">
        <v>0</v>
      </c>
      <c r="CC28" s="41">
        <v>0</v>
      </c>
      <c r="CD28" s="41">
        <v>0</v>
      </c>
      <c r="CE28" s="41">
        <v>0</v>
      </c>
      <c r="CF28" s="41">
        <v>0</v>
      </c>
      <c r="CG28" s="45">
        <v>0</v>
      </c>
      <c r="CH28" s="45" t="s">
        <v>137</v>
      </c>
      <c r="CI28" s="37" t="s">
        <v>127</v>
      </c>
      <c r="CJ28" s="77" t="s">
        <v>127</v>
      </c>
      <c r="CK28" s="98">
        <v>0.18140000000000001</v>
      </c>
      <c r="CL28" s="98">
        <v>0.81859999999999999</v>
      </c>
      <c r="CM28" s="100" t="s">
        <v>189</v>
      </c>
    </row>
    <row r="29" spans="1:91" ht="12.75" customHeight="1" x14ac:dyDescent="0.3">
      <c r="A29" s="37">
        <v>27</v>
      </c>
      <c r="B29" s="37" t="s">
        <v>308</v>
      </c>
      <c r="C29" s="124"/>
      <c r="D29" s="124"/>
      <c r="E29" s="37" t="s">
        <v>309</v>
      </c>
      <c r="F29" s="36" t="s">
        <v>310</v>
      </c>
      <c r="G29" s="81" t="s">
        <v>159</v>
      </c>
      <c r="H29" s="38" t="s">
        <v>130</v>
      </c>
      <c r="I29" s="38" t="s">
        <v>130</v>
      </c>
      <c r="J29" s="38" t="s">
        <v>127</v>
      </c>
      <c r="K29" s="37" t="s">
        <v>269</v>
      </c>
      <c r="L29" s="81" t="s">
        <v>282</v>
      </c>
      <c r="M29" s="38" t="s">
        <v>127</v>
      </c>
      <c r="N29" s="38" t="s">
        <v>127</v>
      </c>
      <c r="O29" s="76">
        <v>45403</v>
      </c>
      <c r="P29" s="37" t="s">
        <v>137</v>
      </c>
      <c r="Q29" s="37" t="s">
        <v>127</v>
      </c>
      <c r="R29" s="37" t="s">
        <v>127</v>
      </c>
      <c r="S29" s="37" t="s">
        <v>127</v>
      </c>
      <c r="T29" s="37" t="s">
        <v>127</v>
      </c>
      <c r="U29" s="37" t="s">
        <v>136</v>
      </c>
      <c r="V29" s="37" t="b">
        <v>0</v>
      </c>
      <c r="W29" s="37" t="s">
        <v>127</v>
      </c>
      <c r="X29" s="123"/>
      <c r="Y29" s="37" t="s">
        <v>127</v>
      </c>
      <c r="Z29" s="37">
        <v>55.48</v>
      </c>
      <c r="AA29" s="37">
        <v>500</v>
      </c>
      <c r="AB29" s="37">
        <v>500</v>
      </c>
      <c r="AC29" s="78">
        <v>4.0999999999999996</v>
      </c>
      <c r="AD29" s="78">
        <v>5987494</v>
      </c>
      <c r="AE29" s="37" t="s">
        <v>311</v>
      </c>
      <c r="AF29" s="37">
        <v>1145</v>
      </c>
      <c r="AG29" s="37" t="s">
        <v>127</v>
      </c>
      <c r="AH29" s="37" t="b">
        <v>1</v>
      </c>
      <c r="AI29" s="76" t="s">
        <v>127</v>
      </c>
      <c r="AJ29" s="77" t="s">
        <v>142</v>
      </c>
      <c r="AK29" s="37" t="s">
        <v>127</v>
      </c>
      <c r="AL29" s="37" t="s">
        <v>127</v>
      </c>
      <c r="AM29" s="37" t="b">
        <v>0</v>
      </c>
      <c r="AN29" s="37" t="s">
        <v>127</v>
      </c>
      <c r="AO29" s="37" t="s">
        <v>127</v>
      </c>
      <c r="AP29" s="37" t="s">
        <v>137</v>
      </c>
      <c r="AQ29" s="37" t="b">
        <v>0</v>
      </c>
      <c r="AR29" s="37" t="s">
        <v>127</v>
      </c>
      <c r="AS29" s="76" t="s">
        <v>127</v>
      </c>
      <c r="AT29" s="37" t="s">
        <v>127</v>
      </c>
      <c r="AU29" s="37" t="s">
        <v>127</v>
      </c>
      <c r="AV29" s="37" t="s">
        <v>127</v>
      </c>
      <c r="AW29" s="37" t="s">
        <v>127</v>
      </c>
      <c r="AX29" s="37" t="s">
        <v>127</v>
      </c>
      <c r="AY29" s="76" t="s">
        <v>127</v>
      </c>
      <c r="AZ29" s="77" t="s">
        <v>127</v>
      </c>
      <c r="BA29" s="37" t="s">
        <v>127</v>
      </c>
      <c r="BB29" s="37" t="s">
        <v>143</v>
      </c>
      <c r="BC29" s="77" t="s">
        <v>127</v>
      </c>
      <c r="BD29" s="76" t="s">
        <v>127</v>
      </c>
      <c r="BE29" s="37" t="s">
        <v>127</v>
      </c>
      <c r="BF29" s="80" t="s">
        <v>127</v>
      </c>
      <c r="BG29" s="39" t="s">
        <v>127</v>
      </c>
      <c r="BH29" s="39" t="s">
        <v>127</v>
      </c>
      <c r="BI29" s="40" t="b">
        <v>0</v>
      </c>
      <c r="BJ29" s="40" t="s">
        <v>137</v>
      </c>
      <c r="BK29" s="37" t="s">
        <v>137</v>
      </c>
      <c r="BL29" s="41">
        <v>1256.5139899999997</v>
      </c>
      <c r="BM29" s="41">
        <v>1114.6451999999999</v>
      </c>
      <c r="BN29" s="41">
        <v>141.86879000000005</v>
      </c>
      <c r="BO29" s="41">
        <v>0</v>
      </c>
      <c r="BP29" s="41">
        <v>0</v>
      </c>
      <c r="BQ29" s="41">
        <v>0</v>
      </c>
      <c r="BR29" s="41">
        <v>0</v>
      </c>
      <c r="BS29" s="41">
        <v>0</v>
      </c>
      <c r="BT29" s="41">
        <v>0</v>
      </c>
      <c r="BU29" s="41">
        <v>0</v>
      </c>
      <c r="BV29" s="41">
        <v>0</v>
      </c>
      <c r="BW29" s="49">
        <v>0</v>
      </c>
      <c r="BX29" s="37" t="s">
        <v>127</v>
      </c>
      <c r="BY29" s="37" t="s">
        <v>127</v>
      </c>
      <c r="BZ29" s="37" t="s">
        <v>180</v>
      </c>
      <c r="CA29" s="41">
        <v>544.072</v>
      </c>
      <c r="CB29" s="41">
        <v>0</v>
      </c>
      <c r="CC29" s="41">
        <v>0</v>
      </c>
      <c r="CD29" s="41">
        <v>0</v>
      </c>
      <c r="CE29" s="41">
        <v>0</v>
      </c>
      <c r="CF29" s="41">
        <v>0</v>
      </c>
      <c r="CG29" s="45">
        <v>0</v>
      </c>
      <c r="CH29" s="45">
        <v>0</v>
      </c>
      <c r="CI29" s="37" t="s">
        <v>127</v>
      </c>
      <c r="CJ29" s="77" t="s">
        <v>127</v>
      </c>
      <c r="CK29" s="98">
        <v>0.18140000000000001</v>
      </c>
      <c r="CL29" s="98">
        <v>0.81859999999999999</v>
      </c>
      <c r="CM29" s="100" t="s">
        <v>312</v>
      </c>
    </row>
    <row r="30" spans="1:91" ht="12.75" customHeight="1" x14ac:dyDescent="0.3">
      <c r="A30" s="37">
        <v>28</v>
      </c>
      <c r="B30" s="37" t="s">
        <v>313</v>
      </c>
      <c r="C30" s="124"/>
      <c r="D30" s="124"/>
      <c r="E30" s="37" t="s">
        <v>246</v>
      </c>
      <c r="F30" s="36" t="s">
        <v>314</v>
      </c>
      <c r="G30" s="81" t="s">
        <v>159</v>
      </c>
      <c r="H30" s="38" t="s">
        <v>130</v>
      </c>
      <c r="I30" s="38" t="s">
        <v>130</v>
      </c>
      <c r="J30" s="38" t="s">
        <v>127</v>
      </c>
      <c r="K30" s="38" t="s">
        <v>269</v>
      </c>
      <c r="L30" s="81" t="s">
        <v>282</v>
      </c>
      <c r="M30" s="38" t="s">
        <v>127</v>
      </c>
      <c r="N30" s="38" t="s">
        <v>127</v>
      </c>
      <c r="O30" s="76">
        <v>45411</v>
      </c>
      <c r="P30" s="37" t="s">
        <v>137</v>
      </c>
      <c r="Q30" s="37" t="s">
        <v>127</v>
      </c>
      <c r="R30" s="37" t="s">
        <v>127</v>
      </c>
      <c r="S30" s="37" t="s">
        <v>127</v>
      </c>
      <c r="T30" s="37" t="s">
        <v>315</v>
      </c>
      <c r="U30" s="37" t="s">
        <v>136</v>
      </c>
      <c r="V30" s="37" t="b">
        <v>0</v>
      </c>
      <c r="W30" s="37" t="s">
        <v>127</v>
      </c>
      <c r="X30" s="123"/>
      <c r="Y30" s="37" t="s">
        <v>127</v>
      </c>
      <c r="Z30" s="37">
        <v>12.37</v>
      </c>
      <c r="AA30" s="37">
        <v>500</v>
      </c>
      <c r="AB30" s="37">
        <v>500</v>
      </c>
      <c r="AC30" s="78">
        <v>4.0999999999999996</v>
      </c>
      <c r="AD30" s="78">
        <v>5987495</v>
      </c>
      <c r="AE30" s="37" t="s">
        <v>316</v>
      </c>
      <c r="AF30" s="37">
        <v>1145</v>
      </c>
      <c r="AG30" s="37" t="s">
        <v>127</v>
      </c>
      <c r="AH30" s="37" t="b">
        <v>1</v>
      </c>
      <c r="AI30" s="76" t="s">
        <v>127</v>
      </c>
      <c r="AJ30" s="77" t="s">
        <v>142</v>
      </c>
      <c r="AK30" s="37" t="s">
        <v>127</v>
      </c>
      <c r="AL30" s="37" t="s">
        <v>127</v>
      </c>
      <c r="AM30" s="37" t="b">
        <v>0</v>
      </c>
      <c r="AN30" s="37" t="s">
        <v>127</v>
      </c>
      <c r="AO30" s="37" t="s">
        <v>127</v>
      </c>
      <c r="AP30" s="37" t="s">
        <v>137</v>
      </c>
      <c r="AQ30" s="37" t="b">
        <v>0</v>
      </c>
      <c r="AR30" s="37" t="s">
        <v>127</v>
      </c>
      <c r="AS30" s="37" t="s">
        <v>127</v>
      </c>
      <c r="AT30" s="37" t="s">
        <v>127</v>
      </c>
      <c r="AU30" s="37" t="s">
        <v>127</v>
      </c>
      <c r="AV30" s="37" t="s">
        <v>127</v>
      </c>
      <c r="AW30" s="37" t="s">
        <v>127</v>
      </c>
      <c r="AX30" s="37" t="s">
        <v>161</v>
      </c>
      <c r="AY30" s="37" t="s">
        <v>127</v>
      </c>
      <c r="AZ30" s="37" t="s">
        <v>127</v>
      </c>
      <c r="BA30" s="37" t="s">
        <v>127</v>
      </c>
      <c r="BB30" s="37" t="s">
        <v>143</v>
      </c>
      <c r="BC30" s="77" t="s">
        <v>127</v>
      </c>
      <c r="BD30" s="76" t="s">
        <v>317</v>
      </c>
      <c r="BE30" s="37" t="s">
        <v>127</v>
      </c>
      <c r="BF30" s="86" t="s">
        <v>318</v>
      </c>
      <c r="BG30" s="39" t="s">
        <v>127</v>
      </c>
      <c r="BH30" s="39" t="s">
        <v>127</v>
      </c>
      <c r="BI30" s="40" t="b">
        <v>0</v>
      </c>
      <c r="BJ30" s="40" t="s">
        <v>137</v>
      </c>
      <c r="BK30" s="37" t="s">
        <v>137</v>
      </c>
      <c r="BL30" s="41">
        <v>1298.1523500000003</v>
      </c>
      <c r="BM30" s="41">
        <v>297.19596999999999</v>
      </c>
      <c r="BN30" s="41">
        <v>1000.9563800000001</v>
      </c>
      <c r="BO30" s="41">
        <v>0</v>
      </c>
      <c r="BP30" s="41">
        <v>0</v>
      </c>
      <c r="BQ30" s="41">
        <v>0</v>
      </c>
      <c r="BR30" s="41">
        <v>0</v>
      </c>
      <c r="BS30" s="41">
        <v>0</v>
      </c>
      <c r="BT30" s="41">
        <v>0</v>
      </c>
      <c r="BU30" s="41">
        <v>0</v>
      </c>
      <c r="BV30" s="41">
        <v>0</v>
      </c>
      <c r="BW30" s="49">
        <v>0</v>
      </c>
      <c r="BX30" s="37" t="s">
        <v>127</v>
      </c>
      <c r="BY30" s="37" t="s">
        <v>127</v>
      </c>
      <c r="BZ30" s="37" t="s">
        <v>180</v>
      </c>
      <c r="CA30" s="41">
        <v>939.11800000000005</v>
      </c>
      <c r="CB30" s="41">
        <v>0</v>
      </c>
      <c r="CC30" s="41">
        <v>0</v>
      </c>
      <c r="CD30" s="41">
        <v>0</v>
      </c>
      <c r="CE30" s="41">
        <v>0</v>
      </c>
      <c r="CF30" s="41">
        <v>0</v>
      </c>
      <c r="CG30" s="45">
        <v>0</v>
      </c>
      <c r="CH30" s="45" t="s">
        <v>137</v>
      </c>
      <c r="CI30" s="37" t="s">
        <v>127</v>
      </c>
      <c r="CJ30" s="77" t="s">
        <v>127</v>
      </c>
      <c r="CK30" s="98">
        <v>0.18140000000000001</v>
      </c>
      <c r="CL30" s="98">
        <v>0.81859999999999999</v>
      </c>
      <c r="CM30" s="100" t="s">
        <v>312</v>
      </c>
    </row>
    <row r="31" spans="1:91" ht="12.75" customHeight="1" x14ac:dyDescent="0.3">
      <c r="A31" s="37">
        <v>29</v>
      </c>
      <c r="B31" s="37" t="s">
        <v>319</v>
      </c>
      <c r="C31" s="124"/>
      <c r="D31" s="124"/>
      <c r="E31" s="37" t="s">
        <v>309</v>
      </c>
      <c r="F31" s="36" t="s">
        <v>320</v>
      </c>
      <c r="G31" s="81" t="s">
        <v>290</v>
      </c>
      <c r="H31" s="38" t="s">
        <v>130</v>
      </c>
      <c r="I31" s="38" t="s">
        <v>130</v>
      </c>
      <c r="J31" s="38" t="s">
        <v>127</v>
      </c>
      <c r="K31" s="38" t="s">
        <v>269</v>
      </c>
      <c r="L31" s="81" t="s">
        <v>282</v>
      </c>
      <c r="M31" s="38" t="s">
        <v>127</v>
      </c>
      <c r="N31" s="38" t="s">
        <v>127</v>
      </c>
      <c r="O31" s="76">
        <v>45403</v>
      </c>
      <c r="P31" s="37" t="s">
        <v>127</v>
      </c>
      <c r="Q31" s="37" t="s">
        <v>127</v>
      </c>
      <c r="R31" s="37" t="s">
        <v>127</v>
      </c>
      <c r="S31" s="37" t="s">
        <v>127</v>
      </c>
      <c r="T31" s="37" t="s">
        <v>127</v>
      </c>
      <c r="U31" s="37" t="s">
        <v>136</v>
      </c>
      <c r="V31" s="37" t="b">
        <v>0</v>
      </c>
      <c r="W31" s="37" t="s">
        <v>127</v>
      </c>
      <c r="X31" s="123"/>
      <c r="Y31" s="37" t="s">
        <v>127</v>
      </c>
      <c r="Z31" s="37">
        <v>55.48</v>
      </c>
      <c r="AA31" s="37">
        <v>500</v>
      </c>
      <c r="AB31" s="37">
        <v>500</v>
      </c>
      <c r="AC31" s="78">
        <v>4.0999999999999996</v>
      </c>
      <c r="AD31" s="78">
        <v>5987525</v>
      </c>
      <c r="AE31" s="37" t="s">
        <v>321</v>
      </c>
      <c r="AF31" s="37">
        <v>1145</v>
      </c>
      <c r="AG31" s="37" t="s">
        <v>127</v>
      </c>
      <c r="AH31" s="37" t="b">
        <v>1</v>
      </c>
      <c r="AI31" s="76" t="s">
        <v>127</v>
      </c>
      <c r="AJ31" s="77" t="s">
        <v>142</v>
      </c>
      <c r="AK31" s="37" t="s">
        <v>127</v>
      </c>
      <c r="AL31" s="37" t="s">
        <v>127</v>
      </c>
      <c r="AM31" s="37" t="b">
        <v>0</v>
      </c>
      <c r="AN31" s="37" t="s">
        <v>127</v>
      </c>
      <c r="AO31" s="37" t="s">
        <v>127</v>
      </c>
      <c r="AP31" s="37" t="s">
        <v>137</v>
      </c>
      <c r="AQ31" s="37" t="b">
        <v>0</v>
      </c>
      <c r="AR31" s="37" t="s">
        <v>127</v>
      </c>
      <c r="AS31" s="37" t="s">
        <v>127</v>
      </c>
      <c r="AT31" s="37" t="s">
        <v>127</v>
      </c>
      <c r="AU31" s="37" t="s">
        <v>127</v>
      </c>
      <c r="AV31" s="37" t="s">
        <v>127</v>
      </c>
      <c r="AW31" s="37" t="s">
        <v>127</v>
      </c>
      <c r="AX31" s="37" t="s">
        <v>161</v>
      </c>
      <c r="AY31" s="37" t="s">
        <v>127</v>
      </c>
      <c r="AZ31" s="37" t="s">
        <v>127</v>
      </c>
      <c r="BA31" s="37" t="s">
        <v>127</v>
      </c>
      <c r="BB31" s="37" t="s">
        <v>143</v>
      </c>
      <c r="BC31" s="77" t="s">
        <v>127</v>
      </c>
      <c r="BD31" s="76" t="s">
        <v>322</v>
      </c>
      <c r="BE31" s="37" t="s">
        <v>127</v>
      </c>
      <c r="BF31" s="86" t="s">
        <v>323</v>
      </c>
      <c r="BG31" s="39" t="s">
        <v>127</v>
      </c>
      <c r="BH31" s="39" t="s">
        <v>127</v>
      </c>
      <c r="BI31" s="40" t="b">
        <v>1</v>
      </c>
      <c r="BJ31" s="40" t="s">
        <v>137</v>
      </c>
      <c r="BK31" s="37" t="s">
        <v>137</v>
      </c>
      <c r="BL31" s="41">
        <v>1282.1354500000009</v>
      </c>
      <c r="BM31" s="41">
        <v>545.75819999999999</v>
      </c>
      <c r="BN31" s="41">
        <v>-20.740090000000027</v>
      </c>
      <c r="BO31" s="41">
        <v>225.88383000000002</v>
      </c>
      <c r="BP31" s="41">
        <v>220.18256</v>
      </c>
      <c r="BQ31" s="41">
        <v>281.49833000000001</v>
      </c>
      <c r="BR31" s="41">
        <v>29.552620000000005</v>
      </c>
      <c r="BS31" s="41">
        <v>0</v>
      </c>
      <c r="BT31" s="41">
        <v>0</v>
      </c>
      <c r="BU31" s="41">
        <v>0</v>
      </c>
      <c r="BV31" s="41">
        <v>0</v>
      </c>
      <c r="BW31" s="49">
        <v>0</v>
      </c>
      <c r="BX31" s="37" t="s">
        <v>127</v>
      </c>
      <c r="BY31" s="37" t="s">
        <v>127</v>
      </c>
      <c r="BZ31" s="37" t="s">
        <v>173</v>
      </c>
      <c r="CA31" s="41">
        <v>0</v>
      </c>
      <c r="CB31" s="41">
        <v>0</v>
      </c>
      <c r="CC31" s="41">
        <v>0</v>
      </c>
      <c r="CD31" s="41">
        <v>0</v>
      </c>
      <c r="CE31" s="41">
        <v>1281.6500000000001</v>
      </c>
      <c r="CF31" s="41">
        <v>1280.1350000000002</v>
      </c>
      <c r="CG31" s="45">
        <v>0</v>
      </c>
      <c r="CH31" s="45" t="s">
        <v>137</v>
      </c>
      <c r="CI31" s="37" t="s">
        <v>127</v>
      </c>
      <c r="CJ31" s="77" t="s">
        <v>127</v>
      </c>
      <c r="CK31" s="98">
        <v>0.18140000000000001</v>
      </c>
      <c r="CL31" s="98">
        <v>0.81859999999999999</v>
      </c>
      <c r="CM31" s="100" t="s">
        <v>324</v>
      </c>
    </row>
    <row r="32" spans="1:91" ht="12.75" customHeight="1" x14ac:dyDescent="0.3">
      <c r="A32" s="37">
        <v>30</v>
      </c>
      <c r="B32" s="37" t="s">
        <v>325</v>
      </c>
      <c r="C32" s="124"/>
      <c r="D32" s="124"/>
      <c r="E32" s="37" t="s">
        <v>288</v>
      </c>
      <c r="F32" s="36" t="s">
        <v>326</v>
      </c>
      <c r="G32" s="81" t="s">
        <v>242</v>
      </c>
      <c r="H32" s="38" t="s">
        <v>131</v>
      </c>
      <c r="I32" s="38" t="s">
        <v>131</v>
      </c>
      <c r="J32" s="38" t="s">
        <v>127</v>
      </c>
      <c r="K32" s="77" t="s">
        <v>212</v>
      </c>
      <c r="L32" s="81" t="s">
        <v>206</v>
      </c>
      <c r="M32" s="38" t="s">
        <v>127</v>
      </c>
      <c r="N32" s="38" t="s">
        <v>127</v>
      </c>
      <c r="O32" s="76">
        <v>45390</v>
      </c>
      <c r="P32" s="37" t="s">
        <v>127</v>
      </c>
      <c r="Q32" s="37" t="s">
        <v>127</v>
      </c>
      <c r="R32" s="37" t="s">
        <v>127</v>
      </c>
      <c r="S32" s="37" t="s">
        <v>127</v>
      </c>
      <c r="T32" s="37" t="s">
        <v>127</v>
      </c>
      <c r="U32" s="37" t="s">
        <v>136</v>
      </c>
      <c r="V32" s="37" t="b">
        <v>0</v>
      </c>
      <c r="W32" s="37" t="s">
        <v>127</v>
      </c>
      <c r="X32" s="123"/>
      <c r="Y32" s="37" t="s">
        <v>127</v>
      </c>
      <c r="Z32" s="37">
        <v>1.2</v>
      </c>
      <c r="AA32" s="37" t="s">
        <v>127</v>
      </c>
      <c r="AB32" s="37" t="s">
        <v>127</v>
      </c>
      <c r="AC32" s="78">
        <v>4.0999999999999996</v>
      </c>
      <c r="AD32" s="78">
        <v>5987526</v>
      </c>
      <c r="AE32" s="37" t="s">
        <v>127</v>
      </c>
      <c r="AF32" s="37">
        <v>1145</v>
      </c>
      <c r="AG32" s="37" t="s">
        <v>127</v>
      </c>
      <c r="AH32" s="37" t="b">
        <v>0</v>
      </c>
      <c r="AI32" s="76" t="s">
        <v>127</v>
      </c>
      <c r="AJ32" s="77" t="s">
        <v>142</v>
      </c>
      <c r="AK32" s="37" t="s">
        <v>127</v>
      </c>
      <c r="AL32" s="37" t="s">
        <v>127</v>
      </c>
      <c r="AM32" s="37" t="b">
        <v>0</v>
      </c>
      <c r="AN32" s="37" t="s">
        <v>127</v>
      </c>
      <c r="AO32" s="37" t="s">
        <v>127</v>
      </c>
      <c r="AP32" s="37" t="s">
        <v>137</v>
      </c>
      <c r="AQ32" s="37" t="b">
        <v>0</v>
      </c>
      <c r="AR32" s="37" t="s">
        <v>127</v>
      </c>
      <c r="AS32" s="76" t="s">
        <v>127</v>
      </c>
      <c r="AT32" s="37" t="s">
        <v>127</v>
      </c>
      <c r="AU32" s="37" t="s">
        <v>127</v>
      </c>
      <c r="AV32" s="37" t="s">
        <v>127</v>
      </c>
      <c r="AW32" s="37" t="s">
        <v>127</v>
      </c>
      <c r="AX32" s="37" t="s">
        <v>161</v>
      </c>
      <c r="AY32" s="76" t="s">
        <v>127</v>
      </c>
      <c r="AZ32" s="77" t="s">
        <v>127</v>
      </c>
      <c r="BA32" s="37" t="s">
        <v>127</v>
      </c>
      <c r="BB32" s="37" t="s">
        <v>143</v>
      </c>
      <c r="BC32" s="77" t="s">
        <v>127</v>
      </c>
      <c r="BD32" s="76">
        <v>43600</v>
      </c>
      <c r="BE32" s="76">
        <v>43830</v>
      </c>
      <c r="BF32" s="80">
        <v>43516</v>
      </c>
      <c r="BG32" s="39" t="s">
        <v>127</v>
      </c>
      <c r="BH32" s="39" t="s">
        <v>127</v>
      </c>
      <c r="BI32" s="40" t="b">
        <v>0</v>
      </c>
      <c r="BJ32" s="40" t="s">
        <v>137</v>
      </c>
      <c r="BK32" s="37" t="s">
        <v>137</v>
      </c>
      <c r="BL32" s="41">
        <v>1097.4383499999999</v>
      </c>
      <c r="BM32" s="41">
        <v>972.48655999999994</v>
      </c>
      <c r="BN32" s="41">
        <v>124.95178999999999</v>
      </c>
      <c r="BO32" s="41">
        <v>0</v>
      </c>
      <c r="BP32" s="41">
        <v>0</v>
      </c>
      <c r="BQ32" s="41">
        <v>0</v>
      </c>
      <c r="BR32" s="41">
        <v>0</v>
      </c>
      <c r="BS32" s="41">
        <v>0</v>
      </c>
      <c r="BT32" s="41">
        <v>0</v>
      </c>
      <c r="BU32" s="41">
        <v>0</v>
      </c>
      <c r="BV32" s="41">
        <v>0</v>
      </c>
      <c r="BW32" s="49">
        <v>0</v>
      </c>
      <c r="BX32" s="37" t="s">
        <v>127</v>
      </c>
      <c r="BY32" s="37" t="s">
        <v>127</v>
      </c>
      <c r="BZ32" s="37" t="s">
        <v>180</v>
      </c>
      <c r="CA32" s="41">
        <v>1097.4380000000001</v>
      </c>
      <c r="CB32" s="41">
        <v>0</v>
      </c>
      <c r="CC32" s="41">
        <v>0</v>
      </c>
      <c r="CD32" s="41">
        <v>0</v>
      </c>
      <c r="CE32" s="41">
        <v>0</v>
      </c>
      <c r="CF32" s="41">
        <v>0</v>
      </c>
      <c r="CG32" s="45">
        <v>0</v>
      </c>
      <c r="CH32" s="45">
        <v>0</v>
      </c>
      <c r="CI32" s="37" t="s">
        <v>127</v>
      </c>
      <c r="CJ32" s="77" t="s">
        <v>127</v>
      </c>
      <c r="CK32" s="98">
        <v>0.18140000000000001</v>
      </c>
      <c r="CL32" s="98">
        <v>0.81859999999999999</v>
      </c>
      <c r="CM32" s="100" t="s">
        <v>327</v>
      </c>
    </row>
    <row r="33" spans="1:91" ht="12.75" customHeight="1" x14ac:dyDescent="0.3">
      <c r="A33" s="37">
        <v>31</v>
      </c>
      <c r="B33" s="37" t="s">
        <v>328</v>
      </c>
      <c r="C33" s="124"/>
      <c r="D33" s="124"/>
      <c r="E33" s="37" t="s">
        <v>258</v>
      </c>
      <c r="F33" s="36" t="s">
        <v>329</v>
      </c>
      <c r="G33" s="81" t="s">
        <v>184</v>
      </c>
      <c r="H33" s="38" t="s">
        <v>130</v>
      </c>
      <c r="I33" s="38" t="s">
        <v>131</v>
      </c>
      <c r="J33" s="38" t="s">
        <v>127</v>
      </c>
      <c r="K33" s="38" t="s">
        <v>132</v>
      </c>
      <c r="L33" s="81" t="s">
        <v>330</v>
      </c>
      <c r="M33" s="38" t="s">
        <v>127</v>
      </c>
      <c r="N33" s="38" t="s">
        <v>127</v>
      </c>
      <c r="O33" s="76">
        <v>45418</v>
      </c>
      <c r="P33" s="37" t="s">
        <v>331</v>
      </c>
      <c r="Q33" s="37" t="s">
        <v>127</v>
      </c>
      <c r="R33" s="37" t="s">
        <v>127</v>
      </c>
      <c r="S33" s="37" t="s">
        <v>127</v>
      </c>
      <c r="T33" s="37" t="s">
        <v>127</v>
      </c>
      <c r="U33" s="37" t="s">
        <v>136</v>
      </c>
      <c r="V33" s="37" t="b">
        <v>0</v>
      </c>
      <c r="W33" s="37" t="s">
        <v>127</v>
      </c>
      <c r="X33" s="123"/>
      <c r="Y33" s="37" t="s">
        <v>127</v>
      </c>
      <c r="Z33" s="37">
        <v>13.94</v>
      </c>
      <c r="AA33" s="37">
        <v>138</v>
      </c>
      <c r="AB33" s="37">
        <v>138</v>
      </c>
      <c r="AC33" s="78">
        <v>4.0999999999999996</v>
      </c>
      <c r="AD33" s="78">
        <v>5987539</v>
      </c>
      <c r="AE33" s="37" t="s">
        <v>332</v>
      </c>
      <c r="AF33" s="37">
        <v>1145</v>
      </c>
      <c r="AG33" s="37" t="s">
        <v>127</v>
      </c>
      <c r="AH33" s="37" t="b">
        <v>1</v>
      </c>
      <c r="AI33" s="76" t="s">
        <v>127</v>
      </c>
      <c r="AJ33" s="77" t="s">
        <v>142</v>
      </c>
      <c r="AK33" s="37" t="s">
        <v>127</v>
      </c>
      <c r="AL33" s="37" t="s">
        <v>127</v>
      </c>
      <c r="AM33" s="37" t="b">
        <v>0</v>
      </c>
      <c r="AN33" s="37" t="s">
        <v>127</v>
      </c>
      <c r="AO33" s="37" t="s">
        <v>127</v>
      </c>
      <c r="AP33" s="37" t="s">
        <v>137</v>
      </c>
      <c r="AQ33" s="37" t="b">
        <v>0</v>
      </c>
      <c r="AR33" s="37" t="s">
        <v>127</v>
      </c>
      <c r="AS33" s="37" t="s">
        <v>127</v>
      </c>
      <c r="AT33" s="37" t="s">
        <v>127</v>
      </c>
      <c r="AU33" s="37" t="s">
        <v>127</v>
      </c>
      <c r="AV33" s="37" t="s">
        <v>127</v>
      </c>
      <c r="AW33" s="37" t="s">
        <v>127</v>
      </c>
      <c r="AX33" s="37" t="s">
        <v>161</v>
      </c>
      <c r="AY33" s="37" t="s">
        <v>127</v>
      </c>
      <c r="AZ33" s="37" t="s">
        <v>127</v>
      </c>
      <c r="BA33" s="37" t="s">
        <v>127</v>
      </c>
      <c r="BB33" s="37" t="s">
        <v>333</v>
      </c>
      <c r="BC33" s="77" t="s">
        <v>127</v>
      </c>
      <c r="BD33" s="76" t="s">
        <v>334</v>
      </c>
      <c r="BE33" s="37" t="s">
        <v>127</v>
      </c>
      <c r="BF33" s="86" t="s">
        <v>335</v>
      </c>
      <c r="BG33" s="39" t="s">
        <v>127</v>
      </c>
      <c r="BH33" s="39" t="s">
        <v>127</v>
      </c>
      <c r="BI33" s="40" t="b">
        <v>0</v>
      </c>
      <c r="BJ33" s="40" t="s">
        <v>137</v>
      </c>
      <c r="BK33" s="37" t="s">
        <v>137</v>
      </c>
      <c r="BL33" s="41">
        <v>2078.4533455160986</v>
      </c>
      <c r="BM33" s="41">
        <v>408.1155</v>
      </c>
      <c r="BN33" s="41">
        <v>37.183689999999999</v>
      </c>
      <c r="BO33" s="41">
        <v>48.283469999999994</v>
      </c>
      <c r="BP33" s="41">
        <v>509.53300999999993</v>
      </c>
      <c r="BQ33" s="41">
        <v>469.84789000000001</v>
      </c>
      <c r="BR33" s="41">
        <v>324.37553804245891</v>
      </c>
      <c r="BS33" s="41">
        <v>158.76337074553197</v>
      </c>
      <c r="BT33" s="41">
        <v>122.35087672810721</v>
      </c>
      <c r="BU33" s="41">
        <v>0</v>
      </c>
      <c r="BV33" s="41">
        <v>0</v>
      </c>
      <c r="BW33" s="49">
        <v>1726.9453699999999</v>
      </c>
      <c r="BX33" s="37" t="s">
        <v>127</v>
      </c>
      <c r="BY33" s="37" t="s">
        <v>127</v>
      </c>
      <c r="BZ33" s="37" t="s">
        <v>127</v>
      </c>
      <c r="CA33" s="41">
        <v>0</v>
      </c>
      <c r="CB33" s="41">
        <v>0</v>
      </c>
      <c r="CC33" s="41">
        <v>0</v>
      </c>
      <c r="CD33" s="41">
        <v>0</v>
      </c>
      <c r="CE33" s="41">
        <v>0</v>
      </c>
      <c r="CF33" s="41">
        <v>0</v>
      </c>
      <c r="CG33" s="45">
        <v>0</v>
      </c>
      <c r="CH33" s="45" t="s">
        <v>137</v>
      </c>
      <c r="CI33" s="37" t="s">
        <v>127</v>
      </c>
      <c r="CJ33" s="77" t="s">
        <v>127</v>
      </c>
      <c r="CK33" s="98">
        <v>0.18140000000000001</v>
      </c>
      <c r="CL33" s="98">
        <v>0.81859999999999999</v>
      </c>
      <c r="CM33" s="100" t="s">
        <v>189</v>
      </c>
    </row>
    <row r="34" spans="1:91" ht="12.75" customHeight="1" x14ac:dyDescent="0.3">
      <c r="A34" s="37">
        <v>32</v>
      </c>
      <c r="B34" s="37" t="s">
        <v>336</v>
      </c>
      <c r="C34" s="124"/>
      <c r="D34" s="124"/>
      <c r="E34" s="37" t="s">
        <v>258</v>
      </c>
      <c r="F34" s="36" t="s">
        <v>337</v>
      </c>
      <c r="G34" s="81" t="s">
        <v>184</v>
      </c>
      <c r="H34" s="38" t="s">
        <v>130</v>
      </c>
      <c r="I34" s="38" t="s">
        <v>131</v>
      </c>
      <c r="J34" s="38" t="s">
        <v>127</v>
      </c>
      <c r="K34" s="38" t="s">
        <v>132</v>
      </c>
      <c r="L34" s="81" t="s">
        <v>330</v>
      </c>
      <c r="M34" s="38" t="s">
        <v>127</v>
      </c>
      <c r="N34" s="38" t="s">
        <v>127</v>
      </c>
      <c r="O34" s="76">
        <v>45392</v>
      </c>
      <c r="P34" s="37" t="s">
        <v>338</v>
      </c>
      <c r="Q34" s="37" t="s">
        <v>127</v>
      </c>
      <c r="R34" s="37" t="s">
        <v>127</v>
      </c>
      <c r="S34" s="37" t="s">
        <v>127</v>
      </c>
      <c r="T34" s="37" t="s">
        <v>315</v>
      </c>
      <c r="U34" s="37" t="s">
        <v>136</v>
      </c>
      <c r="V34" s="37" t="b">
        <v>0</v>
      </c>
      <c r="W34" s="37" t="s">
        <v>127</v>
      </c>
      <c r="X34" s="123"/>
      <c r="Y34" s="37" t="s">
        <v>127</v>
      </c>
      <c r="Z34" s="37">
        <v>1.57</v>
      </c>
      <c r="AA34" s="37">
        <v>69</v>
      </c>
      <c r="AB34" s="37" t="s">
        <v>339</v>
      </c>
      <c r="AC34" s="78">
        <v>4.0999999999999996</v>
      </c>
      <c r="AD34" s="78">
        <v>5987542</v>
      </c>
      <c r="AE34" s="37" t="s">
        <v>340</v>
      </c>
      <c r="AF34" s="37">
        <v>1145</v>
      </c>
      <c r="AG34" s="37" t="s">
        <v>127</v>
      </c>
      <c r="AH34" s="37" t="b">
        <v>1</v>
      </c>
      <c r="AI34" s="76" t="s">
        <v>127</v>
      </c>
      <c r="AJ34" s="77" t="s">
        <v>142</v>
      </c>
      <c r="AK34" s="37" t="s">
        <v>127</v>
      </c>
      <c r="AL34" s="37" t="s">
        <v>127</v>
      </c>
      <c r="AM34" s="37" t="b">
        <v>0</v>
      </c>
      <c r="AN34" s="37" t="s">
        <v>127</v>
      </c>
      <c r="AO34" s="37" t="s">
        <v>127</v>
      </c>
      <c r="AP34" s="37" t="s">
        <v>137</v>
      </c>
      <c r="AQ34" s="37" t="b">
        <v>0</v>
      </c>
      <c r="AR34" s="37" t="s">
        <v>127</v>
      </c>
      <c r="AS34" s="37" t="s">
        <v>127</v>
      </c>
      <c r="AT34" s="37" t="s">
        <v>127</v>
      </c>
      <c r="AU34" s="37" t="s">
        <v>127</v>
      </c>
      <c r="AV34" s="37" t="s">
        <v>127</v>
      </c>
      <c r="AW34" s="37" t="s">
        <v>127</v>
      </c>
      <c r="AX34" s="37" t="s">
        <v>161</v>
      </c>
      <c r="AY34" s="37" t="s">
        <v>127</v>
      </c>
      <c r="AZ34" s="37" t="s">
        <v>127</v>
      </c>
      <c r="BA34" s="37" t="s">
        <v>127</v>
      </c>
      <c r="BB34" s="37" t="s">
        <v>143</v>
      </c>
      <c r="BC34" s="77" t="s">
        <v>127</v>
      </c>
      <c r="BD34" s="76" t="s">
        <v>341</v>
      </c>
      <c r="BE34" s="37" t="s">
        <v>127</v>
      </c>
      <c r="BF34" s="86" t="s">
        <v>342</v>
      </c>
      <c r="BG34" s="39" t="s">
        <v>127</v>
      </c>
      <c r="BH34" s="39" t="s">
        <v>127</v>
      </c>
      <c r="BI34" s="40" t="b">
        <v>1</v>
      </c>
      <c r="BJ34" s="40" t="s">
        <v>137</v>
      </c>
      <c r="BK34" s="37" t="s">
        <v>137</v>
      </c>
      <c r="BL34" s="41">
        <v>2509.0170999999996</v>
      </c>
      <c r="BM34" s="41">
        <v>174.26647999999997</v>
      </c>
      <c r="BN34" s="41">
        <v>229.56703000000002</v>
      </c>
      <c r="BO34" s="41">
        <v>475.47674000000006</v>
      </c>
      <c r="BP34" s="41">
        <v>616.60176999999999</v>
      </c>
      <c r="BQ34" s="41">
        <v>893.48342000000014</v>
      </c>
      <c r="BR34" s="41">
        <v>119.62165999999998</v>
      </c>
      <c r="BS34" s="41">
        <v>0</v>
      </c>
      <c r="BT34" s="41">
        <v>0</v>
      </c>
      <c r="BU34" s="41">
        <v>0</v>
      </c>
      <c r="BV34" s="41">
        <v>0</v>
      </c>
      <c r="BW34" s="49">
        <v>0</v>
      </c>
      <c r="BX34" s="37" t="s">
        <v>127</v>
      </c>
      <c r="BY34" s="37" t="s">
        <v>127</v>
      </c>
      <c r="BZ34" s="37" t="s">
        <v>198</v>
      </c>
      <c r="CA34" s="41">
        <v>0</v>
      </c>
      <c r="CB34" s="41">
        <v>0</v>
      </c>
      <c r="CC34" s="41">
        <v>0</v>
      </c>
      <c r="CD34" s="41">
        <v>2033.37</v>
      </c>
      <c r="CE34" s="41">
        <v>119.62</v>
      </c>
      <c r="CF34" s="41">
        <v>119.62165999999995</v>
      </c>
      <c r="CG34" s="45">
        <v>0</v>
      </c>
      <c r="CH34" s="45" t="s">
        <v>137</v>
      </c>
      <c r="CI34" s="37" t="s">
        <v>127</v>
      </c>
      <c r="CJ34" s="77" t="s">
        <v>127</v>
      </c>
      <c r="CK34" s="98">
        <v>0.18140000000000001</v>
      </c>
      <c r="CL34" s="98">
        <v>0.81859999999999999</v>
      </c>
      <c r="CM34" s="100" t="s">
        <v>189</v>
      </c>
    </row>
    <row r="35" spans="1:91" ht="12.75" customHeight="1" x14ac:dyDescent="0.3">
      <c r="A35" s="37">
        <v>33</v>
      </c>
      <c r="B35" s="37" t="s">
        <v>343</v>
      </c>
      <c r="C35" s="125"/>
      <c r="D35" s="123"/>
      <c r="E35" s="77" t="s">
        <v>127</v>
      </c>
      <c r="F35" s="36" t="s">
        <v>344</v>
      </c>
      <c r="G35" s="75" t="s">
        <v>148</v>
      </c>
      <c r="H35" s="37" t="s">
        <v>131</v>
      </c>
      <c r="I35" s="37" t="s">
        <v>127</v>
      </c>
      <c r="J35" s="37" t="s">
        <v>127</v>
      </c>
      <c r="K35" s="37" t="s">
        <v>132</v>
      </c>
      <c r="L35" s="75" t="s">
        <v>345</v>
      </c>
      <c r="M35" s="37" t="s">
        <v>346</v>
      </c>
      <c r="N35" s="37" t="s">
        <v>127</v>
      </c>
      <c r="O35" s="76" t="s">
        <v>127</v>
      </c>
      <c r="P35" s="37" t="s">
        <v>135</v>
      </c>
      <c r="Q35" s="37" t="s">
        <v>150</v>
      </c>
      <c r="R35" s="37" t="s">
        <v>127</v>
      </c>
      <c r="S35" s="37" t="s">
        <v>127</v>
      </c>
      <c r="T35" s="37" t="s">
        <v>137</v>
      </c>
      <c r="U35" s="37" t="s">
        <v>136</v>
      </c>
      <c r="V35" s="37" t="b">
        <v>0</v>
      </c>
      <c r="W35" s="77" t="s">
        <v>127</v>
      </c>
      <c r="X35" s="123"/>
      <c r="Y35" s="37" t="s">
        <v>137</v>
      </c>
      <c r="Z35" s="37" t="s">
        <v>137</v>
      </c>
      <c r="AA35" s="37" t="s">
        <v>347</v>
      </c>
      <c r="AB35" s="37" t="s">
        <v>348</v>
      </c>
      <c r="AC35" s="78">
        <v>4.3</v>
      </c>
      <c r="AD35" s="78" t="s">
        <v>139</v>
      </c>
      <c r="AE35" s="37" t="s">
        <v>140</v>
      </c>
      <c r="AF35" s="37">
        <v>3171</v>
      </c>
      <c r="AG35" s="37" t="s">
        <v>141</v>
      </c>
      <c r="AH35" s="37" t="b">
        <v>1</v>
      </c>
      <c r="AI35" s="76" t="s">
        <v>127</v>
      </c>
      <c r="AJ35" s="77" t="s">
        <v>142</v>
      </c>
      <c r="AK35" s="37" t="s">
        <v>127</v>
      </c>
      <c r="AL35" s="37" t="s">
        <v>127</v>
      </c>
      <c r="AM35" s="37" t="b">
        <v>0</v>
      </c>
      <c r="AN35" s="37" t="s">
        <v>127</v>
      </c>
      <c r="AO35" s="37" t="s">
        <v>127</v>
      </c>
      <c r="AP35" s="37" t="s">
        <v>137</v>
      </c>
      <c r="AQ35" s="37" t="b">
        <v>0</v>
      </c>
      <c r="AR35" s="37" t="s">
        <v>127</v>
      </c>
      <c r="AS35" s="76" t="s">
        <v>137</v>
      </c>
      <c r="AT35" s="37" t="s">
        <v>127</v>
      </c>
      <c r="AU35" s="37" t="s">
        <v>127</v>
      </c>
      <c r="AV35" s="37" t="s">
        <v>137</v>
      </c>
      <c r="AW35" s="37" t="s">
        <v>137</v>
      </c>
      <c r="AX35" s="37" t="s">
        <v>161</v>
      </c>
      <c r="AY35" s="76" t="s">
        <v>127</v>
      </c>
      <c r="AZ35" s="77" t="s">
        <v>127</v>
      </c>
      <c r="BA35" s="37" t="s">
        <v>127</v>
      </c>
      <c r="BB35" s="37" t="s">
        <v>143</v>
      </c>
      <c r="BC35" s="77" t="s">
        <v>127</v>
      </c>
      <c r="BD35" s="76" t="s">
        <v>127</v>
      </c>
      <c r="BE35" s="37" t="s">
        <v>127</v>
      </c>
      <c r="BF35" s="80" t="s">
        <v>127</v>
      </c>
      <c r="BG35" s="39" t="s">
        <v>127</v>
      </c>
      <c r="BH35" s="37" t="s">
        <v>127</v>
      </c>
      <c r="BI35" s="40" t="b">
        <v>1</v>
      </c>
      <c r="BJ35" s="40" t="s">
        <v>137</v>
      </c>
      <c r="BK35" s="37" t="s">
        <v>137</v>
      </c>
      <c r="BL35" s="110">
        <f>48200.4630156309-SUM(BL36:BL43)</f>
        <v>21405.158730201914</v>
      </c>
      <c r="BM35" s="110">
        <f>3895.093728608-SUM(BM36:BM43)</f>
        <v>312.77090260999967</v>
      </c>
      <c r="BN35" s="110">
        <f>4151.41534102-SUM(BN36:BN43)</f>
        <v>369.28063264999992</v>
      </c>
      <c r="BO35" s="110">
        <f>7727.629811572-SUM(BO36:BO43)</f>
        <v>1813.0707968959987</v>
      </c>
      <c r="BP35" s="110">
        <f>8985.047166508-SUM(BP36:BP43)</f>
        <v>1661.1368438970012</v>
      </c>
      <c r="BQ35" s="110">
        <f>6147.502504251-SUM(BQ36:BQ43)</f>
        <v>1905.8713054089994</v>
      </c>
      <c r="BR35" s="110">
        <f>2761.74755991495-SUM(BR36:BR43)</f>
        <v>957.26117096696748</v>
      </c>
      <c r="BS35" s="110">
        <f>2767.78955540591-SUM(BS36:BS43)</f>
        <v>2767.7895554059101</v>
      </c>
      <c r="BT35" s="110">
        <f>3153.69592449161-SUM(BT36:BT43)</f>
        <v>3153.6959244916102</v>
      </c>
      <c r="BU35" s="110">
        <f>3581.61787619068-SUM(BU36:BU43)</f>
        <v>3581.6178761906799</v>
      </c>
      <c r="BV35" s="110">
        <f>4014.52235157271-SUM(BV36:BV43)</f>
        <v>4014.5223515727098</v>
      </c>
      <c r="BW35" s="111">
        <f>14900.51029-SUM(BW36:BW43)</f>
        <v>1271.7465199999988</v>
      </c>
      <c r="BX35" s="37" t="s">
        <v>127</v>
      </c>
      <c r="BY35" s="37" t="s">
        <v>127</v>
      </c>
      <c r="BZ35" s="37" t="s">
        <v>155</v>
      </c>
      <c r="CA35" s="41">
        <f>161.02249</f>
        <v>161.02249</v>
      </c>
      <c r="CB35" s="41">
        <f>251.97982</f>
        <v>251.97981999999999</v>
      </c>
      <c r="CC35" s="41">
        <f>2140.84</f>
        <v>2140.84</v>
      </c>
      <c r="CD35" s="41">
        <v>2379.98</v>
      </c>
      <c r="CE35" s="41">
        <v>52.35</v>
      </c>
      <c r="CF35" s="110">
        <f>16509.598783124-SUM(CF36:CF43)</f>
        <v>1674.5438012170198</v>
      </c>
      <c r="CG35" s="45">
        <v>0</v>
      </c>
      <c r="CH35" s="45" t="s">
        <v>137</v>
      </c>
      <c r="CI35" s="37" t="s">
        <v>127</v>
      </c>
      <c r="CJ35" s="77" t="s">
        <v>127</v>
      </c>
      <c r="CK35" s="98">
        <v>0.18140000000000001</v>
      </c>
      <c r="CL35" s="98">
        <v>0.81859999999999999</v>
      </c>
      <c r="CM35" s="100" t="s">
        <v>349</v>
      </c>
    </row>
    <row r="36" spans="1:91" ht="12.75" customHeight="1" x14ac:dyDescent="0.3">
      <c r="A36" s="37">
        <v>34</v>
      </c>
      <c r="B36" s="37" t="s">
        <v>350</v>
      </c>
      <c r="C36" s="124"/>
      <c r="D36" s="124"/>
      <c r="E36" s="37" t="s">
        <v>246</v>
      </c>
      <c r="F36" s="36" t="s">
        <v>351</v>
      </c>
      <c r="G36" s="81" t="s">
        <v>352</v>
      </c>
      <c r="H36" s="37" t="s">
        <v>131</v>
      </c>
      <c r="I36" s="37" t="s">
        <v>127</v>
      </c>
      <c r="J36" s="37" t="s">
        <v>127</v>
      </c>
      <c r="K36" s="37" t="s">
        <v>132</v>
      </c>
      <c r="L36" s="75" t="s">
        <v>345</v>
      </c>
      <c r="M36" s="37" t="s">
        <v>127</v>
      </c>
      <c r="N36" s="37" t="s">
        <v>127</v>
      </c>
      <c r="O36" s="76">
        <v>45401</v>
      </c>
      <c r="P36" s="37">
        <v>1.85</v>
      </c>
      <c r="Q36" s="37" t="s">
        <v>127</v>
      </c>
      <c r="R36" s="37" t="s">
        <v>127</v>
      </c>
      <c r="S36" s="37" t="s">
        <v>127</v>
      </c>
      <c r="T36" s="37" t="s">
        <v>127</v>
      </c>
      <c r="U36" s="37" t="s">
        <v>136</v>
      </c>
      <c r="V36" s="37" t="b">
        <v>0</v>
      </c>
      <c r="W36" s="77" t="s">
        <v>127</v>
      </c>
      <c r="X36" s="123"/>
      <c r="Y36" s="37" t="s">
        <v>127</v>
      </c>
      <c r="Z36" s="37" t="s">
        <v>127</v>
      </c>
      <c r="AA36" s="37">
        <v>230</v>
      </c>
      <c r="AB36" s="37" t="s">
        <v>127</v>
      </c>
      <c r="AC36" s="78">
        <v>2.1</v>
      </c>
      <c r="AD36" s="78">
        <v>5231592</v>
      </c>
      <c r="AE36" s="37" t="s">
        <v>353</v>
      </c>
      <c r="AF36" s="37">
        <v>3171</v>
      </c>
      <c r="AG36" s="37" t="s">
        <v>127</v>
      </c>
      <c r="AH36" s="37" t="b">
        <v>1</v>
      </c>
      <c r="AI36" s="76" t="s">
        <v>127</v>
      </c>
      <c r="AJ36" s="77" t="s">
        <v>142</v>
      </c>
      <c r="AK36" s="37" t="s">
        <v>127</v>
      </c>
      <c r="AL36" s="37" t="s">
        <v>127</v>
      </c>
      <c r="AM36" s="37" t="b">
        <v>0</v>
      </c>
      <c r="AN36" s="37" t="s">
        <v>127</v>
      </c>
      <c r="AO36" s="37" t="s">
        <v>127</v>
      </c>
      <c r="AP36" s="37" t="s">
        <v>127</v>
      </c>
      <c r="AQ36" s="37" t="b">
        <v>0</v>
      </c>
      <c r="AR36" s="37" t="s">
        <v>127</v>
      </c>
      <c r="AS36" s="76" t="s">
        <v>137</v>
      </c>
      <c r="AT36" s="37" t="s">
        <v>127</v>
      </c>
      <c r="AU36" s="37" t="s">
        <v>127</v>
      </c>
      <c r="AV36" s="37" t="s">
        <v>137</v>
      </c>
      <c r="AW36" s="37" t="s">
        <v>137</v>
      </c>
      <c r="AX36" s="37" t="s">
        <v>161</v>
      </c>
      <c r="AY36" s="76" t="s">
        <v>127</v>
      </c>
      <c r="AZ36" s="77" t="s">
        <v>127</v>
      </c>
      <c r="BA36" s="37" t="s">
        <v>127</v>
      </c>
      <c r="BB36" s="37" t="s">
        <v>143</v>
      </c>
      <c r="BC36" s="77" t="s">
        <v>127</v>
      </c>
      <c r="BD36" s="76" t="s">
        <v>354</v>
      </c>
      <c r="BE36" s="37" t="s">
        <v>127</v>
      </c>
      <c r="BF36" s="86" t="s">
        <v>355</v>
      </c>
      <c r="BG36" s="39" t="s">
        <v>127</v>
      </c>
      <c r="BH36" s="37" t="s">
        <v>127</v>
      </c>
      <c r="BI36" s="40" t="b">
        <v>1</v>
      </c>
      <c r="BJ36" s="40" t="s">
        <v>137</v>
      </c>
      <c r="BK36" s="37" t="s">
        <v>137</v>
      </c>
      <c r="BL36" s="41">
        <v>1057.5944811089998</v>
      </c>
      <c r="BM36" s="41">
        <v>0</v>
      </c>
      <c r="BN36" s="41">
        <v>0</v>
      </c>
      <c r="BO36" s="41">
        <v>0</v>
      </c>
      <c r="BP36" s="41">
        <v>22.634545372000002</v>
      </c>
      <c r="BQ36" s="41">
        <v>1000.5196727300001</v>
      </c>
      <c r="BR36" s="41">
        <v>34.440263007000006</v>
      </c>
      <c r="BS36" s="41">
        <v>0</v>
      </c>
      <c r="BT36" s="41">
        <v>0</v>
      </c>
      <c r="BU36" s="41">
        <v>0</v>
      </c>
      <c r="BV36" s="41">
        <v>0</v>
      </c>
      <c r="BW36" s="49">
        <v>0</v>
      </c>
      <c r="BX36" s="37" t="s">
        <v>127</v>
      </c>
      <c r="BY36" s="37" t="s">
        <v>127</v>
      </c>
      <c r="BZ36" s="37" t="s">
        <v>198</v>
      </c>
      <c r="CA36" s="41">
        <v>0</v>
      </c>
      <c r="CB36" s="41">
        <v>0</v>
      </c>
      <c r="CC36" s="41">
        <v>0</v>
      </c>
      <c r="CD36" s="41">
        <v>1012.5</v>
      </c>
      <c r="CE36" s="41">
        <v>30.71</v>
      </c>
      <c r="CF36" s="41">
        <v>34.366403007000009</v>
      </c>
      <c r="CG36" s="45">
        <v>0</v>
      </c>
      <c r="CH36" s="45" t="s">
        <v>137</v>
      </c>
      <c r="CI36" s="37" t="s">
        <v>127</v>
      </c>
      <c r="CJ36" s="77" t="s">
        <v>127</v>
      </c>
      <c r="CK36" s="98">
        <v>0.18140000000000001</v>
      </c>
      <c r="CL36" s="98">
        <v>0.81859999999999999</v>
      </c>
      <c r="CM36" s="100" t="s">
        <v>356</v>
      </c>
    </row>
    <row r="37" spans="1:91" ht="12.75" customHeight="1" x14ac:dyDescent="0.3">
      <c r="A37" s="37">
        <v>35</v>
      </c>
      <c r="B37" s="37" t="s">
        <v>357</v>
      </c>
      <c r="C37" s="125"/>
      <c r="D37" s="123"/>
      <c r="E37" s="37" t="s">
        <v>246</v>
      </c>
      <c r="F37" s="36" t="s">
        <v>358</v>
      </c>
      <c r="G37" s="81" t="s">
        <v>352</v>
      </c>
      <c r="H37" s="37" t="s">
        <v>131</v>
      </c>
      <c r="I37" s="37" t="s">
        <v>127</v>
      </c>
      <c r="J37" s="37" t="s">
        <v>127</v>
      </c>
      <c r="K37" s="37" t="s">
        <v>132</v>
      </c>
      <c r="L37" s="75" t="s">
        <v>345</v>
      </c>
      <c r="M37" s="37" t="s">
        <v>127</v>
      </c>
      <c r="N37" s="37" t="s">
        <v>127</v>
      </c>
      <c r="O37" s="76" t="s">
        <v>127</v>
      </c>
      <c r="P37" s="37" t="s">
        <v>135</v>
      </c>
      <c r="Q37" s="37" t="s">
        <v>150</v>
      </c>
      <c r="R37" s="37" t="s">
        <v>127</v>
      </c>
      <c r="S37" s="37" t="s">
        <v>127</v>
      </c>
      <c r="T37" s="37" t="s">
        <v>127</v>
      </c>
      <c r="U37" s="37" t="s">
        <v>136</v>
      </c>
      <c r="V37" s="37" t="b">
        <v>0</v>
      </c>
      <c r="W37" s="77" t="s">
        <v>127</v>
      </c>
      <c r="X37" s="123"/>
      <c r="Y37" s="37" t="s">
        <v>127</v>
      </c>
      <c r="Z37" s="37" t="s">
        <v>127</v>
      </c>
      <c r="AA37" s="37">
        <v>69</v>
      </c>
      <c r="AB37" s="37" t="s">
        <v>127</v>
      </c>
      <c r="AC37" s="78">
        <v>2.1</v>
      </c>
      <c r="AD37" s="78">
        <v>5517095</v>
      </c>
      <c r="AE37" s="37" t="s">
        <v>127</v>
      </c>
      <c r="AF37" s="37">
        <v>3171</v>
      </c>
      <c r="AG37" s="37" t="s">
        <v>127</v>
      </c>
      <c r="AH37" s="37" t="b">
        <v>1</v>
      </c>
      <c r="AI37" s="76" t="s">
        <v>127</v>
      </c>
      <c r="AJ37" s="77" t="s">
        <v>142</v>
      </c>
      <c r="AK37" s="37" t="s">
        <v>127</v>
      </c>
      <c r="AL37" s="37" t="s">
        <v>127</v>
      </c>
      <c r="AM37" s="37" t="b">
        <v>0</v>
      </c>
      <c r="AN37" s="37" t="s">
        <v>127</v>
      </c>
      <c r="AO37" s="37" t="s">
        <v>127</v>
      </c>
      <c r="AP37" s="37" t="s">
        <v>127</v>
      </c>
      <c r="AQ37" s="37" t="b">
        <v>0</v>
      </c>
      <c r="AR37" s="37" t="s">
        <v>127</v>
      </c>
      <c r="AS37" s="76" t="s">
        <v>137</v>
      </c>
      <c r="AT37" s="37" t="s">
        <v>127</v>
      </c>
      <c r="AU37" s="37" t="s">
        <v>127</v>
      </c>
      <c r="AV37" s="37" t="s">
        <v>137</v>
      </c>
      <c r="AW37" s="37" t="s">
        <v>137</v>
      </c>
      <c r="AX37" s="37" t="s">
        <v>161</v>
      </c>
      <c r="AY37" s="76" t="s">
        <v>127</v>
      </c>
      <c r="AZ37" s="77" t="s">
        <v>127</v>
      </c>
      <c r="BA37" s="37" t="s">
        <v>127</v>
      </c>
      <c r="BB37" s="37" t="s">
        <v>143</v>
      </c>
      <c r="BC37" s="77" t="s">
        <v>127</v>
      </c>
      <c r="BD37" s="78" t="s">
        <v>127</v>
      </c>
      <c r="BE37" s="37" t="s">
        <v>127</v>
      </c>
      <c r="BF37" s="90" t="s">
        <v>127</v>
      </c>
      <c r="BG37" s="39" t="s">
        <v>127</v>
      </c>
      <c r="BH37" s="37" t="s">
        <v>127</v>
      </c>
      <c r="BI37" s="40" t="b">
        <v>1</v>
      </c>
      <c r="BJ37" s="40" t="s">
        <v>137</v>
      </c>
      <c r="BK37" s="37" t="s">
        <v>137</v>
      </c>
      <c r="BL37" s="41">
        <v>1434.0062216475801</v>
      </c>
      <c r="BM37" s="41">
        <v>0</v>
      </c>
      <c r="BN37" s="41">
        <v>0</v>
      </c>
      <c r="BO37" s="41">
        <v>0</v>
      </c>
      <c r="BP37" s="41">
        <v>668.74472351999998</v>
      </c>
      <c r="BQ37" s="41">
        <v>389.95391111200007</v>
      </c>
      <c r="BR37" s="41">
        <v>375.30758701558005</v>
      </c>
      <c r="BS37" s="41">
        <v>0</v>
      </c>
      <c r="BT37" s="41">
        <v>0</v>
      </c>
      <c r="BU37" s="41">
        <v>0</v>
      </c>
      <c r="BV37" s="41">
        <v>0</v>
      </c>
      <c r="BW37" s="49">
        <v>0</v>
      </c>
      <c r="BX37" s="37" t="s">
        <v>127</v>
      </c>
      <c r="BY37" s="37" t="s">
        <v>127</v>
      </c>
      <c r="BZ37" s="37" t="s">
        <v>198</v>
      </c>
      <c r="CA37" s="41">
        <v>0</v>
      </c>
      <c r="CB37" s="41">
        <v>0</v>
      </c>
      <c r="CC37" s="41">
        <v>0</v>
      </c>
      <c r="CD37" s="41">
        <v>1058.67</v>
      </c>
      <c r="CE37" s="41">
        <v>-93.08</v>
      </c>
      <c r="CF37" s="41">
        <v>375.30758701558005</v>
      </c>
      <c r="CG37" s="45">
        <v>0</v>
      </c>
      <c r="CH37" s="45" t="s">
        <v>137</v>
      </c>
      <c r="CI37" s="37" t="s">
        <v>127</v>
      </c>
      <c r="CJ37" s="77" t="s">
        <v>127</v>
      </c>
      <c r="CK37" s="98">
        <v>0.18140000000000001</v>
      </c>
      <c r="CL37" s="98">
        <v>0.81859999999999999</v>
      </c>
      <c r="CM37" s="100" t="s">
        <v>359</v>
      </c>
    </row>
    <row r="38" spans="1:91" ht="12.75" customHeight="1" x14ac:dyDescent="0.3">
      <c r="A38" s="37">
        <v>36</v>
      </c>
      <c r="B38" s="37" t="s">
        <v>360</v>
      </c>
      <c r="C38" s="125"/>
      <c r="D38" s="123"/>
      <c r="E38" s="37" t="s">
        <v>246</v>
      </c>
      <c r="F38" s="36" t="s">
        <v>361</v>
      </c>
      <c r="G38" s="81" t="s">
        <v>352</v>
      </c>
      <c r="H38" s="37" t="s">
        <v>131</v>
      </c>
      <c r="I38" s="37" t="s">
        <v>127</v>
      </c>
      <c r="J38" s="37" t="s">
        <v>127</v>
      </c>
      <c r="K38" s="37" t="s">
        <v>132</v>
      </c>
      <c r="L38" s="75" t="s">
        <v>345</v>
      </c>
      <c r="M38" s="37" t="s">
        <v>127</v>
      </c>
      <c r="N38" s="37" t="s">
        <v>127</v>
      </c>
      <c r="O38" s="76" t="s">
        <v>127</v>
      </c>
      <c r="P38" s="37" t="s">
        <v>135</v>
      </c>
      <c r="Q38" s="37" t="s">
        <v>150</v>
      </c>
      <c r="R38" s="37" t="s">
        <v>127</v>
      </c>
      <c r="S38" s="37" t="s">
        <v>127</v>
      </c>
      <c r="T38" s="37" t="s">
        <v>127</v>
      </c>
      <c r="U38" s="37" t="s">
        <v>136</v>
      </c>
      <c r="V38" s="37" t="b">
        <v>0</v>
      </c>
      <c r="W38" s="77" t="s">
        <v>127</v>
      </c>
      <c r="X38" s="123"/>
      <c r="Y38" s="37" t="s">
        <v>127</v>
      </c>
      <c r="Z38" s="37" t="s">
        <v>127</v>
      </c>
      <c r="AA38" s="37" t="s">
        <v>362</v>
      </c>
      <c r="AB38" s="37" t="s">
        <v>127</v>
      </c>
      <c r="AC38" s="78">
        <v>2.1</v>
      </c>
      <c r="AD38" s="78">
        <v>5983041</v>
      </c>
      <c r="AE38" s="37" t="s">
        <v>127</v>
      </c>
      <c r="AF38" s="37">
        <v>3171</v>
      </c>
      <c r="AG38" s="37" t="s">
        <v>127</v>
      </c>
      <c r="AH38" s="37" t="b">
        <v>1</v>
      </c>
      <c r="AI38" s="76" t="s">
        <v>127</v>
      </c>
      <c r="AJ38" s="77" t="s">
        <v>142</v>
      </c>
      <c r="AK38" s="37" t="s">
        <v>127</v>
      </c>
      <c r="AL38" s="37" t="s">
        <v>127</v>
      </c>
      <c r="AM38" s="37" t="b">
        <v>0</v>
      </c>
      <c r="AN38" s="37" t="s">
        <v>127</v>
      </c>
      <c r="AO38" s="37" t="s">
        <v>127</v>
      </c>
      <c r="AP38" s="37" t="s">
        <v>127</v>
      </c>
      <c r="AQ38" s="37" t="b">
        <v>0</v>
      </c>
      <c r="AR38" s="37" t="s">
        <v>127</v>
      </c>
      <c r="AS38" s="76" t="s">
        <v>137</v>
      </c>
      <c r="AT38" s="37" t="s">
        <v>127</v>
      </c>
      <c r="AU38" s="37" t="s">
        <v>127</v>
      </c>
      <c r="AV38" s="37" t="s">
        <v>137</v>
      </c>
      <c r="AW38" s="37" t="s">
        <v>137</v>
      </c>
      <c r="AX38" s="37" t="s">
        <v>161</v>
      </c>
      <c r="AY38" s="76" t="s">
        <v>127</v>
      </c>
      <c r="AZ38" s="77" t="s">
        <v>127</v>
      </c>
      <c r="BA38" s="37" t="s">
        <v>127</v>
      </c>
      <c r="BB38" s="37" t="s">
        <v>143</v>
      </c>
      <c r="BC38" s="77" t="s">
        <v>127</v>
      </c>
      <c r="BD38" s="78" t="s">
        <v>127</v>
      </c>
      <c r="BE38" s="37" t="s">
        <v>127</v>
      </c>
      <c r="BF38" s="90" t="s">
        <v>127</v>
      </c>
      <c r="BG38" s="39" t="s">
        <v>127</v>
      </c>
      <c r="BH38" s="37" t="s">
        <v>127</v>
      </c>
      <c r="BI38" s="40" t="b">
        <v>1</v>
      </c>
      <c r="BJ38" s="40" t="s">
        <v>137</v>
      </c>
      <c r="BK38" s="37" t="s">
        <v>137</v>
      </c>
      <c r="BL38" s="41">
        <v>3319.0325533045989</v>
      </c>
      <c r="BM38" s="41">
        <v>849.63912449400016</v>
      </c>
      <c r="BN38" s="41">
        <v>354.20203227500002</v>
      </c>
      <c r="BO38" s="41">
        <v>659.02432929199995</v>
      </c>
      <c r="BP38" s="41">
        <v>741.06980291499985</v>
      </c>
      <c r="BQ38" s="41">
        <v>441.322883983</v>
      </c>
      <c r="BR38" s="41">
        <v>273.77438034559628</v>
      </c>
      <c r="BS38" s="41">
        <v>0</v>
      </c>
      <c r="BT38" s="41">
        <v>0</v>
      </c>
      <c r="BU38" s="41">
        <v>0</v>
      </c>
      <c r="BV38" s="41">
        <v>0</v>
      </c>
      <c r="BW38" s="49">
        <v>3070.01496</v>
      </c>
      <c r="BX38" s="37" t="s">
        <v>127</v>
      </c>
      <c r="BY38" s="37" t="s">
        <v>127</v>
      </c>
      <c r="BZ38" s="37" t="s">
        <v>173</v>
      </c>
      <c r="CA38" s="41">
        <v>0</v>
      </c>
      <c r="CB38" s="41">
        <v>0</v>
      </c>
      <c r="CC38" s="41">
        <v>0</v>
      </c>
      <c r="CD38" s="41">
        <v>0</v>
      </c>
      <c r="CE38" s="41">
        <v>0</v>
      </c>
      <c r="CF38" s="41">
        <v>3319.0325533045961</v>
      </c>
      <c r="CG38" s="45">
        <v>0</v>
      </c>
      <c r="CH38" s="45" t="s">
        <v>137</v>
      </c>
      <c r="CI38" s="37" t="s">
        <v>127</v>
      </c>
      <c r="CJ38" s="77" t="s">
        <v>127</v>
      </c>
      <c r="CK38" s="98">
        <v>0.18140000000000001</v>
      </c>
      <c r="CL38" s="98">
        <v>0.81859999999999999</v>
      </c>
      <c r="CM38" s="100" t="s">
        <v>359</v>
      </c>
    </row>
    <row r="39" spans="1:91" ht="12.75" customHeight="1" x14ac:dyDescent="0.3">
      <c r="A39" s="37">
        <v>37</v>
      </c>
      <c r="B39" s="37" t="s">
        <v>363</v>
      </c>
      <c r="C39" s="125"/>
      <c r="D39" s="123"/>
      <c r="E39" s="37" t="s">
        <v>246</v>
      </c>
      <c r="F39" s="36" t="s">
        <v>358</v>
      </c>
      <c r="G39" s="81" t="s">
        <v>352</v>
      </c>
      <c r="H39" s="37" t="s">
        <v>131</v>
      </c>
      <c r="I39" s="37" t="s">
        <v>127</v>
      </c>
      <c r="J39" s="37" t="s">
        <v>127</v>
      </c>
      <c r="K39" s="37" t="s">
        <v>132</v>
      </c>
      <c r="L39" s="75" t="s">
        <v>345</v>
      </c>
      <c r="M39" s="37" t="s">
        <v>127</v>
      </c>
      <c r="N39" s="37" t="s">
        <v>127</v>
      </c>
      <c r="O39" s="76" t="s">
        <v>127</v>
      </c>
      <c r="P39" s="37" t="s">
        <v>135</v>
      </c>
      <c r="Q39" s="37" t="s">
        <v>127</v>
      </c>
      <c r="R39" s="37" t="s">
        <v>127</v>
      </c>
      <c r="S39" s="37" t="s">
        <v>127</v>
      </c>
      <c r="T39" s="37" t="s">
        <v>127</v>
      </c>
      <c r="U39" s="37" t="s">
        <v>136</v>
      </c>
      <c r="V39" s="37" t="b">
        <v>0</v>
      </c>
      <c r="W39" s="77" t="s">
        <v>127</v>
      </c>
      <c r="X39" s="123"/>
      <c r="Y39" s="37" t="s">
        <v>127</v>
      </c>
      <c r="Z39" s="37" t="s">
        <v>127</v>
      </c>
      <c r="AA39" s="37">
        <v>69</v>
      </c>
      <c r="AB39" s="37" t="s">
        <v>127</v>
      </c>
      <c r="AC39" s="78">
        <v>2.1</v>
      </c>
      <c r="AD39" s="78">
        <v>5983391</v>
      </c>
      <c r="AE39" s="37" t="s">
        <v>127</v>
      </c>
      <c r="AF39" s="37">
        <v>3171</v>
      </c>
      <c r="AG39" s="37" t="s">
        <v>127</v>
      </c>
      <c r="AH39" s="37" t="b">
        <v>1</v>
      </c>
      <c r="AI39" s="76" t="s">
        <v>127</v>
      </c>
      <c r="AJ39" s="77" t="s">
        <v>142</v>
      </c>
      <c r="AK39" s="37" t="s">
        <v>127</v>
      </c>
      <c r="AL39" s="37" t="s">
        <v>127</v>
      </c>
      <c r="AM39" s="37" t="b">
        <v>0</v>
      </c>
      <c r="AN39" s="37" t="s">
        <v>127</v>
      </c>
      <c r="AO39" s="37" t="s">
        <v>127</v>
      </c>
      <c r="AP39" s="37" t="s">
        <v>127</v>
      </c>
      <c r="AQ39" s="37" t="b">
        <v>0</v>
      </c>
      <c r="AR39" s="37" t="s">
        <v>127</v>
      </c>
      <c r="AS39" s="76" t="s">
        <v>137</v>
      </c>
      <c r="AT39" s="37" t="s">
        <v>127</v>
      </c>
      <c r="AU39" s="37" t="s">
        <v>127</v>
      </c>
      <c r="AV39" s="37" t="s">
        <v>137</v>
      </c>
      <c r="AW39" s="37" t="s">
        <v>137</v>
      </c>
      <c r="AX39" s="37" t="s">
        <v>161</v>
      </c>
      <c r="AY39" s="76" t="s">
        <v>127</v>
      </c>
      <c r="AZ39" s="77" t="s">
        <v>127</v>
      </c>
      <c r="BA39" s="37" t="s">
        <v>127</v>
      </c>
      <c r="BB39" s="37" t="s">
        <v>143</v>
      </c>
      <c r="BC39" s="77" t="s">
        <v>127</v>
      </c>
      <c r="BD39" s="78" t="s">
        <v>127</v>
      </c>
      <c r="BE39" s="37" t="s">
        <v>127</v>
      </c>
      <c r="BF39" s="90" t="s">
        <v>127</v>
      </c>
      <c r="BG39" s="39" t="s">
        <v>127</v>
      </c>
      <c r="BH39" s="39" t="s">
        <v>127</v>
      </c>
      <c r="BI39" s="40" t="b">
        <v>0</v>
      </c>
      <c r="BJ39" s="40" t="s">
        <v>137</v>
      </c>
      <c r="BK39" s="37" t="s">
        <v>137</v>
      </c>
      <c r="BL39" s="41">
        <v>5060.0514155719975</v>
      </c>
      <c r="BM39" s="41">
        <v>1171.520894558</v>
      </c>
      <c r="BN39" s="41">
        <v>1244.81998215</v>
      </c>
      <c r="BO39" s="41">
        <v>2370.192487226001</v>
      </c>
      <c r="BP39" s="41">
        <v>178.70260115399989</v>
      </c>
      <c r="BQ39" s="41">
        <v>-6.2041999999999993</v>
      </c>
      <c r="BR39" s="41">
        <v>0</v>
      </c>
      <c r="BS39" s="41">
        <v>0</v>
      </c>
      <c r="BT39" s="41">
        <v>0</v>
      </c>
      <c r="BU39" s="41">
        <v>0</v>
      </c>
      <c r="BV39" s="41">
        <v>0</v>
      </c>
      <c r="BW39" s="49">
        <v>0</v>
      </c>
      <c r="BX39" s="37" t="s">
        <v>127</v>
      </c>
      <c r="BY39" s="37" t="s">
        <v>127</v>
      </c>
      <c r="BZ39" s="37" t="s">
        <v>364</v>
      </c>
      <c r="CA39" s="41">
        <v>0</v>
      </c>
      <c r="CB39" s="41">
        <v>0</v>
      </c>
      <c r="CC39" s="41">
        <v>5061.71</v>
      </c>
      <c r="CD39" s="41">
        <v>-6.2</v>
      </c>
      <c r="CE39" s="41">
        <v>0</v>
      </c>
      <c r="CF39" s="41">
        <v>0</v>
      </c>
      <c r="CG39" s="45">
        <v>0</v>
      </c>
      <c r="CH39" s="45" t="s">
        <v>137</v>
      </c>
      <c r="CI39" s="77" t="s">
        <v>127</v>
      </c>
      <c r="CJ39" s="77" t="s">
        <v>127</v>
      </c>
      <c r="CK39" s="98">
        <v>0.18140000000000001</v>
      </c>
      <c r="CL39" s="98">
        <v>0.81859999999999999</v>
      </c>
      <c r="CM39" s="100" t="s">
        <v>359</v>
      </c>
    </row>
    <row r="40" spans="1:91" ht="12.75" customHeight="1" x14ac:dyDescent="0.3">
      <c r="A40" s="37">
        <v>38</v>
      </c>
      <c r="B40" s="37" t="s">
        <v>365</v>
      </c>
      <c r="C40" s="125"/>
      <c r="D40" s="123"/>
      <c r="E40" s="37" t="s">
        <v>200</v>
      </c>
      <c r="F40" s="36" t="s">
        <v>366</v>
      </c>
      <c r="G40" s="81" t="s">
        <v>352</v>
      </c>
      <c r="H40" s="37" t="s">
        <v>131</v>
      </c>
      <c r="I40" s="37" t="s">
        <v>127</v>
      </c>
      <c r="J40" s="37" t="s">
        <v>127</v>
      </c>
      <c r="K40" s="37" t="s">
        <v>132</v>
      </c>
      <c r="L40" s="75" t="s">
        <v>345</v>
      </c>
      <c r="M40" s="37" t="s">
        <v>127</v>
      </c>
      <c r="N40" s="37" t="s">
        <v>127</v>
      </c>
      <c r="O40" s="76" t="s">
        <v>127</v>
      </c>
      <c r="P40" s="37" t="s">
        <v>135</v>
      </c>
      <c r="Q40" s="37" t="s">
        <v>127</v>
      </c>
      <c r="R40" s="37" t="s">
        <v>127</v>
      </c>
      <c r="S40" s="37" t="s">
        <v>127</v>
      </c>
      <c r="T40" s="37" t="s">
        <v>127</v>
      </c>
      <c r="U40" s="37" t="s">
        <v>136</v>
      </c>
      <c r="V40" s="37" t="b">
        <v>0</v>
      </c>
      <c r="W40" s="77" t="s">
        <v>127</v>
      </c>
      <c r="X40" s="123"/>
      <c r="Y40" s="37" t="s">
        <v>127</v>
      </c>
      <c r="Z40" s="37" t="s">
        <v>127</v>
      </c>
      <c r="AA40" s="37">
        <v>69</v>
      </c>
      <c r="AB40" s="37" t="s">
        <v>127</v>
      </c>
      <c r="AC40" s="78">
        <v>2.1</v>
      </c>
      <c r="AD40" s="78">
        <v>5986263</v>
      </c>
      <c r="AE40" s="37" t="s">
        <v>367</v>
      </c>
      <c r="AF40" s="37">
        <v>3171</v>
      </c>
      <c r="AG40" s="37" t="s">
        <v>127</v>
      </c>
      <c r="AH40" s="37" t="b">
        <v>1</v>
      </c>
      <c r="AI40" s="76" t="s">
        <v>127</v>
      </c>
      <c r="AJ40" s="77" t="s">
        <v>142</v>
      </c>
      <c r="AK40" s="37" t="s">
        <v>127</v>
      </c>
      <c r="AL40" s="37" t="s">
        <v>127</v>
      </c>
      <c r="AM40" s="37" t="b">
        <v>0</v>
      </c>
      <c r="AN40" s="37" t="s">
        <v>127</v>
      </c>
      <c r="AO40" s="37" t="s">
        <v>127</v>
      </c>
      <c r="AP40" s="37" t="s">
        <v>127</v>
      </c>
      <c r="AQ40" s="37" t="b">
        <v>0</v>
      </c>
      <c r="AR40" s="37" t="s">
        <v>127</v>
      </c>
      <c r="AS40" s="76" t="s">
        <v>137</v>
      </c>
      <c r="AT40" s="37" t="s">
        <v>127</v>
      </c>
      <c r="AU40" s="37" t="s">
        <v>127</v>
      </c>
      <c r="AV40" s="37" t="s">
        <v>137</v>
      </c>
      <c r="AW40" s="37" t="s">
        <v>137</v>
      </c>
      <c r="AX40" s="37" t="s">
        <v>161</v>
      </c>
      <c r="AY40" s="76" t="s">
        <v>127</v>
      </c>
      <c r="AZ40" s="77" t="s">
        <v>127</v>
      </c>
      <c r="BA40" s="37" t="s">
        <v>127</v>
      </c>
      <c r="BB40" s="37" t="s">
        <v>143</v>
      </c>
      <c r="BC40" s="77" t="s">
        <v>127</v>
      </c>
      <c r="BD40" s="76" t="s">
        <v>368</v>
      </c>
      <c r="BE40" s="37" t="s">
        <v>127</v>
      </c>
      <c r="BF40" s="86" t="s">
        <v>369</v>
      </c>
      <c r="BG40" s="39" t="s">
        <v>127</v>
      </c>
      <c r="BH40" s="37" t="s">
        <v>127</v>
      </c>
      <c r="BI40" s="40" t="b">
        <v>1</v>
      </c>
      <c r="BJ40" s="40" t="s">
        <v>137</v>
      </c>
      <c r="BK40" s="37" t="s">
        <v>137</v>
      </c>
      <c r="BL40" s="41">
        <v>3040.4181983888498</v>
      </c>
      <c r="BM40" s="41">
        <v>0</v>
      </c>
      <c r="BN40" s="41">
        <v>1.0147300000000001</v>
      </c>
      <c r="BO40" s="41">
        <v>930.74997000000019</v>
      </c>
      <c r="BP40" s="41">
        <v>1331.2284994419999</v>
      </c>
      <c r="BQ40" s="41">
        <v>597.45101101700004</v>
      </c>
      <c r="BR40" s="41">
        <v>179.97398792985055</v>
      </c>
      <c r="BS40" s="41">
        <v>0</v>
      </c>
      <c r="BT40" s="41">
        <v>0</v>
      </c>
      <c r="BU40" s="41">
        <v>0</v>
      </c>
      <c r="BV40" s="41">
        <v>0</v>
      </c>
      <c r="BW40" s="49">
        <v>0</v>
      </c>
      <c r="BX40" s="37" t="s">
        <v>127</v>
      </c>
      <c r="BY40" s="37" t="s">
        <v>127</v>
      </c>
      <c r="BZ40" s="37" t="s">
        <v>162</v>
      </c>
      <c r="CA40" s="41">
        <v>0</v>
      </c>
      <c r="CB40" s="41">
        <v>0</v>
      </c>
      <c r="CC40" s="41">
        <v>2256.46</v>
      </c>
      <c r="CD40" s="41">
        <v>596.29999999999995</v>
      </c>
      <c r="CE40" s="41">
        <v>122.78</v>
      </c>
      <c r="CF40" s="41">
        <v>179.97398792985055</v>
      </c>
      <c r="CG40" s="45">
        <v>0</v>
      </c>
      <c r="CH40" s="45" t="s">
        <v>137</v>
      </c>
      <c r="CI40" s="37" t="s">
        <v>127</v>
      </c>
      <c r="CJ40" s="77" t="s">
        <v>127</v>
      </c>
      <c r="CK40" s="98">
        <v>0.18140000000000001</v>
      </c>
      <c r="CL40" s="98">
        <v>0.81859999999999999</v>
      </c>
      <c r="CM40" s="100" t="s">
        <v>359</v>
      </c>
    </row>
    <row r="41" spans="1:91" ht="12.75" customHeight="1" x14ac:dyDescent="0.3">
      <c r="A41" s="37">
        <v>39</v>
      </c>
      <c r="B41" s="37" t="s">
        <v>370</v>
      </c>
      <c r="C41" s="124"/>
      <c r="D41" s="124"/>
      <c r="E41" s="37" t="s">
        <v>258</v>
      </c>
      <c r="F41" s="36" t="s">
        <v>371</v>
      </c>
      <c r="G41" s="81" t="s">
        <v>352</v>
      </c>
      <c r="H41" s="37" t="s">
        <v>131</v>
      </c>
      <c r="I41" s="37" t="s">
        <v>127</v>
      </c>
      <c r="J41" s="37" t="s">
        <v>127</v>
      </c>
      <c r="K41" s="37" t="s">
        <v>132</v>
      </c>
      <c r="L41" s="75" t="s">
        <v>345</v>
      </c>
      <c r="M41" s="37" t="s">
        <v>127</v>
      </c>
      <c r="N41" s="37" t="s">
        <v>127</v>
      </c>
      <c r="O41" s="76">
        <v>45405</v>
      </c>
      <c r="P41" s="37" t="s">
        <v>135</v>
      </c>
      <c r="Q41" s="37" t="s">
        <v>127</v>
      </c>
      <c r="R41" s="37" t="s">
        <v>127</v>
      </c>
      <c r="S41" s="37" t="s">
        <v>127</v>
      </c>
      <c r="T41" s="37" t="s">
        <v>127</v>
      </c>
      <c r="U41" s="37" t="s">
        <v>136</v>
      </c>
      <c r="V41" s="37" t="b">
        <v>0</v>
      </c>
      <c r="W41" s="77" t="s">
        <v>127</v>
      </c>
      <c r="X41" s="123"/>
      <c r="Y41" s="37" t="s">
        <v>127</v>
      </c>
      <c r="Z41" s="37">
        <v>1.83</v>
      </c>
      <c r="AA41" s="37">
        <v>69</v>
      </c>
      <c r="AB41" s="37" t="s">
        <v>127</v>
      </c>
      <c r="AC41" s="78">
        <v>2.1</v>
      </c>
      <c r="AD41" s="78">
        <v>5987338</v>
      </c>
      <c r="AE41" s="37" t="s">
        <v>127</v>
      </c>
      <c r="AF41" s="37">
        <v>3171</v>
      </c>
      <c r="AG41" s="37" t="s">
        <v>127</v>
      </c>
      <c r="AH41" s="37" t="b">
        <v>1</v>
      </c>
      <c r="AI41" s="76" t="s">
        <v>127</v>
      </c>
      <c r="AJ41" s="77" t="s">
        <v>142</v>
      </c>
      <c r="AK41" s="37" t="s">
        <v>127</v>
      </c>
      <c r="AL41" s="37" t="s">
        <v>127</v>
      </c>
      <c r="AM41" s="37" t="b">
        <v>0</v>
      </c>
      <c r="AN41" s="37" t="s">
        <v>127</v>
      </c>
      <c r="AO41" s="37" t="s">
        <v>127</v>
      </c>
      <c r="AP41" s="37" t="s">
        <v>127</v>
      </c>
      <c r="AQ41" s="37" t="b">
        <v>0</v>
      </c>
      <c r="AR41" s="37" t="s">
        <v>127</v>
      </c>
      <c r="AS41" s="76" t="s">
        <v>137</v>
      </c>
      <c r="AT41" s="37" t="s">
        <v>127</v>
      </c>
      <c r="AU41" s="37" t="s">
        <v>127</v>
      </c>
      <c r="AV41" s="37" t="s">
        <v>137</v>
      </c>
      <c r="AW41" s="37" t="s">
        <v>137</v>
      </c>
      <c r="AX41" s="37" t="s">
        <v>161</v>
      </c>
      <c r="AY41" s="76" t="s">
        <v>127</v>
      </c>
      <c r="AZ41" s="77" t="s">
        <v>127</v>
      </c>
      <c r="BA41" s="37" t="s">
        <v>127</v>
      </c>
      <c r="BB41" s="37" t="s">
        <v>143</v>
      </c>
      <c r="BC41" s="77" t="s">
        <v>127</v>
      </c>
      <c r="BD41" s="78" t="s">
        <v>127</v>
      </c>
      <c r="BE41" s="37" t="s">
        <v>127</v>
      </c>
      <c r="BF41" s="90" t="s">
        <v>127</v>
      </c>
      <c r="BG41" s="39" t="s">
        <v>127</v>
      </c>
      <c r="BH41" s="39" t="s">
        <v>127</v>
      </c>
      <c r="BI41" s="40" t="b">
        <v>0</v>
      </c>
      <c r="BJ41" s="40" t="s">
        <v>137</v>
      </c>
      <c r="BK41" s="37" t="s">
        <v>137</v>
      </c>
      <c r="BL41" s="41">
        <v>1893.8837409820003</v>
      </c>
      <c r="BM41" s="41">
        <v>565.55541121199997</v>
      </c>
      <c r="BN41" s="41">
        <v>269.586999155</v>
      </c>
      <c r="BO41" s="41">
        <v>741.5454046430001</v>
      </c>
      <c r="BP41" s="41">
        <v>287.38845000000009</v>
      </c>
      <c r="BQ41" s="41">
        <v>4.9655299999999993</v>
      </c>
      <c r="BR41" s="41">
        <v>0</v>
      </c>
      <c r="BS41" s="41">
        <v>0</v>
      </c>
      <c r="BT41" s="41">
        <v>0</v>
      </c>
      <c r="BU41" s="41">
        <v>0</v>
      </c>
      <c r="BV41" s="41">
        <v>0</v>
      </c>
      <c r="BW41" s="49">
        <v>0</v>
      </c>
      <c r="BX41" s="37" t="s">
        <v>127</v>
      </c>
      <c r="BY41" s="37" t="s">
        <v>127</v>
      </c>
      <c r="BZ41" s="37" t="s">
        <v>364</v>
      </c>
      <c r="CA41" s="41">
        <v>0</v>
      </c>
      <c r="CB41" s="41">
        <v>0</v>
      </c>
      <c r="CC41" s="41">
        <v>1941</v>
      </c>
      <c r="CD41" s="41">
        <v>4.9655299999999993</v>
      </c>
      <c r="CE41" s="41">
        <v>0</v>
      </c>
      <c r="CF41" s="41">
        <v>0</v>
      </c>
      <c r="CG41" s="45">
        <v>0</v>
      </c>
      <c r="CH41" s="45" t="s">
        <v>137</v>
      </c>
      <c r="CI41" s="77" t="s">
        <v>127</v>
      </c>
      <c r="CJ41" s="77" t="s">
        <v>127</v>
      </c>
      <c r="CK41" s="98">
        <v>0.18140000000000001</v>
      </c>
      <c r="CL41" s="98">
        <v>0.81859999999999999</v>
      </c>
      <c r="CM41" s="100" t="s">
        <v>359</v>
      </c>
    </row>
    <row r="42" spans="1:91" ht="12.75" customHeight="1" x14ac:dyDescent="0.3">
      <c r="A42" s="37">
        <v>40</v>
      </c>
      <c r="B42" s="37" t="s">
        <v>372</v>
      </c>
      <c r="C42" s="124"/>
      <c r="D42" s="124"/>
      <c r="E42" s="37" t="s">
        <v>258</v>
      </c>
      <c r="F42" s="36" t="s">
        <v>373</v>
      </c>
      <c r="G42" s="81" t="s">
        <v>352</v>
      </c>
      <c r="H42" s="37" t="s">
        <v>131</v>
      </c>
      <c r="I42" s="37" t="s">
        <v>127</v>
      </c>
      <c r="J42" s="37" t="s">
        <v>127</v>
      </c>
      <c r="K42" s="37" t="s">
        <v>132</v>
      </c>
      <c r="L42" s="75" t="s">
        <v>345</v>
      </c>
      <c r="M42" s="37" t="s">
        <v>127</v>
      </c>
      <c r="N42" s="37" t="s">
        <v>127</v>
      </c>
      <c r="O42" s="76">
        <v>45418</v>
      </c>
      <c r="P42" s="37">
        <v>3.32</v>
      </c>
      <c r="Q42" s="37" t="s">
        <v>127</v>
      </c>
      <c r="R42" s="37" t="s">
        <v>127</v>
      </c>
      <c r="S42" s="37" t="s">
        <v>127</v>
      </c>
      <c r="T42" s="37" t="s">
        <v>127</v>
      </c>
      <c r="U42" s="37" t="s">
        <v>136</v>
      </c>
      <c r="V42" s="37" t="b">
        <v>0</v>
      </c>
      <c r="W42" s="77" t="s">
        <v>127</v>
      </c>
      <c r="X42" s="123"/>
      <c r="Y42" s="37" t="s">
        <v>127</v>
      </c>
      <c r="Z42" s="37">
        <v>2.5099999999999998</v>
      </c>
      <c r="AA42" s="37">
        <v>69</v>
      </c>
      <c r="AB42" s="37" t="s">
        <v>127</v>
      </c>
      <c r="AC42" s="78">
        <v>2.1</v>
      </c>
      <c r="AD42" s="78">
        <v>5987463</v>
      </c>
      <c r="AE42" s="37" t="s">
        <v>374</v>
      </c>
      <c r="AF42" s="37">
        <v>3171</v>
      </c>
      <c r="AG42" s="37" t="s">
        <v>127</v>
      </c>
      <c r="AH42" s="37" t="b">
        <v>1</v>
      </c>
      <c r="AI42" s="76" t="s">
        <v>127</v>
      </c>
      <c r="AJ42" s="77" t="s">
        <v>142</v>
      </c>
      <c r="AK42" s="37" t="s">
        <v>127</v>
      </c>
      <c r="AL42" s="37" t="s">
        <v>127</v>
      </c>
      <c r="AM42" s="37" t="b">
        <v>0</v>
      </c>
      <c r="AN42" s="37" t="s">
        <v>127</v>
      </c>
      <c r="AO42" s="37" t="s">
        <v>127</v>
      </c>
      <c r="AP42" s="37" t="s">
        <v>127</v>
      </c>
      <c r="AQ42" s="37" t="b">
        <v>0</v>
      </c>
      <c r="AR42" s="37" t="s">
        <v>127</v>
      </c>
      <c r="AS42" s="76" t="s">
        <v>137</v>
      </c>
      <c r="AT42" s="37" t="s">
        <v>127</v>
      </c>
      <c r="AU42" s="37" t="s">
        <v>127</v>
      </c>
      <c r="AV42" s="37" t="s">
        <v>137</v>
      </c>
      <c r="AW42" s="37" t="s">
        <v>137</v>
      </c>
      <c r="AX42" s="37" t="s">
        <v>161</v>
      </c>
      <c r="AY42" s="76" t="s">
        <v>127</v>
      </c>
      <c r="AZ42" s="77" t="s">
        <v>127</v>
      </c>
      <c r="BA42" s="37" t="s">
        <v>127</v>
      </c>
      <c r="BB42" s="37" t="s">
        <v>170</v>
      </c>
      <c r="BC42" s="77" t="s">
        <v>127</v>
      </c>
      <c r="BD42" s="76">
        <v>44313</v>
      </c>
      <c r="BE42" s="37" t="s">
        <v>127</v>
      </c>
      <c r="BF42" s="80">
        <v>45511</v>
      </c>
      <c r="BG42" s="39" t="s">
        <v>127</v>
      </c>
      <c r="BH42" s="39" t="s">
        <v>127</v>
      </c>
      <c r="BI42" s="40" t="b">
        <v>1</v>
      </c>
      <c r="BJ42" s="40" t="s">
        <v>137</v>
      </c>
      <c r="BK42" s="37" t="s">
        <v>137</v>
      </c>
      <c r="BL42" s="41">
        <v>7708.7368696736467</v>
      </c>
      <c r="BM42" s="41">
        <v>353.08776241800001</v>
      </c>
      <c r="BN42" s="41">
        <v>1235.6845449999998</v>
      </c>
      <c r="BO42" s="41">
        <v>674.58987285700005</v>
      </c>
      <c r="BP42" s="41">
        <v>3616.8203936059995</v>
      </c>
      <c r="BQ42" s="41">
        <v>1169.4609100000002</v>
      </c>
      <c r="BR42" s="41">
        <v>651.05245337664746</v>
      </c>
      <c r="BS42" s="41">
        <v>0</v>
      </c>
      <c r="BT42" s="41">
        <v>0</v>
      </c>
      <c r="BU42" s="41">
        <v>0</v>
      </c>
      <c r="BV42" s="41">
        <v>0</v>
      </c>
      <c r="BW42" s="49">
        <v>7383.94607</v>
      </c>
      <c r="BX42" s="37" t="s">
        <v>127</v>
      </c>
      <c r="BY42" s="37" t="s">
        <v>127</v>
      </c>
      <c r="BZ42" s="37" t="s">
        <v>173</v>
      </c>
      <c r="CA42" s="41">
        <v>0</v>
      </c>
      <c r="CB42" s="41">
        <v>0</v>
      </c>
      <c r="CC42" s="41">
        <v>0</v>
      </c>
      <c r="CD42" s="41">
        <v>0</v>
      </c>
      <c r="CE42" s="41">
        <v>0</v>
      </c>
      <c r="CF42" s="41">
        <v>7645.9836033766451</v>
      </c>
      <c r="CG42" s="45">
        <v>0</v>
      </c>
      <c r="CH42" s="45" t="s">
        <v>137</v>
      </c>
      <c r="CI42" s="77" t="s">
        <v>127</v>
      </c>
      <c r="CJ42" s="77" t="s">
        <v>127</v>
      </c>
      <c r="CK42" s="98">
        <v>0.18140000000000001</v>
      </c>
      <c r="CL42" s="98">
        <v>0.81859999999999999</v>
      </c>
      <c r="CM42" s="100" t="s">
        <v>375</v>
      </c>
    </row>
    <row r="43" spans="1:91" ht="12.75" customHeight="1" x14ac:dyDescent="0.3">
      <c r="A43" s="37">
        <v>41</v>
      </c>
      <c r="B43" s="37" t="s">
        <v>376</v>
      </c>
      <c r="C43" s="124"/>
      <c r="D43" s="124"/>
      <c r="E43" s="37" t="s">
        <v>377</v>
      </c>
      <c r="F43" s="36" t="s">
        <v>378</v>
      </c>
      <c r="G43" s="81" t="s">
        <v>352</v>
      </c>
      <c r="H43" s="37" t="s">
        <v>131</v>
      </c>
      <c r="I43" s="37" t="s">
        <v>127</v>
      </c>
      <c r="J43" s="37" t="s">
        <v>127</v>
      </c>
      <c r="K43" s="37" t="s">
        <v>132</v>
      </c>
      <c r="L43" s="75" t="s">
        <v>345</v>
      </c>
      <c r="M43" s="37" t="s">
        <v>127</v>
      </c>
      <c r="N43" s="37" t="s">
        <v>127</v>
      </c>
      <c r="O43" s="76">
        <v>45421</v>
      </c>
      <c r="P43" s="37">
        <v>3.15</v>
      </c>
      <c r="Q43" s="37" t="s">
        <v>127</v>
      </c>
      <c r="R43" s="37" t="s">
        <v>127</v>
      </c>
      <c r="S43" s="37" t="s">
        <v>127</v>
      </c>
      <c r="T43" s="37" t="s">
        <v>127</v>
      </c>
      <c r="U43" s="37" t="s">
        <v>136</v>
      </c>
      <c r="V43" s="37" t="b">
        <v>0</v>
      </c>
      <c r="W43" s="77" t="s">
        <v>127</v>
      </c>
      <c r="X43" s="123"/>
      <c r="Y43" s="37" t="s">
        <v>127</v>
      </c>
      <c r="Z43" s="37">
        <v>4.66</v>
      </c>
      <c r="AA43" s="37">
        <v>69</v>
      </c>
      <c r="AB43" s="37" t="s">
        <v>127</v>
      </c>
      <c r="AC43" s="78">
        <v>2.1</v>
      </c>
      <c r="AD43" s="78">
        <v>5987464</v>
      </c>
      <c r="AE43" s="37" t="s">
        <v>379</v>
      </c>
      <c r="AF43" s="37">
        <v>3171</v>
      </c>
      <c r="AG43" s="37" t="s">
        <v>127</v>
      </c>
      <c r="AH43" s="37" t="b">
        <v>1</v>
      </c>
      <c r="AI43" s="76" t="s">
        <v>127</v>
      </c>
      <c r="AJ43" s="77" t="s">
        <v>142</v>
      </c>
      <c r="AK43" s="37" t="s">
        <v>127</v>
      </c>
      <c r="AL43" s="37" t="s">
        <v>127</v>
      </c>
      <c r="AM43" s="37" t="b">
        <v>0</v>
      </c>
      <c r="AN43" s="37" t="s">
        <v>127</v>
      </c>
      <c r="AO43" s="37" t="s">
        <v>127</v>
      </c>
      <c r="AP43" s="37" t="s">
        <v>127</v>
      </c>
      <c r="AQ43" s="37" t="b">
        <v>0</v>
      </c>
      <c r="AR43" s="37" t="s">
        <v>127</v>
      </c>
      <c r="AS43" s="76" t="s">
        <v>137</v>
      </c>
      <c r="AT43" s="37" t="s">
        <v>127</v>
      </c>
      <c r="AU43" s="37" t="s">
        <v>127</v>
      </c>
      <c r="AV43" s="37" t="s">
        <v>137</v>
      </c>
      <c r="AW43" s="37" t="s">
        <v>137</v>
      </c>
      <c r="AX43" s="37" t="s">
        <v>161</v>
      </c>
      <c r="AY43" s="76" t="s">
        <v>127</v>
      </c>
      <c r="AZ43" s="77" t="s">
        <v>127</v>
      </c>
      <c r="BA43" s="37" t="s">
        <v>127</v>
      </c>
      <c r="BB43" s="37" t="s">
        <v>170</v>
      </c>
      <c r="BC43" s="77" t="s">
        <v>127</v>
      </c>
      <c r="BD43" s="76" t="s">
        <v>380</v>
      </c>
      <c r="BE43" s="37" t="s">
        <v>127</v>
      </c>
      <c r="BF43" s="86" t="s">
        <v>381</v>
      </c>
      <c r="BG43" s="39" t="s">
        <v>127</v>
      </c>
      <c r="BH43" s="37" t="s">
        <v>127</v>
      </c>
      <c r="BI43" s="40" t="b">
        <v>1</v>
      </c>
      <c r="BJ43" s="40" t="s">
        <v>137</v>
      </c>
      <c r="BK43" s="37" t="s">
        <v>137</v>
      </c>
      <c r="BL43" s="41">
        <v>3281.5808047513101</v>
      </c>
      <c r="BM43" s="41">
        <v>642.51963331599995</v>
      </c>
      <c r="BN43" s="41">
        <v>676.82641978999982</v>
      </c>
      <c r="BO43" s="41">
        <v>538.45695065799998</v>
      </c>
      <c r="BP43" s="41">
        <v>477.32130660199999</v>
      </c>
      <c r="BQ43" s="41">
        <v>644.16147999999998</v>
      </c>
      <c r="BR43" s="41">
        <v>289.93771727330835</v>
      </c>
      <c r="BS43" s="41">
        <v>0</v>
      </c>
      <c r="BT43" s="41">
        <v>0</v>
      </c>
      <c r="BU43" s="41">
        <v>0</v>
      </c>
      <c r="BV43" s="41">
        <v>0</v>
      </c>
      <c r="BW43" s="49">
        <v>3174.8027400000001</v>
      </c>
      <c r="BX43" s="37" t="s">
        <v>127</v>
      </c>
      <c r="BY43" s="37" t="s">
        <v>127</v>
      </c>
      <c r="BZ43" s="37" t="s">
        <v>173</v>
      </c>
      <c r="CA43" s="41">
        <v>0</v>
      </c>
      <c r="CB43" s="41">
        <v>0</v>
      </c>
      <c r="CC43" s="41">
        <v>0</v>
      </c>
      <c r="CD43" s="41">
        <v>0</v>
      </c>
      <c r="CE43" s="41">
        <v>0</v>
      </c>
      <c r="CF43" s="41">
        <v>3280.3908472733087</v>
      </c>
      <c r="CG43" s="45">
        <v>0</v>
      </c>
      <c r="CH43" s="45" t="s">
        <v>137</v>
      </c>
      <c r="CI43" s="37" t="s">
        <v>127</v>
      </c>
      <c r="CJ43" s="77" t="s">
        <v>127</v>
      </c>
      <c r="CK43" s="98">
        <v>0.18140000000000001</v>
      </c>
      <c r="CL43" s="98">
        <v>0.81859999999999999</v>
      </c>
      <c r="CM43" s="100" t="s">
        <v>375</v>
      </c>
    </row>
    <row r="44" spans="1:91" ht="12.65" customHeight="1" x14ac:dyDescent="0.3">
      <c r="A44" s="37">
        <v>42</v>
      </c>
      <c r="B44" s="37" t="s">
        <v>382</v>
      </c>
      <c r="C44" s="125"/>
      <c r="D44" s="123"/>
      <c r="E44" s="77" t="s">
        <v>127</v>
      </c>
      <c r="F44" s="36" t="s">
        <v>383</v>
      </c>
      <c r="G44" s="75" t="s">
        <v>148</v>
      </c>
      <c r="H44" s="37" t="s">
        <v>130</v>
      </c>
      <c r="I44" s="37" t="s">
        <v>127</v>
      </c>
      <c r="J44" s="37" t="s">
        <v>127</v>
      </c>
      <c r="K44" s="37" t="s">
        <v>132</v>
      </c>
      <c r="L44" s="75" t="s">
        <v>149</v>
      </c>
      <c r="M44" s="37" t="s">
        <v>384</v>
      </c>
      <c r="N44" s="37" t="s">
        <v>127</v>
      </c>
      <c r="O44" s="76" t="s">
        <v>127</v>
      </c>
      <c r="P44" s="37" t="s">
        <v>135</v>
      </c>
      <c r="Q44" s="37" t="s">
        <v>168</v>
      </c>
      <c r="R44" s="37" t="s">
        <v>127</v>
      </c>
      <c r="S44" s="37" t="s">
        <v>127</v>
      </c>
      <c r="T44" s="37" t="s">
        <v>127</v>
      </c>
      <c r="U44" s="37" t="s">
        <v>136</v>
      </c>
      <c r="V44" s="37" t="b">
        <v>0</v>
      </c>
      <c r="W44" s="77" t="s">
        <v>127</v>
      </c>
      <c r="X44" s="123"/>
      <c r="Y44" s="37" t="s">
        <v>137</v>
      </c>
      <c r="Z44" s="37" t="s">
        <v>137</v>
      </c>
      <c r="AA44" s="37">
        <v>230</v>
      </c>
      <c r="AB44" s="37" t="s">
        <v>385</v>
      </c>
      <c r="AC44" s="78">
        <v>4.0999999999999996</v>
      </c>
      <c r="AD44" s="78" t="s">
        <v>139</v>
      </c>
      <c r="AE44" s="37" t="s">
        <v>140</v>
      </c>
      <c r="AF44" s="37">
        <v>6254</v>
      </c>
      <c r="AG44" s="37" t="s">
        <v>141</v>
      </c>
      <c r="AH44" s="37" t="b">
        <v>1</v>
      </c>
      <c r="AI44" s="76">
        <v>42500</v>
      </c>
      <c r="AJ44" s="77" t="s">
        <v>142</v>
      </c>
      <c r="AK44" s="37" t="s">
        <v>127</v>
      </c>
      <c r="AL44" s="37" t="s">
        <v>127</v>
      </c>
      <c r="AM44" s="37" t="b">
        <v>0</v>
      </c>
      <c r="AN44" s="37" t="s">
        <v>127</v>
      </c>
      <c r="AO44" s="37" t="s">
        <v>127</v>
      </c>
      <c r="AP44" s="37" t="s">
        <v>137</v>
      </c>
      <c r="AQ44" s="37" t="b">
        <v>0</v>
      </c>
      <c r="AR44" s="37" t="s">
        <v>127</v>
      </c>
      <c r="AS44" s="76" t="s">
        <v>137</v>
      </c>
      <c r="AT44" s="37" t="s">
        <v>127</v>
      </c>
      <c r="AU44" s="37" t="s">
        <v>127</v>
      </c>
      <c r="AV44" s="37" t="s">
        <v>137</v>
      </c>
      <c r="AW44" s="37" t="s">
        <v>137</v>
      </c>
      <c r="AX44" s="37" t="s">
        <v>127</v>
      </c>
      <c r="AY44" s="76" t="s">
        <v>127</v>
      </c>
      <c r="AZ44" s="77" t="s">
        <v>127</v>
      </c>
      <c r="BA44" s="37" t="s">
        <v>127</v>
      </c>
      <c r="BB44" s="37" t="s">
        <v>154</v>
      </c>
      <c r="BC44" s="77" t="s">
        <v>127</v>
      </c>
      <c r="BD44" s="76" t="s">
        <v>127</v>
      </c>
      <c r="BE44" s="37" t="s">
        <v>127</v>
      </c>
      <c r="BF44" s="80" t="s">
        <v>127</v>
      </c>
      <c r="BG44" s="39" t="s">
        <v>127</v>
      </c>
      <c r="BH44" s="37" t="s">
        <v>127</v>
      </c>
      <c r="BI44" s="40" t="b">
        <v>1</v>
      </c>
      <c r="BJ44" s="40" t="s">
        <v>137</v>
      </c>
      <c r="BK44" s="37" t="s">
        <v>137</v>
      </c>
      <c r="BL44" s="41">
        <v>29095.231838214644</v>
      </c>
      <c r="BM44" s="41">
        <v>389.18399000000011</v>
      </c>
      <c r="BN44" s="41">
        <v>296.37667999999996</v>
      </c>
      <c r="BO44" s="41">
        <v>994.45836999999983</v>
      </c>
      <c r="BP44" s="41">
        <v>280.29734000000008</v>
      </c>
      <c r="BQ44" s="41">
        <v>320.15739999999994</v>
      </c>
      <c r="BR44" s="41">
        <v>1464.3133677776209</v>
      </c>
      <c r="BS44" s="41">
        <v>1310.7185616157137</v>
      </c>
      <c r="BT44" s="41">
        <v>532.36327385540915</v>
      </c>
      <c r="BU44" s="41">
        <v>543.96963899767377</v>
      </c>
      <c r="BV44" s="41">
        <v>555.56363596822155</v>
      </c>
      <c r="BW44" s="49">
        <v>0.39750000000000002</v>
      </c>
      <c r="BX44" s="37" t="s">
        <v>127</v>
      </c>
      <c r="BY44" s="37" t="s">
        <v>127</v>
      </c>
      <c r="BZ44" s="37" t="s">
        <v>155</v>
      </c>
      <c r="CA44" s="41">
        <v>521.16629</v>
      </c>
      <c r="CB44" s="41">
        <v>1171.5106800000001</v>
      </c>
      <c r="CC44" s="41">
        <v>333.78743999999995</v>
      </c>
      <c r="CD44" s="41">
        <v>266.44943000000006</v>
      </c>
      <c r="CE44" s="41">
        <v>124.74784</v>
      </c>
      <c r="CF44" s="41">
        <v>125.58549979857776</v>
      </c>
      <c r="CG44" s="45">
        <v>0</v>
      </c>
      <c r="CH44" s="45" t="s">
        <v>137</v>
      </c>
      <c r="CI44" s="37" t="s">
        <v>127</v>
      </c>
      <c r="CJ44" s="77" t="s">
        <v>127</v>
      </c>
      <c r="CK44" s="98">
        <v>0</v>
      </c>
      <c r="CL44" s="98">
        <v>1</v>
      </c>
      <c r="CM44" s="100" t="s">
        <v>386</v>
      </c>
    </row>
    <row r="45" spans="1:91" ht="12.75" customHeight="1" x14ac:dyDescent="0.3">
      <c r="A45" s="37">
        <v>43</v>
      </c>
      <c r="B45" s="37" t="s">
        <v>387</v>
      </c>
      <c r="C45" s="125"/>
      <c r="D45" s="123"/>
      <c r="E45" s="77" t="s">
        <v>127</v>
      </c>
      <c r="F45" s="36" t="s">
        <v>388</v>
      </c>
      <c r="G45" s="75" t="s">
        <v>226</v>
      </c>
      <c r="H45" s="37" t="s">
        <v>227</v>
      </c>
      <c r="I45" s="37" t="s">
        <v>127</v>
      </c>
      <c r="J45" s="37" t="s">
        <v>127</v>
      </c>
      <c r="K45" s="37" t="s">
        <v>132</v>
      </c>
      <c r="L45" s="75" t="s">
        <v>346</v>
      </c>
      <c r="M45" s="37" t="s">
        <v>127</v>
      </c>
      <c r="N45" s="37" t="s">
        <v>127</v>
      </c>
      <c r="O45" s="76" t="s">
        <v>134</v>
      </c>
      <c r="P45" s="37" t="s">
        <v>135</v>
      </c>
      <c r="Q45" s="37" t="s">
        <v>127</v>
      </c>
      <c r="R45" s="37" t="s">
        <v>127</v>
      </c>
      <c r="S45" s="37" t="s">
        <v>127</v>
      </c>
      <c r="T45" s="37" t="s">
        <v>127</v>
      </c>
      <c r="U45" s="37" t="s">
        <v>136</v>
      </c>
      <c r="V45" s="37" t="b">
        <v>0</v>
      </c>
      <c r="W45" s="77" t="s">
        <v>127</v>
      </c>
      <c r="X45" s="123"/>
      <c r="Y45" s="37" t="s">
        <v>137</v>
      </c>
      <c r="Z45" s="37" t="s">
        <v>137</v>
      </c>
      <c r="AA45" s="37" t="s">
        <v>138</v>
      </c>
      <c r="AB45" s="37" t="s">
        <v>127</v>
      </c>
      <c r="AC45" s="78">
        <v>4.3</v>
      </c>
      <c r="AD45" s="78" t="s">
        <v>139</v>
      </c>
      <c r="AE45" s="37" t="s">
        <v>140</v>
      </c>
      <c r="AF45" s="37">
        <v>7144</v>
      </c>
      <c r="AG45" s="37" t="s">
        <v>141</v>
      </c>
      <c r="AH45" s="37" t="b">
        <v>1</v>
      </c>
      <c r="AI45" s="76">
        <v>42614</v>
      </c>
      <c r="AJ45" s="77" t="s">
        <v>142</v>
      </c>
      <c r="AK45" s="37" t="s">
        <v>127</v>
      </c>
      <c r="AL45" s="37" t="s">
        <v>127</v>
      </c>
      <c r="AM45" s="37" t="b">
        <v>0</v>
      </c>
      <c r="AN45" s="37" t="s">
        <v>127</v>
      </c>
      <c r="AO45" s="37" t="s">
        <v>127</v>
      </c>
      <c r="AP45" s="37" t="s">
        <v>137</v>
      </c>
      <c r="AQ45" s="37" t="b">
        <v>0</v>
      </c>
      <c r="AR45" s="37" t="s">
        <v>127</v>
      </c>
      <c r="AS45" s="76" t="s">
        <v>137</v>
      </c>
      <c r="AT45" s="37" t="s">
        <v>389</v>
      </c>
      <c r="AU45" s="37" t="s">
        <v>390</v>
      </c>
      <c r="AV45" s="37" t="s">
        <v>137</v>
      </c>
      <c r="AW45" s="37" t="s">
        <v>137</v>
      </c>
      <c r="AX45" s="37" t="s">
        <v>127</v>
      </c>
      <c r="AY45" s="76" t="s">
        <v>127</v>
      </c>
      <c r="AZ45" s="77" t="s">
        <v>127</v>
      </c>
      <c r="BA45" s="37" t="s">
        <v>127</v>
      </c>
      <c r="BB45" s="37" t="s">
        <v>143</v>
      </c>
      <c r="BC45" s="77" t="s">
        <v>127</v>
      </c>
      <c r="BD45" s="76" t="s">
        <v>127</v>
      </c>
      <c r="BE45" s="37" t="s">
        <v>127</v>
      </c>
      <c r="BF45" s="80" t="s">
        <v>127</v>
      </c>
      <c r="BG45" s="39" t="s">
        <v>127</v>
      </c>
      <c r="BH45" s="37" t="s">
        <v>127</v>
      </c>
      <c r="BI45" s="40" t="b">
        <v>1</v>
      </c>
      <c r="BJ45" s="40" t="s">
        <v>137</v>
      </c>
      <c r="BK45" s="37" t="s">
        <v>137</v>
      </c>
      <c r="BL45" s="110">
        <f>85944.6788435553-SUM(BL46:BL50)</f>
        <v>71440.192825932638</v>
      </c>
      <c r="BM45" s="110">
        <f>4237.093740074-SUM(BM46:BM50)</f>
        <v>1348.3492697360007</v>
      </c>
      <c r="BN45" s="110">
        <f>5095.59469648-SUM(BN46:BN50)</f>
        <v>2731.3146270699999</v>
      </c>
      <c r="BO45" s="110">
        <f>5651.632568975-SUM(BO46:BO50)</f>
        <v>2788.9864062090001</v>
      </c>
      <c r="BP45" s="110">
        <f>6294.48048052-SUM(BP46:BP50)</f>
        <v>3591.485261758</v>
      </c>
      <c r="BQ45" s="110">
        <f>7105.179256951-SUM(BQ46:BQ50)</f>
        <v>4661.0943915819998</v>
      </c>
      <c r="BR45" s="110">
        <f>7112.51958178021-SUM(BR46:BR50)</f>
        <v>6296.3400040748402</v>
      </c>
      <c r="BS45" s="110">
        <f>8636.99169627285-SUM(BS46:BS50)</f>
        <v>8624.5346367690781</v>
      </c>
      <c r="BT45" s="110">
        <f>10653.1821320642-SUM(BT46:BT50)</f>
        <v>10650.041054187681</v>
      </c>
      <c r="BU45" s="110">
        <f>11653.3425359763-SUM(BU46:BU50)</f>
        <v>11653.3425359763</v>
      </c>
      <c r="BV45" s="110">
        <f>12887.4466739136-SUM(BV46:BV50)</f>
        <v>12887.446673913601</v>
      </c>
      <c r="BW45" s="111">
        <f>9684.28364-SUM(BW46:BW50)</f>
        <v>8510.7924800000001</v>
      </c>
      <c r="BX45" s="37" t="s">
        <v>127</v>
      </c>
      <c r="BY45" s="37" t="s">
        <v>127</v>
      </c>
      <c r="BZ45" s="37" t="s">
        <v>155</v>
      </c>
      <c r="CA45" s="41">
        <v>988.44799999999998</v>
      </c>
      <c r="CB45" s="41">
        <v>663.8</v>
      </c>
      <c r="CC45" s="41">
        <v>589.15</v>
      </c>
      <c r="CD45" s="41">
        <v>65.069999999999993</v>
      </c>
      <c r="CE45" s="41">
        <v>41.59</v>
      </c>
      <c r="CF45" s="110">
        <f>1133.62354236567-SUM(CF46:CF50)</f>
        <v>1073.406484518031</v>
      </c>
      <c r="CG45" s="45">
        <v>0</v>
      </c>
      <c r="CH45" s="45" t="s">
        <v>137</v>
      </c>
      <c r="CI45" s="37" t="s">
        <v>127</v>
      </c>
      <c r="CJ45" s="77" t="s">
        <v>127</v>
      </c>
      <c r="CK45" s="98">
        <v>0.18140000000000001</v>
      </c>
      <c r="CL45" s="98">
        <v>0.81859999999999999</v>
      </c>
      <c r="CM45" s="100" t="s">
        <v>391</v>
      </c>
    </row>
    <row r="46" spans="1:91" ht="12.75" customHeight="1" x14ac:dyDescent="0.3">
      <c r="A46" s="37">
        <v>44</v>
      </c>
      <c r="B46" s="37" t="s">
        <v>392</v>
      </c>
      <c r="C46" s="125"/>
      <c r="D46" s="123"/>
      <c r="E46" s="37" t="s">
        <v>258</v>
      </c>
      <c r="F46" s="36" t="s">
        <v>393</v>
      </c>
      <c r="G46" s="81" t="s">
        <v>226</v>
      </c>
      <c r="H46" s="38" t="s">
        <v>268</v>
      </c>
      <c r="I46" s="38" t="s">
        <v>268</v>
      </c>
      <c r="J46" s="38" t="s">
        <v>127</v>
      </c>
      <c r="K46" s="38" t="s">
        <v>269</v>
      </c>
      <c r="L46" s="81" t="s">
        <v>270</v>
      </c>
      <c r="M46" s="38" t="s">
        <v>127</v>
      </c>
      <c r="N46" s="38" t="s">
        <v>127</v>
      </c>
      <c r="O46" s="76">
        <v>45421</v>
      </c>
      <c r="P46" s="37">
        <v>30</v>
      </c>
      <c r="Q46" s="37" t="s">
        <v>127</v>
      </c>
      <c r="R46" s="37" t="s">
        <v>127</v>
      </c>
      <c r="S46" s="37" t="s">
        <v>127</v>
      </c>
      <c r="T46" s="37" t="s">
        <v>127</v>
      </c>
      <c r="U46" s="37" t="s">
        <v>394</v>
      </c>
      <c r="V46" s="37" t="b">
        <v>0</v>
      </c>
      <c r="W46" s="37" t="s">
        <v>127</v>
      </c>
      <c r="X46" s="123"/>
      <c r="Y46" s="37" t="s">
        <v>127</v>
      </c>
      <c r="Z46" s="37" t="s">
        <v>127</v>
      </c>
      <c r="AA46" s="37" t="s">
        <v>127</v>
      </c>
      <c r="AB46" s="37" t="s">
        <v>127</v>
      </c>
      <c r="AC46" s="78">
        <v>4.3</v>
      </c>
      <c r="AD46" s="78">
        <v>2208921</v>
      </c>
      <c r="AE46" s="37" t="s">
        <v>395</v>
      </c>
      <c r="AF46" s="37">
        <v>7144</v>
      </c>
      <c r="AG46" s="37" t="s">
        <v>127</v>
      </c>
      <c r="AH46" s="37" t="b">
        <v>0</v>
      </c>
      <c r="AI46" s="76" t="s">
        <v>127</v>
      </c>
      <c r="AJ46" s="77" t="s">
        <v>142</v>
      </c>
      <c r="AK46" s="37" t="s">
        <v>127</v>
      </c>
      <c r="AL46" s="37" t="s">
        <v>127</v>
      </c>
      <c r="AM46" s="37" t="b">
        <v>0</v>
      </c>
      <c r="AN46" s="37" t="s">
        <v>127</v>
      </c>
      <c r="AO46" s="37" t="s">
        <v>127</v>
      </c>
      <c r="AP46" s="37" t="s">
        <v>127</v>
      </c>
      <c r="AQ46" s="37" t="b">
        <v>0</v>
      </c>
      <c r="AR46" s="37" t="s">
        <v>127</v>
      </c>
      <c r="AS46" s="37" t="s">
        <v>127</v>
      </c>
      <c r="AT46" s="37" t="s">
        <v>127</v>
      </c>
      <c r="AU46" s="37" t="s">
        <v>127</v>
      </c>
      <c r="AV46" s="37" t="s">
        <v>127</v>
      </c>
      <c r="AW46" s="37" t="s">
        <v>127</v>
      </c>
      <c r="AX46" s="37" t="s">
        <v>161</v>
      </c>
      <c r="AY46" s="37" t="s">
        <v>127</v>
      </c>
      <c r="AZ46" s="37" t="s">
        <v>127</v>
      </c>
      <c r="BA46" s="37" t="s">
        <v>127</v>
      </c>
      <c r="BB46" s="37" t="s">
        <v>396</v>
      </c>
      <c r="BC46" s="77" t="s">
        <v>127</v>
      </c>
      <c r="BD46" s="76" t="s">
        <v>127</v>
      </c>
      <c r="BE46" s="37" t="s">
        <v>127</v>
      </c>
      <c r="BF46" s="37" t="s">
        <v>127</v>
      </c>
      <c r="BG46" s="39" t="s">
        <v>127</v>
      </c>
      <c r="BH46" s="39" t="s">
        <v>127</v>
      </c>
      <c r="BI46" s="40" t="b">
        <v>1</v>
      </c>
      <c r="BJ46" s="40" t="s">
        <v>137</v>
      </c>
      <c r="BK46" s="37" t="s">
        <v>127</v>
      </c>
      <c r="BL46" s="41">
        <v>3962.765997847639</v>
      </c>
      <c r="BM46" s="41">
        <v>0</v>
      </c>
      <c r="BN46" s="41">
        <v>0</v>
      </c>
      <c r="BO46" s="41">
        <v>6.8743699999999999</v>
      </c>
      <c r="BP46" s="41">
        <v>1393.3011541980002</v>
      </c>
      <c r="BQ46" s="41">
        <v>2168.8234096020001</v>
      </c>
      <c r="BR46" s="41">
        <v>393.76706404763877</v>
      </c>
      <c r="BS46" s="41">
        <v>0</v>
      </c>
      <c r="BT46" s="41">
        <v>0</v>
      </c>
      <c r="BU46" s="41">
        <v>0</v>
      </c>
      <c r="BV46" s="41">
        <v>0</v>
      </c>
      <c r="BW46" s="49">
        <v>0</v>
      </c>
      <c r="BX46" s="37" t="s">
        <v>127</v>
      </c>
      <c r="BY46" s="37" t="s">
        <v>127</v>
      </c>
      <c r="BZ46" s="37" t="s">
        <v>173</v>
      </c>
      <c r="CA46" s="41">
        <v>0</v>
      </c>
      <c r="CB46" s="41">
        <v>0</v>
      </c>
      <c r="CC46" s="41">
        <v>0</v>
      </c>
      <c r="CD46" s="41">
        <v>0</v>
      </c>
      <c r="CE46" s="41">
        <v>0</v>
      </c>
      <c r="CF46" s="41">
        <v>15.33331784763884</v>
      </c>
      <c r="CG46" s="45">
        <v>0</v>
      </c>
      <c r="CH46" s="45" t="s">
        <v>137</v>
      </c>
      <c r="CI46" s="37" t="s">
        <v>127</v>
      </c>
      <c r="CJ46" s="77" t="s">
        <v>127</v>
      </c>
      <c r="CK46" s="98">
        <v>0.18140000000000001</v>
      </c>
      <c r="CL46" s="98">
        <v>0.81859999999999999</v>
      </c>
      <c r="CM46" s="99" t="s">
        <v>397</v>
      </c>
    </row>
    <row r="47" spans="1:91" ht="12.65" customHeight="1" x14ac:dyDescent="0.3">
      <c r="A47" s="37">
        <v>45</v>
      </c>
      <c r="B47" s="37" t="s">
        <v>398</v>
      </c>
      <c r="C47" s="124"/>
      <c r="D47" s="124"/>
      <c r="E47" s="37" t="s">
        <v>399</v>
      </c>
      <c r="F47" s="36" t="s">
        <v>400</v>
      </c>
      <c r="G47" s="81" t="s">
        <v>152</v>
      </c>
      <c r="H47" s="38" t="s">
        <v>227</v>
      </c>
      <c r="I47" s="38" t="s">
        <v>227</v>
      </c>
      <c r="J47" s="38" t="s">
        <v>127</v>
      </c>
      <c r="K47" s="38" t="s">
        <v>132</v>
      </c>
      <c r="L47" s="81" t="s">
        <v>213</v>
      </c>
      <c r="M47" s="38" t="s">
        <v>127</v>
      </c>
      <c r="N47" s="38" t="s">
        <v>127</v>
      </c>
      <c r="O47" s="76">
        <v>45311</v>
      </c>
      <c r="P47" s="37">
        <v>63</v>
      </c>
      <c r="Q47" s="37" t="s">
        <v>127</v>
      </c>
      <c r="R47" s="37" t="s">
        <v>127</v>
      </c>
      <c r="S47" s="37" t="s">
        <v>127</v>
      </c>
      <c r="T47" s="37" t="s">
        <v>127</v>
      </c>
      <c r="U47" s="37" t="s">
        <v>394</v>
      </c>
      <c r="V47" s="37" t="b">
        <v>0</v>
      </c>
      <c r="W47" s="37" t="s">
        <v>127</v>
      </c>
      <c r="X47" s="123"/>
      <c r="Y47" s="37">
        <v>8.0500000000000007</v>
      </c>
      <c r="Z47" s="37" t="s">
        <v>127</v>
      </c>
      <c r="AA47" s="37" t="s">
        <v>127</v>
      </c>
      <c r="AB47" s="37" t="s">
        <v>127</v>
      </c>
      <c r="AC47" s="78">
        <v>4.3</v>
      </c>
      <c r="AD47" s="78">
        <v>2809450</v>
      </c>
      <c r="AE47" s="37" t="s">
        <v>401</v>
      </c>
      <c r="AF47" s="37">
        <v>7144</v>
      </c>
      <c r="AG47" s="37" t="s">
        <v>127</v>
      </c>
      <c r="AH47" s="37" t="b">
        <v>0</v>
      </c>
      <c r="AI47" s="76" t="s">
        <v>127</v>
      </c>
      <c r="AJ47" s="77" t="s">
        <v>142</v>
      </c>
      <c r="AK47" s="37" t="s">
        <v>127</v>
      </c>
      <c r="AL47" s="37" t="s">
        <v>127</v>
      </c>
      <c r="AM47" s="37" t="b">
        <v>0</v>
      </c>
      <c r="AN47" s="37" t="s">
        <v>127</v>
      </c>
      <c r="AO47" s="37" t="s">
        <v>127</v>
      </c>
      <c r="AP47" s="37" t="s">
        <v>127</v>
      </c>
      <c r="AQ47" s="37" t="b">
        <v>0</v>
      </c>
      <c r="AR47" s="37" t="s">
        <v>127</v>
      </c>
      <c r="AS47" s="37" t="s">
        <v>127</v>
      </c>
      <c r="AT47" s="37" t="s">
        <v>127</v>
      </c>
      <c r="AU47" s="37" t="s">
        <v>127</v>
      </c>
      <c r="AV47" s="37" t="s">
        <v>127</v>
      </c>
      <c r="AW47" s="37" t="s">
        <v>127</v>
      </c>
      <c r="AX47" s="37" t="s">
        <v>127</v>
      </c>
      <c r="AY47" s="37" t="s">
        <v>127</v>
      </c>
      <c r="AZ47" s="37" t="s">
        <v>127</v>
      </c>
      <c r="BA47" s="37" t="s">
        <v>127</v>
      </c>
      <c r="BB47" s="37" t="s">
        <v>127</v>
      </c>
      <c r="BC47" s="77" t="s">
        <v>127</v>
      </c>
      <c r="BD47" s="76" t="s">
        <v>127</v>
      </c>
      <c r="BE47" s="37" t="s">
        <v>127</v>
      </c>
      <c r="BF47" s="37" t="s">
        <v>127</v>
      </c>
      <c r="BG47" s="39" t="s">
        <v>127</v>
      </c>
      <c r="BH47" s="39" t="s">
        <v>127</v>
      </c>
      <c r="BI47" s="40" t="b">
        <v>0</v>
      </c>
      <c r="BJ47" s="40" t="s">
        <v>137</v>
      </c>
      <c r="BK47" s="37" t="s">
        <v>127</v>
      </c>
      <c r="BL47" s="41">
        <v>1149.9748854040211</v>
      </c>
      <c r="BM47" s="41">
        <v>3.5925530020000007</v>
      </c>
      <c r="BN47" s="41">
        <v>82.354731275000006</v>
      </c>
      <c r="BO47" s="41">
        <v>96.441204707999972</v>
      </c>
      <c r="BP47" s="41">
        <v>352.82426118799998</v>
      </c>
      <c r="BQ47" s="41">
        <v>215.23073027099994</v>
      </c>
      <c r="BR47" s="41">
        <v>377.52877365773048</v>
      </c>
      <c r="BS47" s="41">
        <v>12.457059503771793</v>
      </c>
      <c r="BT47" s="41">
        <v>3.1410778765178557</v>
      </c>
      <c r="BU47" s="41">
        <v>0</v>
      </c>
      <c r="BV47" s="41">
        <v>0</v>
      </c>
      <c r="BW47" s="49">
        <v>1173.49116</v>
      </c>
      <c r="BX47" s="37" t="s">
        <v>127</v>
      </c>
      <c r="BY47" s="37" t="s">
        <v>127</v>
      </c>
      <c r="BZ47" s="37" t="s">
        <v>127</v>
      </c>
      <c r="CA47" s="41">
        <v>0</v>
      </c>
      <c r="CB47" s="41">
        <v>0</v>
      </c>
      <c r="CC47" s="41">
        <v>0</v>
      </c>
      <c r="CD47" s="41">
        <v>0</v>
      </c>
      <c r="CE47" s="41">
        <v>0</v>
      </c>
      <c r="CF47" s="41">
        <v>0</v>
      </c>
      <c r="CG47" s="45">
        <v>0</v>
      </c>
      <c r="CH47" s="45" t="s">
        <v>137</v>
      </c>
      <c r="CI47" s="37" t="s">
        <v>127</v>
      </c>
      <c r="CJ47" s="77" t="s">
        <v>127</v>
      </c>
      <c r="CK47" s="98">
        <v>0.18140000000000001</v>
      </c>
      <c r="CL47" s="98">
        <v>0.81859999999999999</v>
      </c>
      <c r="CM47" s="99" t="s">
        <v>402</v>
      </c>
    </row>
    <row r="48" spans="1:91" ht="12.75" customHeight="1" x14ac:dyDescent="0.3">
      <c r="A48" s="37">
        <v>46</v>
      </c>
      <c r="B48" s="37" t="s">
        <v>403</v>
      </c>
      <c r="C48" s="124"/>
      <c r="D48" s="124"/>
      <c r="E48" s="37" t="s">
        <v>404</v>
      </c>
      <c r="F48" s="36" t="s">
        <v>405</v>
      </c>
      <c r="G48" s="81" t="s">
        <v>152</v>
      </c>
      <c r="H48" s="38" t="s">
        <v>227</v>
      </c>
      <c r="I48" s="38" t="s">
        <v>227</v>
      </c>
      <c r="J48" s="38" t="s">
        <v>127</v>
      </c>
      <c r="K48" s="38" t="s">
        <v>132</v>
      </c>
      <c r="L48" s="81" t="s">
        <v>213</v>
      </c>
      <c r="M48" s="38" t="s">
        <v>127</v>
      </c>
      <c r="N48" s="38" t="s">
        <v>127</v>
      </c>
      <c r="O48" s="80">
        <v>45017</v>
      </c>
      <c r="P48" s="37" t="s">
        <v>135</v>
      </c>
      <c r="Q48" s="37" t="s">
        <v>127</v>
      </c>
      <c r="R48" s="37" t="s">
        <v>127</v>
      </c>
      <c r="S48" s="37" t="s">
        <v>127</v>
      </c>
      <c r="T48" s="37" t="s">
        <v>127</v>
      </c>
      <c r="U48" s="37" t="s">
        <v>394</v>
      </c>
      <c r="V48" s="37" t="b">
        <v>0</v>
      </c>
      <c r="W48" s="37" t="s">
        <v>127</v>
      </c>
      <c r="X48" s="123"/>
      <c r="Y48" s="37">
        <v>9</v>
      </c>
      <c r="Z48" s="37" t="s">
        <v>127</v>
      </c>
      <c r="AA48" s="37">
        <v>230</v>
      </c>
      <c r="AB48" s="37">
        <v>230</v>
      </c>
      <c r="AC48" s="78">
        <v>4.3</v>
      </c>
      <c r="AD48" s="78">
        <v>2988521</v>
      </c>
      <c r="AE48" s="37" t="s">
        <v>406</v>
      </c>
      <c r="AF48" s="37">
        <v>7144</v>
      </c>
      <c r="AG48" s="37" t="s">
        <v>127</v>
      </c>
      <c r="AH48" s="37" t="b">
        <v>0</v>
      </c>
      <c r="AI48" s="76" t="s">
        <v>127</v>
      </c>
      <c r="AJ48" s="77" t="s">
        <v>142</v>
      </c>
      <c r="AK48" s="37" t="s">
        <v>127</v>
      </c>
      <c r="AL48" s="37" t="s">
        <v>127</v>
      </c>
      <c r="AM48" s="37" t="b">
        <v>0</v>
      </c>
      <c r="AN48" s="37" t="s">
        <v>127</v>
      </c>
      <c r="AO48" s="37" t="s">
        <v>127</v>
      </c>
      <c r="AP48" s="37" t="s">
        <v>127</v>
      </c>
      <c r="AQ48" s="37" t="b">
        <v>0</v>
      </c>
      <c r="AR48" s="37" t="s">
        <v>127</v>
      </c>
      <c r="AS48" s="37" t="s">
        <v>127</v>
      </c>
      <c r="AT48" s="37" t="s">
        <v>127</v>
      </c>
      <c r="AU48" s="37" t="s">
        <v>127</v>
      </c>
      <c r="AV48" s="37" t="s">
        <v>127</v>
      </c>
      <c r="AW48" s="37" t="s">
        <v>127</v>
      </c>
      <c r="AX48" s="37" t="s">
        <v>161</v>
      </c>
      <c r="AY48" s="37" t="s">
        <v>127</v>
      </c>
      <c r="AZ48" s="37" t="s">
        <v>127</v>
      </c>
      <c r="BA48" s="37" t="s">
        <v>127</v>
      </c>
      <c r="BB48" s="37" t="s">
        <v>143</v>
      </c>
      <c r="BC48" s="77" t="s">
        <v>127</v>
      </c>
      <c r="BD48" s="76" t="s">
        <v>407</v>
      </c>
      <c r="BE48" s="37" t="s">
        <v>127</v>
      </c>
      <c r="BF48" s="86" t="s">
        <v>408</v>
      </c>
      <c r="BG48" s="39" t="s">
        <v>127</v>
      </c>
      <c r="BH48" s="39" t="s">
        <v>127</v>
      </c>
      <c r="BI48" s="40" t="b">
        <v>0</v>
      </c>
      <c r="BJ48" s="40" t="s">
        <v>137</v>
      </c>
      <c r="BK48" s="37" t="s">
        <v>127</v>
      </c>
      <c r="BL48" s="41">
        <v>2860.5059667269993</v>
      </c>
      <c r="BM48" s="41">
        <v>2467.8929852379997</v>
      </c>
      <c r="BN48" s="41">
        <v>38.522075090000001</v>
      </c>
      <c r="BO48" s="41">
        <v>17.295411962999999</v>
      </c>
      <c r="BP48" s="41">
        <v>0</v>
      </c>
      <c r="BQ48" s="41">
        <v>0</v>
      </c>
      <c r="BR48" s="41">
        <v>0</v>
      </c>
      <c r="BS48" s="41">
        <v>0</v>
      </c>
      <c r="BT48" s="41">
        <v>0</v>
      </c>
      <c r="BU48" s="41">
        <v>0</v>
      </c>
      <c r="BV48" s="41">
        <v>0</v>
      </c>
      <c r="BW48" s="49">
        <v>0</v>
      </c>
      <c r="BX48" s="37" t="s">
        <v>127</v>
      </c>
      <c r="BY48" s="37" t="s">
        <v>127</v>
      </c>
      <c r="BZ48" s="37" t="s">
        <v>207</v>
      </c>
      <c r="CA48" s="41">
        <v>2333.384</v>
      </c>
      <c r="CB48" s="41">
        <v>11.00775</v>
      </c>
      <c r="CC48" s="41">
        <v>0</v>
      </c>
      <c r="CD48" s="41">
        <v>0</v>
      </c>
      <c r="CE48" s="41">
        <v>0</v>
      </c>
      <c r="CF48" s="41">
        <v>0</v>
      </c>
      <c r="CG48" s="45">
        <v>0</v>
      </c>
      <c r="CH48" s="45" t="s">
        <v>127</v>
      </c>
      <c r="CI48" s="37" t="s">
        <v>127</v>
      </c>
      <c r="CJ48" s="77" t="s">
        <v>127</v>
      </c>
      <c r="CK48" s="98">
        <v>0.18140000000000001</v>
      </c>
      <c r="CL48" s="98">
        <v>0.81859999999999999</v>
      </c>
      <c r="CM48" s="100" t="s">
        <v>409</v>
      </c>
    </row>
    <row r="49" spans="1:91" ht="12.75" customHeight="1" x14ac:dyDescent="0.3">
      <c r="A49" s="37">
        <v>47</v>
      </c>
      <c r="B49" s="37" t="s">
        <v>410</v>
      </c>
      <c r="C49" s="124"/>
      <c r="D49" s="124"/>
      <c r="E49" s="37" t="s">
        <v>200</v>
      </c>
      <c r="F49" s="36" t="s">
        <v>411</v>
      </c>
      <c r="G49" s="81" t="s">
        <v>152</v>
      </c>
      <c r="H49" s="38" t="s">
        <v>227</v>
      </c>
      <c r="I49" s="38" t="s">
        <v>227</v>
      </c>
      <c r="J49" s="38" t="s">
        <v>127</v>
      </c>
      <c r="K49" s="38" t="s">
        <v>132</v>
      </c>
      <c r="L49" s="81" t="s">
        <v>213</v>
      </c>
      <c r="M49" s="38" t="s">
        <v>127</v>
      </c>
      <c r="N49" s="38" t="s">
        <v>127</v>
      </c>
      <c r="O49" s="80">
        <v>44489</v>
      </c>
      <c r="P49" s="37" t="s">
        <v>135</v>
      </c>
      <c r="Q49" s="37" t="s">
        <v>127</v>
      </c>
      <c r="R49" s="37" t="s">
        <v>127</v>
      </c>
      <c r="S49" s="37" t="s">
        <v>127</v>
      </c>
      <c r="T49" s="37" t="s">
        <v>127</v>
      </c>
      <c r="U49" s="37" t="s">
        <v>394</v>
      </c>
      <c r="V49" s="37" t="b">
        <v>0</v>
      </c>
      <c r="W49" s="37" t="s">
        <v>127</v>
      </c>
      <c r="X49" s="123"/>
      <c r="Y49" s="37">
        <v>3.2</v>
      </c>
      <c r="Z49" s="37" t="s">
        <v>127</v>
      </c>
      <c r="AA49" s="37" t="s">
        <v>127</v>
      </c>
      <c r="AB49" s="37" t="s">
        <v>127</v>
      </c>
      <c r="AC49" s="78">
        <v>4.3</v>
      </c>
      <c r="AD49" s="78">
        <v>2989076</v>
      </c>
      <c r="AE49" s="37" t="s">
        <v>412</v>
      </c>
      <c r="AF49" s="37">
        <v>7144</v>
      </c>
      <c r="AG49" s="37" t="s">
        <v>127</v>
      </c>
      <c r="AH49" s="37" t="b">
        <v>0</v>
      </c>
      <c r="AI49" s="76" t="s">
        <v>127</v>
      </c>
      <c r="AJ49" s="77" t="s">
        <v>142</v>
      </c>
      <c r="AK49" s="37" t="s">
        <v>127</v>
      </c>
      <c r="AL49" s="37" t="s">
        <v>127</v>
      </c>
      <c r="AM49" s="37" t="b">
        <v>0</v>
      </c>
      <c r="AN49" s="37" t="s">
        <v>127</v>
      </c>
      <c r="AO49" s="37" t="s">
        <v>127</v>
      </c>
      <c r="AP49" s="37" t="s">
        <v>127</v>
      </c>
      <c r="AQ49" s="37" t="b">
        <v>0</v>
      </c>
      <c r="AR49" s="37" t="s">
        <v>127</v>
      </c>
      <c r="AS49" s="37" t="s">
        <v>127</v>
      </c>
      <c r="AT49" s="37" t="s">
        <v>127</v>
      </c>
      <c r="AU49" s="37" t="s">
        <v>127</v>
      </c>
      <c r="AV49" s="37" t="s">
        <v>127</v>
      </c>
      <c r="AW49" s="37" t="s">
        <v>127</v>
      </c>
      <c r="AX49" s="37" t="s">
        <v>161</v>
      </c>
      <c r="AY49" s="37" t="s">
        <v>127</v>
      </c>
      <c r="AZ49" s="37" t="s">
        <v>127</v>
      </c>
      <c r="BA49" s="37" t="s">
        <v>127</v>
      </c>
      <c r="BB49" s="37" t="s">
        <v>143</v>
      </c>
      <c r="BC49" s="77" t="s">
        <v>127</v>
      </c>
      <c r="BD49" s="76" t="s">
        <v>413</v>
      </c>
      <c r="BE49" s="37" t="s">
        <v>127</v>
      </c>
      <c r="BF49" s="86" t="s">
        <v>414</v>
      </c>
      <c r="BG49" s="39" t="s">
        <v>127</v>
      </c>
      <c r="BH49" s="39" t="s">
        <v>127</v>
      </c>
      <c r="BI49" s="40" t="b">
        <v>0</v>
      </c>
      <c r="BJ49" s="40" t="s">
        <v>137</v>
      </c>
      <c r="BK49" s="37" t="s">
        <v>127</v>
      </c>
      <c r="BL49" s="41">
        <v>1753.7238864949998</v>
      </c>
      <c r="BM49" s="41">
        <v>353.39327546999999</v>
      </c>
      <c r="BN49" s="41">
        <v>1284.5072479749997</v>
      </c>
      <c r="BO49" s="41">
        <v>49.065835515999993</v>
      </c>
      <c r="BP49" s="41">
        <v>0</v>
      </c>
      <c r="BQ49" s="41">
        <v>0</v>
      </c>
      <c r="BR49" s="41">
        <v>0</v>
      </c>
      <c r="BS49" s="41">
        <v>0</v>
      </c>
      <c r="BT49" s="41">
        <v>0</v>
      </c>
      <c r="BU49" s="41">
        <v>0</v>
      </c>
      <c r="BV49" s="41">
        <v>0</v>
      </c>
      <c r="BW49" s="49">
        <v>0</v>
      </c>
      <c r="BX49" s="37" t="s">
        <v>127</v>
      </c>
      <c r="BY49" s="37" t="s">
        <v>127</v>
      </c>
      <c r="BZ49" s="37" t="s">
        <v>207</v>
      </c>
      <c r="CA49" s="41">
        <v>1574.7149999999999</v>
      </c>
      <c r="CB49" s="41">
        <v>29.82</v>
      </c>
      <c r="CC49" s="41">
        <v>0</v>
      </c>
      <c r="CD49" s="41">
        <v>0</v>
      </c>
      <c r="CE49" s="41">
        <v>0</v>
      </c>
      <c r="CF49" s="41">
        <v>0</v>
      </c>
      <c r="CG49" s="45">
        <v>0</v>
      </c>
      <c r="CH49" s="45" t="s">
        <v>127</v>
      </c>
      <c r="CI49" s="37" t="s">
        <v>127</v>
      </c>
      <c r="CJ49" s="77" t="s">
        <v>127</v>
      </c>
      <c r="CK49" s="98">
        <v>0.18140000000000001</v>
      </c>
      <c r="CL49" s="98">
        <v>0.81859999999999999</v>
      </c>
      <c r="CM49" s="100" t="s">
        <v>415</v>
      </c>
    </row>
    <row r="50" spans="1:91" ht="12.75" customHeight="1" x14ac:dyDescent="0.3">
      <c r="A50" s="37">
        <v>48</v>
      </c>
      <c r="B50" s="37" t="s">
        <v>416</v>
      </c>
      <c r="C50" s="124"/>
      <c r="D50" s="124"/>
      <c r="E50" s="37" t="s">
        <v>258</v>
      </c>
      <c r="F50" s="36" t="s">
        <v>417</v>
      </c>
      <c r="G50" s="81" t="s">
        <v>152</v>
      </c>
      <c r="H50" s="38" t="s">
        <v>227</v>
      </c>
      <c r="I50" s="38" t="s">
        <v>227</v>
      </c>
      <c r="J50" s="38" t="s">
        <v>127</v>
      </c>
      <c r="K50" s="38" t="s">
        <v>132</v>
      </c>
      <c r="L50" s="81" t="s">
        <v>213</v>
      </c>
      <c r="M50" s="38" t="s">
        <v>127</v>
      </c>
      <c r="N50" s="38" t="s">
        <v>127</v>
      </c>
      <c r="O50" s="76">
        <v>44983</v>
      </c>
      <c r="P50" s="37" t="s">
        <v>418</v>
      </c>
      <c r="Q50" s="37" t="s">
        <v>127</v>
      </c>
      <c r="R50" s="37" t="s">
        <v>127</v>
      </c>
      <c r="S50" s="37" t="s">
        <v>127</v>
      </c>
      <c r="T50" s="37" t="s">
        <v>127</v>
      </c>
      <c r="U50" s="37" t="s">
        <v>394</v>
      </c>
      <c r="V50" s="37" t="b">
        <v>0</v>
      </c>
      <c r="W50" s="37" t="s">
        <v>127</v>
      </c>
      <c r="X50" s="123"/>
      <c r="Y50" s="37">
        <v>1.84</v>
      </c>
      <c r="Z50" s="37" t="s">
        <v>127</v>
      </c>
      <c r="AA50" s="37" t="s">
        <v>127</v>
      </c>
      <c r="AB50" s="37" t="s">
        <v>127</v>
      </c>
      <c r="AC50" s="78">
        <v>4.3</v>
      </c>
      <c r="AD50" s="78">
        <v>2991031</v>
      </c>
      <c r="AE50" s="37" t="s">
        <v>419</v>
      </c>
      <c r="AF50" s="37">
        <v>7144</v>
      </c>
      <c r="AG50" s="37" t="s">
        <v>127</v>
      </c>
      <c r="AH50" s="37" t="b">
        <v>0</v>
      </c>
      <c r="AI50" s="76" t="s">
        <v>127</v>
      </c>
      <c r="AJ50" s="77" t="s">
        <v>142</v>
      </c>
      <c r="AK50" s="37" t="s">
        <v>127</v>
      </c>
      <c r="AL50" s="37" t="s">
        <v>127</v>
      </c>
      <c r="AM50" s="37" t="b">
        <v>0</v>
      </c>
      <c r="AN50" s="37" t="s">
        <v>127</v>
      </c>
      <c r="AO50" s="37" t="s">
        <v>127</v>
      </c>
      <c r="AP50" s="37" t="s">
        <v>127</v>
      </c>
      <c r="AQ50" s="37" t="b">
        <v>0</v>
      </c>
      <c r="AR50" s="37" t="s">
        <v>127</v>
      </c>
      <c r="AS50" s="37" t="s">
        <v>127</v>
      </c>
      <c r="AT50" s="37" t="s">
        <v>127</v>
      </c>
      <c r="AU50" s="37" t="s">
        <v>127</v>
      </c>
      <c r="AV50" s="37" t="s">
        <v>127</v>
      </c>
      <c r="AW50" s="37" t="s">
        <v>127</v>
      </c>
      <c r="AX50" s="37" t="s">
        <v>161</v>
      </c>
      <c r="AY50" s="37" t="s">
        <v>127</v>
      </c>
      <c r="AZ50" s="37" t="s">
        <v>127</v>
      </c>
      <c r="BA50" s="37" t="s">
        <v>127</v>
      </c>
      <c r="BB50" s="37" t="s">
        <v>143</v>
      </c>
      <c r="BC50" s="77" t="s">
        <v>127</v>
      </c>
      <c r="BD50" s="76" t="s">
        <v>420</v>
      </c>
      <c r="BE50" s="37" t="s">
        <v>127</v>
      </c>
      <c r="BF50" s="86" t="s">
        <v>421</v>
      </c>
      <c r="BG50" s="39" t="s">
        <v>127</v>
      </c>
      <c r="BH50" s="39" t="s">
        <v>127</v>
      </c>
      <c r="BI50" s="40" t="b">
        <v>1</v>
      </c>
      <c r="BJ50" s="40" t="s">
        <v>137</v>
      </c>
      <c r="BK50" s="37" t="s">
        <v>127</v>
      </c>
      <c r="BL50" s="41">
        <v>4777.5152811490016</v>
      </c>
      <c r="BM50" s="41">
        <v>63.865656627999989</v>
      </c>
      <c r="BN50" s="41">
        <v>958.89601506999986</v>
      </c>
      <c r="BO50" s="41">
        <v>2692.9693405789999</v>
      </c>
      <c r="BP50" s="41">
        <v>956.86980337600005</v>
      </c>
      <c r="BQ50" s="41">
        <v>60.030725496000002</v>
      </c>
      <c r="BR50" s="41">
        <v>44.883740000000003</v>
      </c>
      <c r="BS50" s="41">
        <v>0</v>
      </c>
      <c r="BT50" s="41">
        <v>0</v>
      </c>
      <c r="BU50" s="41">
        <v>0</v>
      </c>
      <c r="BV50" s="41">
        <v>0</v>
      </c>
      <c r="BW50" s="49">
        <v>0</v>
      </c>
      <c r="BX50" s="37" t="s">
        <v>127</v>
      </c>
      <c r="BY50" s="37" t="s">
        <v>127</v>
      </c>
      <c r="BZ50" s="37" t="s">
        <v>162</v>
      </c>
      <c r="CA50" s="41">
        <v>0</v>
      </c>
      <c r="CB50" s="41">
        <v>0</v>
      </c>
      <c r="CC50" s="41">
        <v>3650.57</v>
      </c>
      <c r="CD50" s="41">
        <v>45.41</v>
      </c>
      <c r="CE50" s="41">
        <v>38.5</v>
      </c>
      <c r="CF50" s="41">
        <v>44.883740000000003</v>
      </c>
      <c r="CG50" s="45">
        <v>0</v>
      </c>
      <c r="CH50" s="45" t="s">
        <v>127</v>
      </c>
      <c r="CI50" s="37" t="s">
        <v>127</v>
      </c>
      <c r="CJ50" s="77" t="s">
        <v>127</v>
      </c>
      <c r="CK50" s="98">
        <v>0.18140000000000001</v>
      </c>
      <c r="CL50" s="98">
        <v>0.81859999999999999</v>
      </c>
      <c r="CM50" s="100" t="s">
        <v>422</v>
      </c>
    </row>
    <row r="51" spans="1:91" ht="12.75" customHeight="1" x14ac:dyDescent="0.3">
      <c r="A51" s="37">
        <v>49</v>
      </c>
      <c r="B51" s="37" t="s">
        <v>423</v>
      </c>
      <c r="C51" s="125"/>
      <c r="D51" s="123"/>
      <c r="E51" s="77" t="s">
        <v>127</v>
      </c>
      <c r="F51" s="36" t="s">
        <v>424</v>
      </c>
      <c r="G51" s="75" t="s">
        <v>184</v>
      </c>
      <c r="H51" s="37" t="s">
        <v>130</v>
      </c>
      <c r="I51" s="37" t="s">
        <v>127</v>
      </c>
      <c r="J51" s="37" t="s">
        <v>127</v>
      </c>
      <c r="K51" s="37" t="s">
        <v>132</v>
      </c>
      <c r="L51" s="75" t="s">
        <v>282</v>
      </c>
      <c r="M51" s="37" t="s">
        <v>384</v>
      </c>
      <c r="N51" s="37" t="s">
        <v>127</v>
      </c>
      <c r="O51" s="76" t="s">
        <v>127</v>
      </c>
      <c r="P51" s="37" t="s">
        <v>135</v>
      </c>
      <c r="Q51" s="37" t="s">
        <v>425</v>
      </c>
      <c r="R51" s="37" t="s">
        <v>426</v>
      </c>
      <c r="S51" s="37" t="s">
        <v>127</v>
      </c>
      <c r="T51" s="37" t="s">
        <v>127</v>
      </c>
      <c r="U51" s="37" t="s">
        <v>136</v>
      </c>
      <c r="V51" s="37" t="b">
        <v>0</v>
      </c>
      <c r="W51" s="77" t="s">
        <v>127</v>
      </c>
      <c r="X51" s="123"/>
      <c r="Y51" s="37" t="s">
        <v>137</v>
      </c>
      <c r="Z51" s="37" t="s">
        <v>137</v>
      </c>
      <c r="AA51" s="37">
        <v>138</v>
      </c>
      <c r="AB51" s="37" t="s">
        <v>127</v>
      </c>
      <c r="AC51" s="78">
        <v>2.1</v>
      </c>
      <c r="AD51" s="78" t="s">
        <v>139</v>
      </c>
      <c r="AE51" s="37" t="s">
        <v>140</v>
      </c>
      <c r="AF51" s="37">
        <v>9170</v>
      </c>
      <c r="AG51" s="37" t="s">
        <v>141</v>
      </c>
      <c r="AH51" s="37" t="b">
        <v>1</v>
      </c>
      <c r="AI51" s="76">
        <v>45259</v>
      </c>
      <c r="AJ51" s="77" t="s">
        <v>142</v>
      </c>
      <c r="AK51" s="37" t="s">
        <v>127</v>
      </c>
      <c r="AL51" s="37" t="s">
        <v>127</v>
      </c>
      <c r="AM51" s="37" t="b">
        <v>0</v>
      </c>
      <c r="AN51" s="37" t="s">
        <v>127</v>
      </c>
      <c r="AO51" s="37" t="s">
        <v>127</v>
      </c>
      <c r="AP51" s="37" t="s">
        <v>137</v>
      </c>
      <c r="AQ51" s="37" t="b">
        <v>0</v>
      </c>
      <c r="AR51" s="37" t="s">
        <v>127</v>
      </c>
      <c r="AS51" s="76" t="s">
        <v>137</v>
      </c>
      <c r="AT51" s="37" t="s">
        <v>127</v>
      </c>
      <c r="AU51" s="37" t="s">
        <v>127</v>
      </c>
      <c r="AV51" s="37" t="s">
        <v>137</v>
      </c>
      <c r="AW51" s="37" t="s">
        <v>137</v>
      </c>
      <c r="AX51" s="37" t="s">
        <v>127</v>
      </c>
      <c r="AY51" s="76" t="s">
        <v>127</v>
      </c>
      <c r="AZ51" s="77" t="s">
        <v>127</v>
      </c>
      <c r="BA51" s="37" t="s">
        <v>127</v>
      </c>
      <c r="BB51" s="37" t="s">
        <v>154</v>
      </c>
      <c r="BC51" s="77" t="s">
        <v>127</v>
      </c>
      <c r="BD51" s="76" t="s">
        <v>127</v>
      </c>
      <c r="BE51" s="37" t="s">
        <v>127</v>
      </c>
      <c r="BF51" s="80" t="s">
        <v>127</v>
      </c>
      <c r="BG51" s="39" t="s">
        <v>127</v>
      </c>
      <c r="BH51" s="37" t="s">
        <v>127</v>
      </c>
      <c r="BI51" s="40" t="b">
        <v>1</v>
      </c>
      <c r="BJ51" s="40" t="s">
        <v>137</v>
      </c>
      <c r="BK51" s="37" t="s">
        <v>137</v>
      </c>
      <c r="BL51" s="110">
        <f>52180.2316266223-SUM(BL52:BL54)</f>
        <v>39256.48198169269</v>
      </c>
      <c r="BM51" s="110">
        <f>3458.344873096-SUM(BM52:BM54)</f>
        <v>0.35888309600022694</v>
      </c>
      <c r="BN51" s="110">
        <f>1860.34487-SUM(BN52:BN54)</f>
        <v>45.845230000000129</v>
      </c>
      <c r="BO51" s="110">
        <f>3817.12111-SUM(BO52:BO54)</f>
        <v>20.406750000000102</v>
      </c>
      <c r="BP51" s="110">
        <f>2606.18593-SUM(BP52:BP54)</f>
        <v>43.349529999999959</v>
      </c>
      <c r="BQ51" s="110">
        <f>945.10095-SUM(BQ52:BQ54)</f>
        <v>301.21571000000006</v>
      </c>
      <c r="BR51" s="110">
        <f>1743.54859731105-SUM(BR52:BR54)</f>
        <v>1319.3029282023449</v>
      </c>
      <c r="BS51" s="110">
        <f>2581.45914098295-SUM(BS52:BS54)</f>
        <v>2357.8767951620503</v>
      </c>
      <c r="BT51" s="110">
        <f>4254.69626691296-SUM(BT52:BT54)</f>
        <v>4254.6962669129598</v>
      </c>
      <c r="BU51" s="110">
        <f>4708.52411874093-SUM(BU52:BU54)</f>
        <v>4708.5241187409301</v>
      </c>
      <c r="BV51" s="110">
        <f>4006.7225551572-SUM(BV52:BV54)</f>
        <v>4006.7225551572001</v>
      </c>
      <c r="BW51" s="111">
        <f>4206.08869-SUM(BW52:BW54)</f>
        <v>423.43166999999949</v>
      </c>
      <c r="BX51" s="37" t="s">
        <v>127</v>
      </c>
      <c r="BY51" s="37" t="s">
        <v>127</v>
      </c>
      <c r="BZ51" s="37" t="s">
        <v>427</v>
      </c>
      <c r="CA51" s="41">
        <v>36.877489999999995</v>
      </c>
      <c r="CB51" s="41">
        <v>0</v>
      </c>
      <c r="CC51" s="41">
        <v>0</v>
      </c>
      <c r="CD51" s="41">
        <v>0</v>
      </c>
      <c r="CE51" s="41">
        <v>0</v>
      </c>
      <c r="CF51" s="110">
        <f>1410.18190628298-SUM(CF52:CF54)</f>
        <v>408.55141999999955</v>
      </c>
      <c r="CG51" s="45">
        <v>0</v>
      </c>
      <c r="CH51" s="45" t="s">
        <v>137</v>
      </c>
      <c r="CI51" s="37" t="s">
        <v>127</v>
      </c>
      <c r="CJ51" s="77" t="s">
        <v>127</v>
      </c>
      <c r="CK51" s="98">
        <v>0</v>
      </c>
      <c r="CL51" s="98">
        <v>1</v>
      </c>
      <c r="CM51" s="100" t="s">
        <v>386</v>
      </c>
    </row>
    <row r="52" spans="1:91" ht="12.75" customHeight="1" x14ac:dyDescent="0.3">
      <c r="A52" s="37">
        <v>50</v>
      </c>
      <c r="B52" s="37" t="s">
        <v>428</v>
      </c>
      <c r="C52" s="124"/>
      <c r="D52" s="124"/>
      <c r="E52" s="37" t="s">
        <v>246</v>
      </c>
      <c r="F52" s="36" t="s">
        <v>429</v>
      </c>
      <c r="G52" s="81" t="s">
        <v>184</v>
      </c>
      <c r="H52" s="38" t="s">
        <v>130</v>
      </c>
      <c r="I52" s="38" t="s">
        <v>131</v>
      </c>
      <c r="J52" s="38" t="s">
        <v>127</v>
      </c>
      <c r="K52" s="38" t="s">
        <v>132</v>
      </c>
      <c r="L52" s="81" t="s">
        <v>330</v>
      </c>
      <c r="M52" s="38" t="s">
        <v>127</v>
      </c>
      <c r="N52" s="38" t="s">
        <v>127</v>
      </c>
      <c r="O52" s="76">
        <v>45411</v>
      </c>
      <c r="P52" s="37">
        <v>50</v>
      </c>
      <c r="Q52" s="37" t="s">
        <v>239</v>
      </c>
      <c r="R52" s="37" t="s">
        <v>430</v>
      </c>
      <c r="S52" s="37" t="s">
        <v>152</v>
      </c>
      <c r="T52" s="37" t="s">
        <v>315</v>
      </c>
      <c r="U52" s="37" t="s">
        <v>136</v>
      </c>
      <c r="V52" s="37" t="b">
        <v>0</v>
      </c>
      <c r="W52" s="37" t="s">
        <v>127</v>
      </c>
      <c r="X52" s="123"/>
      <c r="Y52" s="37" t="s">
        <v>127</v>
      </c>
      <c r="Z52" s="37">
        <v>12.37</v>
      </c>
      <c r="AA52" s="37">
        <v>69</v>
      </c>
      <c r="AB52" s="37">
        <v>69</v>
      </c>
      <c r="AC52" s="78">
        <v>2.1</v>
      </c>
      <c r="AD52" s="78">
        <v>5341332</v>
      </c>
      <c r="AE52" s="37" t="s">
        <v>431</v>
      </c>
      <c r="AF52" s="37">
        <v>9170</v>
      </c>
      <c r="AG52" s="37" t="s">
        <v>127</v>
      </c>
      <c r="AH52" s="37" t="b">
        <v>1</v>
      </c>
      <c r="AI52" s="76" t="s">
        <v>127</v>
      </c>
      <c r="AJ52" s="77" t="s">
        <v>142</v>
      </c>
      <c r="AK52" s="37" t="s">
        <v>127</v>
      </c>
      <c r="AL52" s="37" t="s">
        <v>127</v>
      </c>
      <c r="AM52" s="37" t="b">
        <v>0</v>
      </c>
      <c r="AN52" s="37" t="s">
        <v>127</v>
      </c>
      <c r="AO52" s="37" t="s">
        <v>127</v>
      </c>
      <c r="AP52" s="37" t="s">
        <v>137</v>
      </c>
      <c r="AQ52" s="37" t="b">
        <v>0</v>
      </c>
      <c r="AR52" s="37" t="s">
        <v>127</v>
      </c>
      <c r="AS52" s="76" t="s">
        <v>127</v>
      </c>
      <c r="AT52" s="37" t="s">
        <v>127</v>
      </c>
      <c r="AU52" s="37" t="s">
        <v>127</v>
      </c>
      <c r="AV52" s="37" t="s">
        <v>127</v>
      </c>
      <c r="AW52" s="37" t="s">
        <v>127</v>
      </c>
      <c r="AX52" s="37" t="s">
        <v>161</v>
      </c>
      <c r="AY52" s="37" t="s">
        <v>127</v>
      </c>
      <c r="AZ52" s="37" t="s">
        <v>127</v>
      </c>
      <c r="BA52" s="37" t="s">
        <v>127</v>
      </c>
      <c r="BB52" s="37" t="s">
        <v>432</v>
      </c>
      <c r="BC52" s="77" t="s">
        <v>127</v>
      </c>
      <c r="BD52" s="76" t="s">
        <v>433</v>
      </c>
      <c r="BE52" s="37">
        <v>2023</v>
      </c>
      <c r="BF52" s="86" t="s">
        <v>434</v>
      </c>
      <c r="BG52" s="39" t="s">
        <v>127</v>
      </c>
      <c r="BH52" s="39" t="s">
        <v>127</v>
      </c>
      <c r="BI52" s="40" t="b">
        <v>1</v>
      </c>
      <c r="BJ52" s="40" t="s">
        <v>137</v>
      </c>
      <c r="BK52" s="37" t="s">
        <v>137</v>
      </c>
      <c r="BL52" s="41">
        <v>1021.4855162829804</v>
      </c>
      <c r="BM52" s="41">
        <v>0</v>
      </c>
      <c r="BN52" s="41">
        <v>0</v>
      </c>
      <c r="BO52" s="41">
        <v>112.29334000000004</v>
      </c>
      <c r="BP52" s="41">
        <v>500.92352</v>
      </c>
      <c r="BQ52" s="41">
        <v>225.31996999999996</v>
      </c>
      <c r="BR52" s="41">
        <v>182.94868628298047</v>
      </c>
      <c r="BS52" s="41">
        <v>0</v>
      </c>
      <c r="BT52" s="41">
        <v>0</v>
      </c>
      <c r="BU52" s="41">
        <v>0</v>
      </c>
      <c r="BV52" s="41">
        <v>0</v>
      </c>
      <c r="BW52" s="49">
        <v>1334.8569299999999</v>
      </c>
      <c r="BX52" s="37" t="s">
        <v>127</v>
      </c>
      <c r="BY52" s="37" t="s">
        <v>127</v>
      </c>
      <c r="BZ52" s="37" t="s">
        <v>173</v>
      </c>
      <c r="CA52" s="41">
        <v>0</v>
      </c>
      <c r="CB52" s="41">
        <v>0</v>
      </c>
      <c r="CC52" s="41">
        <v>0</v>
      </c>
      <c r="CD52" s="41">
        <v>0</v>
      </c>
      <c r="CE52" s="41">
        <v>0</v>
      </c>
      <c r="CF52" s="41">
        <v>1001.6304862829804</v>
      </c>
      <c r="CG52" s="45">
        <v>0.46</v>
      </c>
      <c r="CH52" s="45">
        <v>0.46</v>
      </c>
      <c r="CI52" s="37" t="s">
        <v>127</v>
      </c>
      <c r="CJ52" s="77" t="s">
        <v>127</v>
      </c>
      <c r="CK52" s="98">
        <v>0</v>
      </c>
      <c r="CL52" s="98">
        <v>1</v>
      </c>
      <c r="CM52" s="100" t="s">
        <v>435</v>
      </c>
    </row>
    <row r="53" spans="1:91" ht="12.75" customHeight="1" x14ac:dyDescent="0.3">
      <c r="A53" s="37">
        <v>51</v>
      </c>
      <c r="B53" s="37" t="s">
        <v>436</v>
      </c>
      <c r="C53" s="124"/>
      <c r="D53" s="124"/>
      <c r="E53" s="37" t="s">
        <v>437</v>
      </c>
      <c r="F53" s="36" t="s">
        <v>438</v>
      </c>
      <c r="G53" s="81" t="s">
        <v>184</v>
      </c>
      <c r="H53" s="38" t="s">
        <v>130</v>
      </c>
      <c r="I53" s="38" t="s">
        <v>131</v>
      </c>
      <c r="J53" s="38" t="s">
        <v>127</v>
      </c>
      <c r="K53" s="38" t="s">
        <v>132</v>
      </c>
      <c r="L53" s="81" t="s">
        <v>439</v>
      </c>
      <c r="M53" s="38" t="s">
        <v>127</v>
      </c>
      <c r="N53" s="38" t="s">
        <v>127</v>
      </c>
      <c r="O53" s="76">
        <v>45425</v>
      </c>
      <c r="P53" s="37" t="s">
        <v>440</v>
      </c>
      <c r="Q53" s="37" t="s">
        <v>425</v>
      </c>
      <c r="R53" s="37" t="s">
        <v>127</v>
      </c>
      <c r="S53" s="37" t="s">
        <v>152</v>
      </c>
      <c r="T53" s="37" t="s">
        <v>127</v>
      </c>
      <c r="U53" s="37" t="s">
        <v>136</v>
      </c>
      <c r="V53" s="37" t="b">
        <v>0</v>
      </c>
      <c r="W53" s="37" t="s">
        <v>127</v>
      </c>
      <c r="X53" s="123"/>
      <c r="Y53" s="37" t="s">
        <v>127</v>
      </c>
      <c r="Z53" s="37">
        <v>6.12</v>
      </c>
      <c r="AA53" s="37">
        <v>69</v>
      </c>
      <c r="AB53" s="37" t="s">
        <v>441</v>
      </c>
      <c r="AC53" s="78">
        <v>2.1</v>
      </c>
      <c r="AD53" s="78">
        <v>5827576</v>
      </c>
      <c r="AE53" s="37" t="s">
        <v>442</v>
      </c>
      <c r="AF53" s="37">
        <v>9170</v>
      </c>
      <c r="AG53" s="37" t="s">
        <v>127</v>
      </c>
      <c r="AH53" s="37" t="b">
        <v>1</v>
      </c>
      <c r="AI53" s="76" t="s">
        <v>127</v>
      </c>
      <c r="AJ53" s="77" t="s">
        <v>142</v>
      </c>
      <c r="AK53" s="37" t="s">
        <v>127</v>
      </c>
      <c r="AL53" s="37" t="s">
        <v>127</v>
      </c>
      <c r="AM53" s="37" t="b">
        <v>0</v>
      </c>
      <c r="AN53" s="37" t="s">
        <v>127</v>
      </c>
      <c r="AO53" s="37" t="s">
        <v>127</v>
      </c>
      <c r="AP53" s="37" t="s">
        <v>137</v>
      </c>
      <c r="AQ53" s="37" t="b">
        <v>0</v>
      </c>
      <c r="AR53" s="37" t="s">
        <v>127</v>
      </c>
      <c r="AS53" s="37" t="s">
        <v>127</v>
      </c>
      <c r="AT53" s="37" t="s">
        <v>127</v>
      </c>
      <c r="AU53" s="37" t="s">
        <v>127</v>
      </c>
      <c r="AV53" s="37" t="s">
        <v>127</v>
      </c>
      <c r="AW53" s="37" t="s">
        <v>127</v>
      </c>
      <c r="AX53" s="37" t="s">
        <v>161</v>
      </c>
      <c r="AY53" s="37" t="s">
        <v>127</v>
      </c>
      <c r="AZ53" s="37" t="s">
        <v>127</v>
      </c>
      <c r="BA53" s="37" t="s">
        <v>127</v>
      </c>
      <c r="BB53" s="129" t="s">
        <v>443</v>
      </c>
      <c r="BC53" s="77" t="s">
        <v>127</v>
      </c>
      <c r="BD53" s="76" t="s">
        <v>444</v>
      </c>
      <c r="BE53" s="37">
        <v>2024</v>
      </c>
      <c r="BF53" s="86" t="s">
        <v>445</v>
      </c>
      <c r="BG53" s="39" t="s">
        <v>127</v>
      </c>
      <c r="BH53" s="39" t="s">
        <v>127</v>
      </c>
      <c r="BI53" s="40" t="b">
        <v>0</v>
      </c>
      <c r="BJ53" s="40" t="s">
        <v>137</v>
      </c>
      <c r="BK53" s="37" t="s">
        <v>137</v>
      </c>
      <c r="BL53" s="41">
        <v>2782.9629686466237</v>
      </c>
      <c r="BM53" s="41">
        <v>0</v>
      </c>
      <c r="BN53" s="41">
        <v>0</v>
      </c>
      <c r="BO53" s="41">
        <v>1668.0653299999999</v>
      </c>
      <c r="BP53" s="41">
        <v>342.20357999999993</v>
      </c>
      <c r="BQ53" s="41">
        <v>307.81473</v>
      </c>
      <c r="BR53" s="41">
        <v>241.2969828257246</v>
      </c>
      <c r="BS53" s="41">
        <v>223.58234582089977</v>
      </c>
      <c r="BT53" s="41">
        <v>0</v>
      </c>
      <c r="BU53" s="41">
        <v>0</v>
      </c>
      <c r="BV53" s="41">
        <v>0</v>
      </c>
      <c r="BW53" s="49">
        <v>2447.8000900000002</v>
      </c>
      <c r="BX53" s="37" t="s">
        <v>127</v>
      </c>
      <c r="BY53" s="37" t="s">
        <v>127</v>
      </c>
      <c r="BZ53" s="37" t="s">
        <v>127</v>
      </c>
      <c r="CA53" s="41">
        <v>0</v>
      </c>
      <c r="CB53" s="41">
        <v>0</v>
      </c>
      <c r="CC53" s="41">
        <v>0</v>
      </c>
      <c r="CD53" s="41">
        <v>0</v>
      </c>
      <c r="CE53" s="41">
        <v>0</v>
      </c>
      <c r="CF53" s="41">
        <v>0</v>
      </c>
      <c r="CG53" s="45">
        <v>0</v>
      </c>
      <c r="CH53" s="45" t="s">
        <v>137</v>
      </c>
      <c r="CI53" s="37" t="s">
        <v>127</v>
      </c>
      <c r="CJ53" s="77" t="s">
        <v>127</v>
      </c>
      <c r="CK53" s="98">
        <v>0</v>
      </c>
      <c r="CL53" s="98">
        <v>1</v>
      </c>
      <c r="CM53" s="100" t="s">
        <v>189</v>
      </c>
    </row>
    <row r="54" spans="1:91" ht="12.75" customHeight="1" x14ac:dyDescent="0.3">
      <c r="A54" s="37">
        <v>52</v>
      </c>
      <c r="B54" s="37" t="s">
        <v>446</v>
      </c>
      <c r="C54" s="124"/>
      <c r="D54" s="124"/>
      <c r="E54" s="37" t="s">
        <v>246</v>
      </c>
      <c r="F54" s="36" t="s">
        <v>447</v>
      </c>
      <c r="G54" s="81" t="s">
        <v>184</v>
      </c>
      <c r="H54" s="38" t="s">
        <v>130</v>
      </c>
      <c r="I54" s="38" t="s">
        <v>131</v>
      </c>
      <c r="J54" s="38" t="s">
        <v>127</v>
      </c>
      <c r="K54" s="38" t="s">
        <v>132</v>
      </c>
      <c r="L54" s="81" t="s">
        <v>330</v>
      </c>
      <c r="M54" s="38" t="s">
        <v>127</v>
      </c>
      <c r="N54" s="38" t="s">
        <v>127</v>
      </c>
      <c r="O54" s="76">
        <v>45419</v>
      </c>
      <c r="P54" s="37" t="s">
        <v>448</v>
      </c>
      <c r="Q54" s="37" t="s">
        <v>239</v>
      </c>
      <c r="R54" s="37" t="s">
        <v>430</v>
      </c>
      <c r="S54" s="37" t="s">
        <v>152</v>
      </c>
      <c r="T54" s="37" t="s">
        <v>315</v>
      </c>
      <c r="U54" s="37" t="s">
        <v>136</v>
      </c>
      <c r="V54" s="37" t="b">
        <v>0</v>
      </c>
      <c r="W54" s="37" t="s">
        <v>127</v>
      </c>
      <c r="X54" s="123"/>
      <c r="Y54" s="37" t="s">
        <v>127</v>
      </c>
      <c r="Z54" s="37">
        <v>10.79</v>
      </c>
      <c r="AA54" s="37">
        <v>69</v>
      </c>
      <c r="AB54" s="37" t="s">
        <v>449</v>
      </c>
      <c r="AC54" s="78">
        <v>2.1</v>
      </c>
      <c r="AD54" s="78">
        <v>5987523</v>
      </c>
      <c r="AE54" s="37" t="s">
        <v>450</v>
      </c>
      <c r="AF54" s="37">
        <v>9170</v>
      </c>
      <c r="AG54" s="37" t="s">
        <v>127</v>
      </c>
      <c r="AH54" s="37" t="b">
        <v>1</v>
      </c>
      <c r="AI54" s="76" t="s">
        <v>127</v>
      </c>
      <c r="AJ54" s="77" t="s">
        <v>142</v>
      </c>
      <c r="AK54" s="37" t="s">
        <v>127</v>
      </c>
      <c r="AL54" s="37" t="s">
        <v>127</v>
      </c>
      <c r="AM54" s="37" t="b">
        <v>0</v>
      </c>
      <c r="AN54" s="37" t="s">
        <v>127</v>
      </c>
      <c r="AO54" s="37" t="s">
        <v>127</v>
      </c>
      <c r="AP54" s="37" t="s">
        <v>137</v>
      </c>
      <c r="AQ54" s="37" t="b">
        <v>0</v>
      </c>
      <c r="AR54" s="37" t="s">
        <v>127</v>
      </c>
      <c r="AS54" s="37" t="s">
        <v>127</v>
      </c>
      <c r="AT54" s="37" t="s">
        <v>127</v>
      </c>
      <c r="AU54" s="37" t="s">
        <v>127</v>
      </c>
      <c r="AV54" s="37" t="s">
        <v>127</v>
      </c>
      <c r="AW54" s="37" t="s">
        <v>127</v>
      </c>
      <c r="AX54" s="37" t="s">
        <v>161</v>
      </c>
      <c r="AY54" s="37" t="s">
        <v>127</v>
      </c>
      <c r="AZ54" s="37" t="s">
        <v>127</v>
      </c>
      <c r="BA54" s="37" t="s">
        <v>127</v>
      </c>
      <c r="BB54" s="37" t="s">
        <v>143</v>
      </c>
      <c r="BC54" s="77" t="s">
        <v>127</v>
      </c>
      <c r="BD54" s="76" t="s">
        <v>196</v>
      </c>
      <c r="BE54" s="37">
        <v>2022</v>
      </c>
      <c r="BF54" s="86" t="s">
        <v>451</v>
      </c>
      <c r="BG54" s="39" t="s">
        <v>127</v>
      </c>
      <c r="BH54" s="39" t="s">
        <v>127</v>
      </c>
      <c r="BI54" s="40" t="b">
        <v>0</v>
      </c>
      <c r="BJ54" s="40" t="s">
        <v>137</v>
      </c>
      <c r="BK54" s="37" t="s">
        <v>137</v>
      </c>
      <c r="BL54" s="41">
        <v>9119.3011600000027</v>
      </c>
      <c r="BM54" s="41">
        <v>3457.9859899999997</v>
      </c>
      <c r="BN54" s="41">
        <v>1814.4996399999998</v>
      </c>
      <c r="BO54" s="41">
        <v>2016.3556900000003</v>
      </c>
      <c r="BP54" s="41">
        <v>1719.7093</v>
      </c>
      <c r="BQ54" s="41">
        <v>110.75053999999997</v>
      </c>
      <c r="BR54" s="41">
        <v>0</v>
      </c>
      <c r="BS54" s="41">
        <v>0</v>
      </c>
      <c r="BT54" s="41">
        <v>0</v>
      </c>
      <c r="BU54" s="41">
        <v>0</v>
      </c>
      <c r="BV54" s="41">
        <v>0</v>
      </c>
      <c r="BW54" s="49">
        <v>0</v>
      </c>
      <c r="BX54" s="37" t="s">
        <v>127</v>
      </c>
      <c r="BY54" s="37" t="s">
        <v>127</v>
      </c>
      <c r="BZ54" s="37" t="s">
        <v>364</v>
      </c>
      <c r="CA54" s="41">
        <v>0</v>
      </c>
      <c r="CB54" s="41">
        <v>0</v>
      </c>
      <c r="CC54" s="41">
        <v>8460.42</v>
      </c>
      <c r="CD54" s="41">
        <v>109.41</v>
      </c>
      <c r="CE54" s="41">
        <v>0</v>
      </c>
      <c r="CF54" s="41">
        <v>0</v>
      </c>
      <c r="CG54" s="45">
        <v>0</v>
      </c>
      <c r="CH54" s="45">
        <v>0</v>
      </c>
      <c r="CI54" s="37" t="s">
        <v>127</v>
      </c>
      <c r="CJ54" s="77" t="s">
        <v>127</v>
      </c>
      <c r="CK54" s="98">
        <v>0</v>
      </c>
      <c r="CL54" s="98">
        <v>1</v>
      </c>
      <c r="CM54" s="100" t="s">
        <v>189</v>
      </c>
    </row>
    <row r="55" spans="1:91" ht="12.75" customHeight="1" x14ac:dyDescent="0.3">
      <c r="A55" s="37">
        <v>53</v>
      </c>
      <c r="B55" s="37" t="s">
        <v>452</v>
      </c>
      <c r="C55" s="125"/>
      <c r="D55" s="123"/>
      <c r="E55" s="77" t="s">
        <v>127</v>
      </c>
      <c r="F55" s="36" t="s">
        <v>453</v>
      </c>
      <c r="G55" s="75" t="s">
        <v>159</v>
      </c>
      <c r="H55" s="37" t="s">
        <v>130</v>
      </c>
      <c r="I55" s="37" t="s">
        <v>127</v>
      </c>
      <c r="J55" s="37" t="s">
        <v>127</v>
      </c>
      <c r="K55" s="37" t="s">
        <v>132</v>
      </c>
      <c r="L55" s="75" t="s">
        <v>213</v>
      </c>
      <c r="M55" s="37" t="s">
        <v>127</v>
      </c>
      <c r="N55" s="37" t="s">
        <v>127</v>
      </c>
      <c r="O55" s="76" t="s">
        <v>127</v>
      </c>
      <c r="P55" s="37" t="s">
        <v>135</v>
      </c>
      <c r="Q55" s="37" t="s">
        <v>127</v>
      </c>
      <c r="R55" s="37" t="s">
        <v>127</v>
      </c>
      <c r="S55" s="37" t="s">
        <v>127</v>
      </c>
      <c r="T55" s="37" t="s">
        <v>127</v>
      </c>
      <c r="U55" s="37" t="s">
        <v>136</v>
      </c>
      <c r="V55" s="37" t="b">
        <v>0</v>
      </c>
      <c r="W55" s="77" t="s">
        <v>127</v>
      </c>
      <c r="X55" s="123"/>
      <c r="Y55" s="37" t="s">
        <v>137</v>
      </c>
      <c r="Z55" s="37" t="s">
        <v>137</v>
      </c>
      <c r="AA55" s="37" t="s">
        <v>454</v>
      </c>
      <c r="AB55" s="37" t="s">
        <v>127</v>
      </c>
      <c r="AC55" s="78">
        <v>4.3</v>
      </c>
      <c r="AD55" s="78" t="s">
        <v>139</v>
      </c>
      <c r="AE55" s="37" t="s">
        <v>140</v>
      </c>
      <c r="AF55" s="37">
        <v>10138</v>
      </c>
      <c r="AG55" s="37" t="s">
        <v>141</v>
      </c>
      <c r="AH55" s="37" t="b">
        <v>1</v>
      </c>
      <c r="AI55" s="76" t="s">
        <v>127</v>
      </c>
      <c r="AJ55" s="77" t="s">
        <v>142</v>
      </c>
      <c r="AK55" s="37" t="s">
        <v>127</v>
      </c>
      <c r="AL55" s="37" t="s">
        <v>127</v>
      </c>
      <c r="AM55" s="37" t="b">
        <v>0</v>
      </c>
      <c r="AN55" s="37" t="s">
        <v>127</v>
      </c>
      <c r="AO55" s="37" t="s">
        <v>127</v>
      </c>
      <c r="AP55" s="37" t="s">
        <v>137</v>
      </c>
      <c r="AQ55" s="37" t="b">
        <v>0</v>
      </c>
      <c r="AR55" s="37" t="s">
        <v>127</v>
      </c>
      <c r="AS55" s="76" t="s">
        <v>137</v>
      </c>
      <c r="AT55" s="37" t="s">
        <v>127</v>
      </c>
      <c r="AU55" s="37" t="s">
        <v>127</v>
      </c>
      <c r="AV55" s="37" t="s">
        <v>137</v>
      </c>
      <c r="AW55" s="37" t="s">
        <v>137</v>
      </c>
      <c r="AX55" s="37" t="s">
        <v>161</v>
      </c>
      <c r="AY55" s="76" t="s">
        <v>127</v>
      </c>
      <c r="AZ55" s="77" t="s">
        <v>127</v>
      </c>
      <c r="BA55" s="37" t="s">
        <v>127</v>
      </c>
      <c r="BB55" s="37" t="s">
        <v>143</v>
      </c>
      <c r="BC55" s="77" t="s">
        <v>127</v>
      </c>
      <c r="BD55" s="76" t="s">
        <v>127</v>
      </c>
      <c r="BE55" s="37" t="s">
        <v>127</v>
      </c>
      <c r="BF55" s="80" t="s">
        <v>127</v>
      </c>
      <c r="BG55" s="39" t="s">
        <v>127</v>
      </c>
      <c r="BH55" s="37" t="s">
        <v>127</v>
      </c>
      <c r="BI55" s="40" t="b">
        <v>1</v>
      </c>
      <c r="BJ55" s="40" t="s">
        <v>137</v>
      </c>
      <c r="BK55" s="37" t="s">
        <v>127</v>
      </c>
      <c r="BL55" s="110">
        <f>57315.9568918944-SUM(BL56:BL59)</f>
        <v>13639.069324392804</v>
      </c>
      <c r="BM55" s="110">
        <f>7623.382043518-SUM(BM56:BM59)</f>
        <v>407.59217032599918</v>
      </c>
      <c r="BN55" s="110">
        <f>7064.048622565-SUM(BN56:BN59)</f>
        <v>84.410732390003432</v>
      </c>
      <c r="BO55" s="110">
        <f>7502.311632524-SUM(BO56:BO59)</f>
        <v>639.66696163800043</v>
      </c>
      <c r="BP55" s="110">
        <f>2615.003409086-SUM(BP56:BP59)</f>
        <v>-147.85523103000014</v>
      </c>
      <c r="BQ55" s="110">
        <f>2838.05013020704-SUM(BQ56:BQ59)</f>
        <v>97.865149995040611</v>
      </c>
      <c r="BR55" s="110">
        <f>2276.99281917016-SUM(BR56:BR59)</f>
        <v>1175.1527708485107</v>
      </c>
      <c r="BS55" s="110">
        <f>2511.36295916802-SUM(BS56:BS59)</f>
        <v>2511.3629591680201</v>
      </c>
      <c r="BT55" s="110">
        <f>3823.8787469109-SUM(BT56:BT59)</f>
        <v>2960.0802051609003</v>
      </c>
      <c r="BU55" s="110">
        <f>4745.33157241929-SUM(BU56:BU59)</f>
        <v>3593.6001834192898</v>
      </c>
      <c r="BV55" s="110">
        <f>4681.2839868199-SUM(BV56:BV59)</f>
        <v>3683.1177659478999</v>
      </c>
      <c r="BW55" s="111">
        <f>6639.21195-SUM(BW56:BW59)</f>
        <v>169.68886999999904</v>
      </c>
      <c r="BX55" s="37" t="s">
        <v>127</v>
      </c>
      <c r="BY55" s="37" t="s">
        <v>127</v>
      </c>
      <c r="BZ55" s="37" t="s">
        <v>455</v>
      </c>
      <c r="CA55" s="41">
        <v>248.68092000000001</v>
      </c>
      <c r="CB55" s="41">
        <v>11.55</v>
      </c>
      <c r="CC55" s="41">
        <v>0</v>
      </c>
      <c r="CD55" s="41">
        <v>1011.96</v>
      </c>
      <c r="CE55" s="41">
        <v>0</v>
      </c>
      <c r="CF55" s="110">
        <f>8012.44804417881-SUM(CF56:CF59)</f>
        <v>1087.4054260111607</v>
      </c>
      <c r="CG55" s="45">
        <v>0</v>
      </c>
      <c r="CH55" s="45" t="s">
        <v>137</v>
      </c>
      <c r="CI55" s="37" t="s">
        <v>127</v>
      </c>
      <c r="CJ55" s="77" t="s">
        <v>127</v>
      </c>
      <c r="CK55" s="98">
        <v>0.18140000000000001</v>
      </c>
      <c r="CL55" s="98">
        <v>0.81859999999999999</v>
      </c>
      <c r="CM55" s="100" t="s">
        <v>386</v>
      </c>
    </row>
    <row r="56" spans="1:91" ht="12.75" customHeight="1" x14ac:dyDescent="0.3">
      <c r="A56" s="37">
        <v>54</v>
      </c>
      <c r="B56" s="37" t="s">
        <v>456</v>
      </c>
      <c r="C56" s="124"/>
      <c r="D56" s="124"/>
      <c r="E56" s="37" t="s">
        <v>457</v>
      </c>
      <c r="F56" s="36" t="s">
        <v>458</v>
      </c>
      <c r="G56" s="81" t="s">
        <v>352</v>
      </c>
      <c r="H56" s="37" t="s">
        <v>131</v>
      </c>
      <c r="I56" s="37" t="s">
        <v>127</v>
      </c>
      <c r="J56" s="37" t="s">
        <v>127</v>
      </c>
      <c r="K56" s="37" t="s">
        <v>132</v>
      </c>
      <c r="L56" s="75" t="s">
        <v>345</v>
      </c>
      <c r="M56" s="37" t="s">
        <v>127</v>
      </c>
      <c r="N56" s="37" t="s">
        <v>127</v>
      </c>
      <c r="O56" s="76">
        <v>45364</v>
      </c>
      <c r="P56" s="37" t="s">
        <v>135</v>
      </c>
      <c r="Q56" s="37" t="s">
        <v>127</v>
      </c>
      <c r="R56" s="37" t="s">
        <v>127</v>
      </c>
      <c r="S56" s="37" t="s">
        <v>127</v>
      </c>
      <c r="T56" s="37" t="s">
        <v>127</v>
      </c>
      <c r="U56" s="37" t="s">
        <v>136</v>
      </c>
      <c r="V56" s="37" t="b">
        <v>0</v>
      </c>
      <c r="W56" s="77" t="s">
        <v>127</v>
      </c>
      <c r="X56" s="123"/>
      <c r="Y56" s="37" t="s">
        <v>127</v>
      </c>
      <c r="Z56" s="37">
        <v>1.2</v>
      </c>
      <c r="AA56" s="37">
        <v>69</v>
      </c>
      <c r="AB56" s="37" t="s">
        <v>127</v>
      </c>
      <c r="AC56" s="78">
        <v>4.3</v>
      </c>
      <c r="AD56" s="78">
        <v>5120334</v>
      </c>
      <c r="AE56" s="37" t="s">
        <v>459</v>
      </c>
      <c r="AF56" s="37">
        <v>10138</v>
      </c>
      <c r="AG56" s="37" t="s">
        <v>127</v>
      </c>
      <c r="AH56" s="37" t="b">
        <v>1</v>
      </c>
      <c r="AI56" s="76" t="s">
        <v>127</v>
      </c>
      <c r="AJ56" s="77" t="s">
        <v>142</v>
      </c>
      <c r="AK56" s="37" t="s">
        <v>127</v>
      </c>
      <c r="AL56" s="37" t="s">
        <v>127</v>
      </c>
      <c r="AM56" s="37" t="b">
        <v>0</v>
      </c>
      <c r="AN56" s="37" t="s">
        <v>127</v>
      </c>
      <c r="AO56" s="37" t="s">
        <v>127</v>
      </c>
      <c r="AP56" s="37" t="s">
        <v>127</v>
      </c>
      <c r="AQ56" s="37" t="b">
        <v>0</v>
      </c>
      <c r="AR56" s="37" t="s">
        <v>127</v>
      </c>
      <c r="AS56" s="76" t="s">
        <v>137</v>
      </c>
      <c r="AT56" s="37" t="s">
        <v>127</v>
      </c>
      <c r="AU56" s="37" t="s">
        <v>127</v>
      </c>
      <c r="AV56" s="37" t="s">
        <v>137</v>
      </c>
      <c r="AW56" s="37" t="s">
        <v>137</v>
      </c>
      <c r="AX56" s="37" t="s">
        <v>161</v>
      </c>
      <c r="AY56" s="76" t="s">
        <v>127</v>
      </c>
      <c r="AZ56" s="77" t="s">
        <v>127</v>
      </c>
      <c r="BA56" s="37" t="s">
        <v>127</v>
      </c>
      <c r="BB56" s="37" t="s">
        <v>460</v>
      </c>
      <c r="BC56" s="77" t="s">
        <v>127</v>
      </c>
      <c r="BD56" s="76" t="s">
        <v>461</v>
      </c>
      <c r="BE56" s="37" t="s">
        <v>127</v>
      </c>
      <c r="BF56" s="86" t="s">
        <v>462</v>
      </c>
      <c r="BG56" s="39" t="s">
        <v>127</v>
      </c>
      <c r="BH56" s="37" t="s">
        <v>127</v>
      </c>
      <c r="BI56" s="40" t="b">
        <v>1</v>
      </c>
      <c r="BJ56" s="40" t="s">
        <v>137</v>
      </c>
      <c r="BK56" s="37" t="s">
        <v>137</v>
      </c>
      <c r="BL56" s="41">
        <v>10268.00027096936</v>
      </c>
      <c r="BM56" s="41">
        <v>0</v>
      </c>
      <c r="BN56" s="41">
        <v>0</v>
      </c>
      <c r="BO56" s="41">
        <v>0</v>
      </c>
      <c r="BP56" s="41">
        <v>0</v>
      </c>
      <c r="BQ56" s="41">
        <v>2.0824099999999999</v>
      </c>
      <c r="BR56" s="41">
        <v>179.61759586640179</v>
      </c>
      <c r="BS56" s="41">
        <v>0</v>
      </c>
      <c r="BT56" s="110">
        <v>0</v>
      </c>
      <c r="BU56" s="110">
        <v>0</v>
      </c>
      <c r="BV56" s="110">
        <v>0</v>
      </c>
      <c r="BW56" s="49">
        <v>36.696849999999998</v>
      </c>
      <c r="BX56" s="37" t="s">
        <v>127</v>
      </c>
      <c r="BY56" s="37" t="s">
        <v>127</v>
      </c>
      <c r="BZ56" s="37" t="s">
        <v>173</v>
      </c>
      <c r="CA56" s="41">
        <v>0</v>
      </c>
      <c r="CB56" s="41">
        <v>0</v>
      </c>
      <c r="CC56" s="41">
        <v>0</v>
      </c>
      <c r="CD56" s="41">
        <v>0</v>
      </c>
      <c r="CE56" s="41">
        <v>0</v>
      </c>
      <c r="CF56" s="41">
        <v>181.7000058664018</v>
      </c>
      <c r="CG56" s="45">
        <v>0</v>
      </c>
      <c r="CH56" s="45" t="s">
        <v>137</v>
      </c>
      <c r="CI56" s="37" t="s">
        <v>127</v>
      </c>
      <c r="CJ56" s="77" t="s">
        <v>127</v>
      </c>
      <c r="CK56" s="98">
        <v>0.18140000000000001</v>
      </c>
      <c r="CL56" s="98">
        <v>0.81859999999999999</v>
      </c>
      <c r="CM56" s="100" t="s">
        <v>463</v>
      </c>
    </row>
    <row r="57" spans="1:91" ht="12.75" customHeight="1" x14ac:dyDescent="0.3">
      <c r="A57" s="37">
        <v>55</v>
      </c>
      <c r="B57" s="37" t="s">
        <v>464</v>
      </c>
      <c r="C57" s="124"/>
      <c r="D57" s="124"/>
      <c r="E57" s="37" t="s">
        <v>377</v>
      </c>
      <c r="F57" s="36" t="s">
        <v>465</v>
      </c>
      <c r="G57" s="81" t="s">
        <v>352</v>
      </c>
      <c r="H57" s="37" t="s">
        <v>131</v>
      </c>
      <c r="I57" s="37" t="s">
        <v>127</v>
      </c>
      <c r="J57" s="37" t="s">
        <v>127</v>
      </c>
      <c r="K57" s="37" t="s">
        <v>132</v>
      </c>
      <c r="L57" s="75" t="s">
        <v>345</v>
      </c>
      <c r="M57" s="37" t="s">
        <v>127</v>
      </c>
      <c r="N57" s="37" t="s">
        <v>127</v>
      </c>
      <c r="O57" s="76" t="s">
        <v>127</v>
      </c>
      <c r="P57" s="37" t="s">
        <v>135</v>
      </c>
      <c r="Q57" s="37" t="s">
        <v>127</v>
      </c>
      <c r="R57" s="37" t="s">
        <v>127</v>
      </c>
      <c r="S57" s="37" t="s">
        <v>127</v>
      </c>
      <c r="T57" s="37" t="s">
        <v>127</v>
      </c>
      <c r="U57" s="37" t="s">
        <v>136</v>
      </c>
      <c r="V57" s="37" t="b">
        <v>0</v>
      </c>
      <c r="W57" s="77" t="s">
        <v>127</v>
      </c>
      <c r="X57" s="123"/>
      <c r="Y57" s="37" t="s">
        <v>127</v>
      </c>
      <c r="Z57" s="37" t="s">
        <v>127</v>
      </c>
      <c r="AA57" s="37" t="s">
        <v>347</v>
      </c>
      <c r="AB57" s="37" t="s">
        <v>127</v>
      </c>
      <c r="AC57" s="78">
        <v>4.3</v>
      </c>
      <c r="AD57" s="78">
        <v>5419736</v>
      </c>
      <c r="AE57" s="37" t="s">
        <v>466</v>
      </c>
      <c r="AF57" s="37">
        <v>10138</v>
      </c>
      <c r="AG57" s="37" t="s">
        <v>127</v>
      </c>
      <c r="AH57" s="37" t="b">
        <v>1</v>
      </c>
      <c r="AI57" s="76" t="s">
        <v>127</v>
      </c>
      <c r="AJ57" s="77" t="s">
        <v>142</v>
      </c>
      <c r="AK57" s="37" t="s">
        <v>127</v>
      </c>
      <c r="AL57" s="37" t="s">
        <v>127</v>
      </c>
      <c r="AM57" s="37" t="b">
        <v>0</v>
      </c>
      <c r="AN57" s="37" t="s">
        <v>127</v>
      </c>
      <c r="AO57" s="37" t="s">
        <v>127</v>
      </c>
      <c r="AP57" s="37" t="s">
        <v>127</v>
      </c>
      <c r="AQ57" s="37" t="b">
        <v>0</v>
      </c>
      <c r="AR57" s="37" t="s">
        <v>127</v>
      </c>
      <c r="AS57" s="76" t="s">
        <v>137</v>
      </c>
      <c r="AT57" s="37" t="s">
        <v>127</v>
      </c>
      <c r="AU57" s="37" t="s">
        <v>127</v>
      </c>
      <c r="AV57" s="37" t="s">
        <v>137</v>
      </c>
      <c r="AW57" s="37" t="s">
        <v>137</v>
      </c>
      <c r="AX57" s="37" t="s">
        <v>161</v>
      </c>
      <c r="AY57" s="76" t="s">
        <v>127</v>
      </c>
      <c r="AZ57" s="77" t="s">
        <v>127</v>
      </c>
      <c r="BA57" s="37" t="s">
        <v>127</v>
      </c>
      <c r="BB57" s="37" t="s">
        <v>170</v>
      </c>
      <c r="BC57" s="77" t="s">
        <v>127</v>
      </c>
      <c r="BD57" s="76" t="s">
        <v>467</v>
      </c>
      <c r="BE57" s="37" t="s">
        <v>127</v>
      </c>
      <c r="BF57" s="86" t="s">
        <v>468</v>
      </c>
      <c r="BG57" s="39" t="s">
        <v>127</v>
      </c>
      <c r="BH57" s="37" t="s">
        <v>127</v>
      </c>
      <c r="BI57" s="40" t="b">
        <v>1</v>
      </c>
      <c r="BJ57" s="40" t="s">
        <v>137</v>
      </c>
      <c r="BK57" s="37" t="s">
        <v>137</v>
      </c>
      <c r="BL57" s="41">
        <v>6431.6070498600984</v>
      </c>
      <c r="BM57" s="41">
        <v>0</v>
      </c>
      <c r="BN57" s="41">
        <v>0</v>
      </c>
      <c r="BO57" s="41">
        <v>674.99860999999999</v>
      </c>
      <c r="BP57" s="41">
        <v>2679.2700696340003</v>
      </c>
      <c r="BQ57" s="41">
        <v>2462.7281402119993</v>
      </c>
      <c r="BR57" s="41">
        <v>614.61023001409546</v>
      </c>
      <c r="BS57" s="41">
        <v>0</v>
      </c>
      <c r="BT57" s="41">
        <v>0</v>
      </c>
      <c r="BU57" s="41">
        <v>0</v>
      </c>
      <c r="BV57" s="41">
        <v>0</v>
      </c>
      <c r="BW57" s="49">
        <v>6412.1952700000002</v>
      </c>
      <c r="BX57" s="37" t="s">
        <v>127</v>
      </c>
      <c r="BY57" s="37" t="s">
        <v>127</v>
      </c>
      <c r="BZ57" s="37" t="s">
        <v>173</v>
      </c>
      <c r="CA57" s="41">
        <v>0</v>
      </c>
      <c r="CB57" s="41">
        <v>0</v>
      </c>
      <c r="CC57" s="41">
        <v>0</v>
      </c>
      <c r="CD57" s="41">
        <v>0</v>
      </c>
      <c r="CE57" s="41">
        <v>0</v>
      </c>
      <c r="CF57" s="41">
        <v>6431.6070498600948</v>
      </c>
      <c r="CG57" s="45">
        <v>0</v>
      </c>
      <c r="CH57" s="45" t="s">
        <v>137</v>
      </c>
      <c r="CI57" s="37" t="s">
        <v>127</v>
      </c>
      <c r="CJ57" s="77" t="s">
        <v>127</v>
      </c>
      <c r="CK57" s="98">
        <v>0.18140000000000001</v>
      </c>
      <c r="CL57" s="98">
        <v>0.81859999999999999</v>
      </c>
      <c r="CM57" s="100" t="s">
        <v>386</v>
      </c>
    </row>
    <row r="58" spans="1:91" ht="12.75" customHeight="1" x14ac:dyDescent="0.3">
      <c r="A58" s="37">
        <v>56</v>
      </c>
      <c r="B58" s="37" t="s">
        <v>469</v>
      </c>
      <c r="C58" s="124"/>
      <c r="D58" s="124"/>
      <c r="E58" s="37" t="s">
        <v>258</v>
      </c>
      <c r="F58" s="36" t="s">
        <v>470</v>
      </c>
      <c r="G58" s="81" t="s">
        <v>352</v>
      </c>
      <c r="H58" s="37" t="s">
        <v>131</v>
      </c>
      <c r="I58" s="37" t="s">
        <v>127</v>
      </c>
      <c r="J58" s="37" t="s">
        <v>127</v>
      </c>
      <c r="K58" s="37" t="s">
        <v>132</v>
      </c>
      <c r="L58" s="75" t="s">
        <v>345</v>
      </c>
      <c r="M58" s="37" t="s">
        <v>127</v>
      </c>
      <c r="N58" s="37" t="s">
        <v>127</v>
      </c>
      <c r="O58" s="76">
        <v>45384</v>
      </c>
      <c r="P58" s="37" t="s">
        <v>135</v>
      </c>
      <c r="Q58" s="37" t="s">
        <v>127</v>
      </c>
      <c r="R58" s="37" t="s">
        <v>127</v>
      </c>
      <c r="S58" s="37" t="s">
        <v>127</v>
      </c>
      <c r="T58" s="37" t="s">
        <v>127</v>
      </c>
      <c r="U58" s="37" t="s">
        <v>136</v>
      </c>
      <c r="V58" s="37" t="b">
        <v>0</v>
      </c>
      <c r="W58" s="77" t="s">
        <v>127</v>
      </c>
      <c r="X58" s="123"/>
      <c r="Y58" s="37" t="s">
        <v>127</v>
      </c>
      <c r="Z58" s="37">
        <v>1.73</v>
      </c>
      <c r="AA58" s="37">
        <v>69</v>
      </c>
      <c r="AB58" s="37" t="s">
        <v>127</v>
      </c>
      <c r="AC58" s="78">
        <v>4.3</v>
      </c>
      <c r="AD58" s="78">
        <v>5818108</v>
      </c>
      <c r="AE58" s="37" t="s">
        <v>471</v>
      </c>
      <c r="AF58" s="37">
        <v>10138</v>
      </c>
      <c r="AG58" s="37" t="s">
        <v>127</v>
      </c>
      <c r="AH58" s="37" t="b">
        <v>1</v>
      </c>
      <c r="AI58" s="76" t="s">
        <v>127</v>
      </c>
      <c r="AJ58" s="77" t="s">
        <v>142</v>
      </c>
      <c r="AK58" s="37" t="s">
        <v>127</v>
      </c>
      <c r="AL58" s="37" t="s">
        <v>127</v>
      </c>
      <c r="AM58" s="37" t="b">
        <v>0</v>
      </c>
      <c r="AN58" s="37" t="s">
        <v>127</v>
      </c>
      <c r="AO58" s="37" t="s">
        <v>127</v>
      </c>
      <c r="AP58" s="37" t="s">
        <v>127</v>
      </c>
      <c r="AQ58" s="37" t="b">
        <v>0</v>
      </c>
      <c r="AR58" s="37" t="s">
        <v>127</v>
      </c>
      <c r="AS58" s="76" t="s">
        <v>137</v>
      </c>
      <c r="AT58" s="37" t="s">
        <v>127</v>
      </c>
      <c r="AU58" s="37" t="s">
        <v>127</v>
      </c>
      <c r="AV58" s="37" t="s">
        <v>137</v>
      </c>
      <c r="AW58" s="37" t="s">
        <v>137</v>
      </c>
      <c r="AX58" s="37" t="s">
        <v>161</v>
      </c>
      <c r="AY58" s="76" t="s">
        <v>127</v>
      </c>
      <c r="AZ58" s="77" t="s">
        <v>127</v>
      </c>
      <c r="BA58" s="37" t="s">
        <v>127</v>
      </c>
      <c r="BB58" s="37" t="s">
        <v>170</v>
      </c>
      <c r="BC58" s="77" t="s">
        <v>127</v>
      </c>
      <c r="BD58" s="76" t="s">
        <v>472</v>
      </c>
      <c r="BE58" s="37" t="s">
        <v>127</v>
      </c>
      <c r="BF58" s="86" t="s">
        <v>473</v>
      </c>
      <c r="BG58" s="39" t="s">
        <v>127</v>
      </c>
      <c r="BH58" s="37" t="s">
        <v>127</v>
      </c>
      <c r="BI58" s="40" t="b">
        <v>1</v>
      </c>
      <c r="BJ58" s="40" t="s">
        <v>137</v>
      </c>
      <c r="BK58" s="37" t="s">
        <v>137</v>
      </c>
      <c r="BL58" s="41">
        <v>3297.7305740631505</v>
      </c>
      <c r="BM58" s="41">
        <v>0</v>
      </c>
      <c r="BN58" s="41">
        <v>0</v>
      </c>
      <c r="BO58" s="41">
        <v>0</v>
      </c>
      <c r="BP58" s="41">
        <v>0</v>
      </c>
      <c r="BQ58" s="41">
        <v>4.1233399999999998</v>
      </c>
      <c r="BR58" s="41">
        <v>279.91108244115242</v>
      </c>
      <c r="BS58" s="41">
        <v>0</v>
      </c>
      <c r="BT58" s="41">
        <v>863.79854175000003</v>
      </c>
      <c r="BU58" s="41">
        <v>1151.731389</v>
      </c>
      <c r="BV58" s="41">
        <v>998.16622087199994</v>
      </c>
      <c r="BW58" s="49">
        <v>20.630960000000002</v>
      </c>
      <c r="BX58" s="37" t="s">
        <v>127</v>
      </c>
      <c r="BY58" s="37" t="s">
        <v>127</v>
      </c>
      <c r="BZ58" s="37" t="s">
        <v>173</v>
      </c>
      <c r="CA58" s="41">
        <v>0</v>
      </c>
      <c r="CB58" s="41">
        <v>0</v>
      </c>
      <c r="CC58" s="41">
        <v>0</v>
      </c>
      <c r="CD58" s="41">
        <v>0</v>
      </c>
      <c r="CE58" s="41">
        <v>0</v>
      </c>
      <c r="CF58" s="41">
        <v>284.03442244115246</v>
      </c>
      <c r="CG58" s="45">
        <v>0</v>
      </c>
      <c r="CH58" s="45" t="s">
        <v>137</v>
      </c>
      <c r="CI58" s="37" t="s">
        <v>127</v>
      </c>
      <c r="CJ58" s="77" t="s">
        <v>127</v>
      </c>
      <c r="CK58" s="98">
        <v>0.18140000000000001</v>
      </c>
      <c r="CL58" s="98">
        <v>0.81859999999999999</v>
      </c>
      <c r="CM58" s="100" t="s">
        <v>474</v>
      </c>
    </row>
    <row r="59" spans="1:91" ht="12.75" customHeight="1" x14ac:dyDescent="0.3">
      <c r="A59" s="37">
        <v>57</v>
      </c>
      <c r="B59" s="37" t="s">
        <v>475</v>
      </c>
      <c r="C59" s="125"/>
      <c r="D59" s="123"/>
      <c r="E59" s="37" t="s">
        <v>127</v>
      </c>
      <c r="F59" s="36" t="s">
        <v>465</v>
      </c>
      <c r="G59" s="81" t="s">
        <v>352</v>
      </c>
      <c r="H59" s="37" t="s">
        <v>131</v>
      </c>
      <c r="I59" s="37" t="s">
        <v>127</v>
      </c>
      <c r="J59" s="37" t="s">
        <v>127</v>
      </c>
      <c r="K59" s="37" t="s">
        <v>132</v>
      </c>
      <c r="L59" s="75" t="s">
        <v>345</v>
      </c>
      <c r="M59" s="37" t="s">
        <v>127</v>
      </c>
      <c r="N59" s="37" t="s">
        <v>127</v>
      </c>
      <c r="O59" s="76" t="s">
        <v>127</v>
      </c>
      <c r="P59" s="37" t="s">
        <v>135</v>
      </c>
      <c r="Q59" s="37" t="s">
        <v>127</v>
      </c>
      <c r="R59" s="37" t="s">
        <v>127</v>
      </c>
      <c r="S59" s="37" t="s">
        <v>127</v>
      </c>
      <c r="T59" s="37" t="s">
        <v>137</v>
      </c>
      <c r="U59" s="37" t="s">
        <v>136</v>
      </c>
      <c r="V59" s="37" t="b">
        <v>0</v>
      </c>
      <c r="W59" s="77" t="s">
        <v>127</v>
      </c>
      <c r="X59" s="123"/>
      <c r="Y59" s="37" t="s">
        <v>127</v>
      </c>
      <c r="Z59" s="37" t="s">
        <v>127</v>
      </c>
      <c r="AA59" s="37" t="s">
        <v>347</v>
      </c>
      <c r="AB59" s="37" t="s">
        <v>127</v>
      </c>
      <c r="AC59" s="78">
        <v>4.3</v>
      </c>
      <c r="AD59" s="78">
        <v>5982698</v>
      </c>
      <c r="AE59" s="37" t="s">
        <v>476</v>
      </c>
      <c r="AF59" s="37">
        <v>10138</v>
      </c>
      <c r="AG59" s="37" t="s">
        <v>127</v>
      </c>
      <c r="AH59" s="37" t="b">
        <v>1</v>
      </c>
      <c r="AI59" s="76" t="s">
        <v>127</v>
      </c>
      <c r="AJ59" s="77" t="s">
        <v>142</v>
      </c>
      <c r="AK59" s="37" t="s">
        <v>127</v>
      </c>
      <c r="AL59" s="37" t="s">
        <v>127</v>
      </c>
      <c r="AM59" s="37" t="b">
        <v>0</v>
      </c>
      <c r="AN59" s="37" t="s">
        <v>127</v>
      </c>
      <c r="AO59" s="37" t="s">
        <v>127</v>
      </c>
      <c r="AP59" s="37" t="s">
        <v>127</v>
      </c>
      <c r="AQ59" s="37" t="b">
        <v>0</v>
      </c>
      <c r="AR59" s="37" t="s">
        <v>127</v>
      </c>
      <c r="AS59" s="76" t="s">
        <v>137</v>
      </c>
      <c r="AT59" s="37" t="s">
        <v>127</v>
      </c>
      <c r="AU59" s="37" t="s">
        <v>127</v>
      </c>
      <c r="AV59" s="37" t="s">
        <v>137</v>
      </c>
      <c r="AW59" s="37" t="s">
        <v>137</v>
      </c>
      <c r="AX59" s="37" t="s">
        <v>161</v>
      </c>
      <c r="AY59" s="76" t="s">
        <v>127</v>
      </c>
      <c r="AZ59" s="77" t="s">
        <v>127</v>
      </c>
      <c r="BA59" s="37" t="s">
        <v>127</v>
      </c>
      <c r="BB59" s="37" t="s">
        <v>396</v>
      </c>
      <c r="BC59" s="77" t="s">
        <v>127</v>
      </c>
      <c r="BD59" s="37" t="s">
        <v>477</v>
      </c>
      <c r="BE59" s="37" t="s">
        <v>127</v>
      </c>
      <c r="BF59" s="37" t="s">
        <v>478</v>
      </c>
      <c r="BG59" s="39" t="s">
        <v>127</v>
      </c>
      <c r="BH59" s="37" t="s">
        <v>127</v>
      </c>
      <c r="BI59" s="40" t="b">
        <v>1</v>
      </c>
      <c r="BJ59" s="40" t="s">
        <v>137</v>
      </c>
      <c r="BK59" s="37" t="s">
        <v>137</v>
      </c>
      <c r="BL59" s="41">
        <v>23679.549672608988</v>
      </c>
      <c r="BM59" s="41">
        <v>7215.7898731920004</v>
      </c>
      <c r="BN59" s="41">
        <v>6979.6378901749968</v>
      </c>
      <c r="BO59" s="41">
        <v>6187.6460608859998</v>
      </c>
      <c r="BP59" s="41">
        <v>83.588570481999966</v>
      </c>
      <c r="BQ59" s="41">
        <v>271.25108999999998</v>
      </c>
      <c r="BR59" s="41">
        <v>27.701140000000002</v>
      </c>
      <c r="BS59" s="41">
        <v>0</v>
      </c>
      <c r="BT59" s="41">
        <v>0</v>
      </c>
      <c r="BU59" s="41">
        <v>0</v>
      </c>
      <c r="BV59" s="41">
        <v>0</v>
      </c>
      <c r="BW59" s="49">
        <v>0</v>
      </c>
      <c r="BX59" s="37" t="s">
        <v>127</v>
      </c>
      <c r="BY59" s="37" t="s">
        <v>127</v>
      </c>
      <c r="BZ59" s="37" t="s">
        <v>479</v>
      </c>
      <c r="CA59" s="41">
        <v>0</v>
      </c>
      <c r="CB59" s="41">
        <v>23297.22</v>
      </c>
      <c r="CC59" s="41">
        <v>32.61</v>
      </c>
      <c r="CD59" s="41">
        <v>271.25</v>
      </c>
      <c r="CE59" s="41">
        <v>125.73</v>
      </c>
      <c r="CF59" s="41">
        <v>27.701140000000002</v>
      </c>
      <c r="CG59" s="45">
        <v>0</v>
      </c>
      <c r="CH59" s="45" t="s">
        <v>137</v>
      </c>
      <c r="CI59" s="37" t="s">
        <v>127</v>
      </c>
      <c r="CJ59" s="77" t="s">
        <v>127</v>
      </c>
      <c r="CK59" s="98">
        <v>0.18140000000000001</v>
      </c>
      <c r="CL59" s="98">
        <v>0.81859999999999999</v>
      </c>
      <c r="CM59" s="100" t="s">
        <v>386</v>
      </c>
    </row>
    <row r="60" spans="1:91" ht="12.75" customHeight="1" x14ac:dyDescent="0.3">
      <c r="A60" s="37">
        <v>58</v>
      </c>
      <c r="B60" s="37" t="s">
        <v>480</v>
      </c>
      <c r="C60" s="125"/>
      <c r="D60" s="123"/>
      <c r="E60" s="77" t="s">
        <v>127</v>
      </c>
      <c r="F60" s="36" t="s">
        <v>481</v>
      </c>
      <c r="G60" s="75" t="s">
        <v>148</v>
      </c>
      <c r="H60" s="37" t="s">
        <v>131</v>
      </c>
      <c r="I60" s="37" t="s">
        <v>127</v>
      </c>
      <c r="J60" s="37" t="s">
        <v>127</v>
      </c>
      <c r="K60" s="37" t="s">
        <v>132</v>
      </c>
      <c r="L60" s="75" t="s">
        <v>229</v>
      </c>
      <c r="M60" s="37" t="s">
        <v>127</v>
      </c>
      <c r="N60" s="37" t="s">
        <v>127</v>
      </c>
      <c r="O60" s="76" t="s">
        <v>127</v>
      </c>
      <c r="P60" s="37" t="s">
        <v>135</v>
      </c>
      <c r="Q60" s="37" t="s">
        <v>482</v>
      </c>
      <c r="R60" s="37" t="s">
        <v>127</v>
      </c>
      <c r="S60" s="37" t="s">
        <v>127</v>
      </c>
      <c r="T60" s="37" t="s">
        <v>137</v>
      </c>
      <c r="U60" s="37" t="s">
        <v>136</v>
      </c>
      <c r="V60" s="37" t="b">
        <v>0</v>
      </c>
      <c r="W60" s="77" t="s">
        <v>127</v>
      </c>
      <c r="X60" s="123"/>
      <c r="Y60" s="37" t="s">
        <v>137</v>
      </c>
      <c r="Z60" s="37" t="s">
        <v>137</v>
      </c>
      <c r="AA60" s="37">
        <v>500</v>
      </c>
      <c r="AB60" s="37" t="s">
        <v>348</v>
      </c>
      <c r="AC60" s="78">
        <v>4.3</v>
      </c>
      <c r="AD60" s="78" t="s">
        <v>139</v>
      </c>
      <c r="AE60" s="37" t="s">
        <v>140</v>
      </c>
      <c r="AF60" s="37">
        <v>12129</v>
      </c>
      <c r="AG60" s="37" t="s">
        <v>141</v>
      </c>
      <c r="AH60" s="37" t="b">
        <v>1</v>
      </c>
      <c r="AI60" s="76" t="s">
        <v>127</v>
      </c>
      <c r="AJ60" s="77" t="s">
        <v>142</v>
      </c>
      <c r="AK60" s="37" t="s">
        <v>127</v>
      </c>
      <c r="AL60" s="37" t="s">
        <v>127</v>
      </c>
      <c r="AM60" s="37" t="b">
        <v>0</v>
      </c>
      <c r="AN60" s="37" t="s">
        <v>127</v>
      </c>
      <c r="AO60" s="37" t="s">
        <v>127</v>
      </c>
      <c r="AP60" s="37" t="s">
        <v>137</v>
      </c>
      <c r="AQ60" s="37" t="b">
        <v>0</v>
      </c>
      <c r="AR60" s="37" t="s">
        <v>127</v>
      </c>
      <c r="AS60" s="76" t="s">
        <v>137</v>
      </c>
      <c r="AT60" s="37" t="s">
        <v>127</v>
      </c>
      <c r="AU60" s="37" t="s">
        <v>127</v>
      </c>
      <c r="AV60" s="37" t="s">
        <v>137</v>
      </c>
      <c r="AW60" s="37" t="s">
        <v>137</v>
      </c>
      <c r="AX60" s="37" t="s">
        <v>161</v>
      </c>
      <c r="AY60" s="76" t="s">
        <v>127</v>
      </c>
      <c r="AZ60" s="77" t="s">
        <v>127</v>
      </c>
      <c r="BA60" s="37" t="s">
        <v>127</v>
      </c>
      <c r="BB60" s="37" t="s">
        <v>143</v>
      </c>
      <c r="BC60" s="77" t="s">
        <v>127</v>
      </c>
      <c r="BD60" s="76" t="s">
        <v>127</v>
      </c>
      <c r="BE60" s="37" t="s">
        <v>127</v>
      </c>
      <c r="BF60" s="80" t="s">
        <v>127</v>
      </c>
      <c r="BG60" s="39" t="s">
        <v>127</v>
      </c>
      <c r="BH60" s="37" t="s">
        <v>127</v>
      </c>
      <c r="BI60" s="40" t="b">
        <v>0</v>
      </c>
      <c r="BJ60" s="40" t="s">
        <v>137</v>
      </c>
      <c r="BK60" s="37" t="s">
        <v>137</v>
      </c>
      <c r="BL60" s="110">
        <f>1850.634412105-BL61</f>
        <v>815.86232210499998</v>
      </c>
      <c r="BM60" s="110">
        <f>461.650253104-BM61</f>
        <v>22.213813104000053</v>
      </c>
      <c r="BN60" s="110">
        <f>478.602614465-BN61</f>
        <v>11.447064465000039</v>
      </c>
      <c r="BO60" s="110">
        <f>550.84532-BO61</f>
        <v>422.66521999999998</v>
      </c>
      <c r="BP60" s="110">
        <f>81.13144-BP61</f>
        <v>81.131439999999998</v>
      </c>
      <c r="BQ60" s="110">
        <f>7.09308-BQ61</f>
        <v>7.0930799999999996</v>
      </c>
      <c r="BR60" s="110">
        <f t="shared" ref="BR60:BW60" si="0">0-BR61</f>
        <v>0</v>
      </c>
      <c r="BS60" s="110">
        <f t="shared" si="0"/>
        <v>0</v>
      </c>
      <c r="BT60" s="110">
        <f t="shared" si="0"/>
        <v>0</v>
      </c>
      <c r="BU60" s="110">
        <f t="shared" si="0"/>
        <v>0</v>
      </c>
      <c r="BV60" s="110">
        <f t="shared" si="0"/>
        <v>0</v>
      </c>
      <c r="BW60" s="110">
        <f t="shared" si="0"/>
        <v>0</v>
      </c>
      <c r="BX60" s="37" t="s">
        <v>127</v>
      </c>
      <c r="BY60" s="37" t="s">
        <v>127</v>
      </c>
      <c r="BZ60" s="37" t="s">
        <v>483</v>
      </c>
      <c r="CA60" s="41">
        <v>0</v>
      </c>
      <c r="CB60" s="41">
        <v>422.2</v>
      </c>
      <c r="CC60" s="41">
        <v>80.667570000000012</v>
      </c>
      <c r="CD60" s="41">
        <v>40.987990000000003</v>
      </c>
      <c r="CE60" s="41">
        <v>0</v>
      </c>
      <c r="CF60" s="110">
        <f>0-CF61</f>
        <v>0</v>
      </c>
      <c r="CG60" s="45">
        <v>0</v>
      </c>
      <c r="CH60" s="45" t="s">
        <v>137</v>
      </c>
      <c r="CI60" s="37" t="s">
        <v>127</v>
      </c>
      <c r="CJ60" s="77" t="s">
        <v>127</v>
      </c>
      <c r="CK60" s="98">
        <v>0.18140000000000001</v>
      </c>
      <c r="CL60" s="98">
        <v>0.81859999999999999</v>
      </c>
      <c r="CM60" s="100" t="s">
        <v>359</v>
      </c>
    </row>
    <row r="61" spans="1:91" ht="12.75" customHeight="1" x14ac:dyDescent="0.3">
      <c r="A61" s="37">
        <v>59</v>
      </c>
      <c r="B61" s="37" t="s">
        <v>484</v>
      </c>
      <c r="C61" s="125"/>
      <c r="D61" s="123"/>
      <c r="E61" s="37" t="s">
        <v>246</v>
      </c>
      <c r="F61" s="36" t="s">
        <v>485</v>
      </c>
      <c r="G61" s="81" t="s">
        <v>159</v>
      </c>
      <c r="H61" s="37" t="s">
        <v>131</v>
      </c>
      <c r="I61" s="37" t="s">
        <v>127</v>
      </c>
      <c r="J61" s="37" t="s">
        <v>127</v>
      </c>
      <c r="K61" s="37" t="s">
        <v>132</v>
      </c>
      <c r="L61" s="75" t="s">
        <v>345</v>
      </c>
      <c r="M61" s="37" t="s">
        <v>127</v>
      </c>
      <c r="N61" s="37" t="s">
        <v>127</v>
      </c>
      <c r="O61" s="80" t="s">
        <v>134</v>
      </c>
      <c r="P61" s="37" t="s">
        <v>135</v>
      </c>
      <c r="Q61" s="37" t="s">
        <v>127</v>
      </c>
      <c r="R61" s="37" t="s">
        <v>127</v>
      </c>
      <c r="S61" s="37" t="s">
        <v>127</v>
      </c>
      <c r="T61" s="37" t="s">
        <v>127</v>
      </c>
      <c r="U61" s="37" t="s">
        <v>136</v>
      </c>
      <c r="V61" s="37" t="b">
        <v>0</v>
      </c>
      <c r="W61" s="37" t="s">
        <v>127</v>
      </c>
      <c r="X61" s="123"/>
      <c r="Y61" s="37" t="s">
        <v>127</v>
      </c>
      <c r="Z61" s="37" t="s">
        <v>137</v>
      </c>
      <c r="AA61" s="37" t="s">
        <v>127</v>
      </c>
      <c r="AB61" s="37" t="s">
        <v>127</v>
      </c>
      <c r="AC61" s="78">
        <v>4.3</v>
      </c>
      <c r="AD61" s="78">
        <v>5983036</v>
      </c>
      <c r="AE61" s="37" t="s">
        <v>127</v>
      </c>
      <c r="AF61" s="37">
        <v>12129</v>
      </c>
      <c r="AG61" s="37" t="s">
        <v>127</v>
      </c>
      <c r="AH61" s="37" t="b">
        <v>1</v>
      </c>
      <c r="AI61" s="76" t="s">
        <v>127</v>
      </c>
      <c r="AJ61" s="77" t="s">
        <v>142</v>
      </c>
      <c r="AK61" s="37" t="s">
        <v>127</v>
      </c>
      <c r="AL61" s="37" t="s">
        <v>127</v>
      </c>
      <c r="AM61" s="37" t="b">
        <v>0</v>
      </c>
      <c r="AN61" s="37" t="s">
        <v>127</v>
      </c>
      <c r="AO61" s="37" t="s">
        <v>127</v>
      </c>
      <c r="AP61" s="37" t="s">
        <v>127</v>
      </c>
      <c r="AQ61" s="37" t="b">
        <v>0</v>
      </c>
      <c r="AR61" s="37" t="s">
        <v>127</v>
      </c>
      <c r="AS61" s="37" t="s">
        <v>127</v>
      </c>
      <c r="AT61" s="37" t="s">
        <v>127</v>
      </c>
      <c r="AU61" s="37" t="s">
        <v>127</v>
      </c>
      <c r="AV61" s="37" t="s">
        <v>127</v>
      </c>
      <c r="AW61" s="37" t="s">
        <v>127</v>
      </c>
      <c r="AX61" s="37" t="s">
        <v>161</v>
      </c>
      <c r="AY61" s="76" t="s">
        <v>127</v>
      </c>
      <c r="AZ61" s="77" t="s">
        <v>127</v>
      </c>
      <c r="BA61" s="37" t="s">
        <v>127</v>
      </c>
      <c r="BB61" s="37" t="s">
        <v>143</v>
      </c>
      <c r="BC61" s="77" t="s">
        <v>127</v>
      </c>
      <c r="BD61" s="90" t="s">
        <v>127</v>
      </c>
      <c r="BE61" s="37" t="s">
        <v>127</v>
      </c>
      <c r="BF61" s="90" t="s">
        <v>127</v>
      </c>
      <c r="BG61" s="39" t="s">
        <v>127</v>
      </c>
      <c r="BH61" s="37" t="s">
        <v>127</v>
      </c>
      <c r="BI61" s="40" t="b">
        <v>0</v>
      </c>
      <c r="BJ61" s="40" t="s">
        <v>137</v>
      </c>
      <c r="BK61" s="37" t="s">
        <v>137</v>
      </c>
      <c r="BL61" s="41">
        <v>1034.7720899999999</v>
      </c>
      <c r="BM61" s="41">
        <v>439.43643999999995</v>
      </c>
      <c r="BN61" s="41">
        <v>467.15554999999995</v>
      </c>
      <c r="BO61" s="41">
        <v>128.18010000000001</v>
      </c>
      <c r="BP61" s="41">
        <v>0</v>
      </c>
      <c r="BQ61" s="41">
        <v>0</v>
      </c>
      <c r="BR61" s="41">
        <v>0</v>
      </c>
      <c r="BS61" s="41">
        <v>0</v>
      </c>
      <c r="BT61" s="41">
        <v>0</v>
      </c>
      <c r="BU61" s="41">
        <v>0</v>
      </c>
      <c r="BV61" s="41">
        <v>0</v>
      </c>
      <c r="BW61" s="49">
        <v>0</v>
      </c>
      <c r="BX61" s="37" t="s">
        <v>127</v>
      </c>
      <c r="BY61" s="37" t="s">
        <v>127</v>
      </c>
      <c r="BZ61" s="37" t="s">
        <v>244</v>
      </c>
      <c r="CA61" s="41">
        <v>0</v>
      </c>
      <c r="CB61" s="41">
        <v>1034.77</v>
      </c>
      <c r="CC61" s="41">
        <v>0</v>
      </c>
      <c r="CD61" s="41">
        <v>0</v>
      </c>
      <c r="CE61" s="41">
        <v>0</v>
      </c>
      <c r="CF61" s="41">
        <v>0</v>
      </c>
      <c r="CG61" s="45">
        <v>0</v>
      </c>
      <c r="CH61" s="45" t="s">
        <v>137</v>
      </c>
      <c r="CI61" s="37" t="s">
        <v>127</v>
      </c>
      <c r="CJ61" s="77" t="s">
        <v>127</v>
      </c>
      <c r="CK61" s="98">
        <v>0.18140000000000001</v>
      </c>
      <c r="CL61" s="98">
        <v>0.81859999999999999</v>
      </c>
      <c r="CM61" s="100" t="s">
        <v>486</v>
      </c>
    </row>
    <row r="62" spans="1:91" ht="12.75" customHeight="1" x14ac:dyDescent="0.3">
      <c r="A62" s="37">
        <v>60</v>
      </c>
      <c r="B62" s="37" t="s">
        <v>487</v>
      </c>
      <c r="C62" s="125"/>
      <c r="D62" s="123"/>
      <c r="E62" s="77" t="s">
        <v>127</v>
      </c>
      <c r="F62" s="36" t="s">
        <v>488</v>
      </c>
      <c r="G62" s="75" t="s">
        <v>148</v>
      </c>
      <c r="H62" s="37" t="s">
        <v>131</v>
      </c>
      <c r="I62" s="37" t="s">
        <v>127</v>
      </c>
      <c r="J62" s="37" t="s">
        <v>127</v>
      </c>
      <c r="K62" s="37" t="s">
        <v>132</v>
      </c>
      <c r="L62" s="75" t="s">
        <v>489</v>
      </c>
      <c r="M62" s="37" t="s">
        <v>490</v>
      </c>
      <c r="N62" s="37" t="s">
        <v>127</v>
      </c>
      <c r="O62" s="76" t="s">
        <v>127</v>
      </c>
      <c r="P62" s="37" t="s">
        <v>135</v>
      </c>
      <c r="Q62" s="37" t="s">
        <v>482</v>
      </c>
      <c r="R62" s="37" t="s">
        <v>127</v>
      </c>
      <c r="S62" s="37" t="s">
        <v>127</v>
      </c>
      <c r="T62" s="37" t="s">
        <v>137</v>
      </c>
      <c r="U62" s="37" t="s">
        <v>136</v>
      </c>
      <c r="V62" s="37" t="b">
        <v>0</v>
      </c>
      <c r="W62" s="77" t="s">
        <v>127</v>
      </c>
      <c r="X62" s="123"/>
      <c r="Y62" s="37" t="s">
        <v>137</v>
      </c>
      <c r="Z62" s="37" t="s">
        <v>137</v>
      </c>
      <c r="AA62" s="37">
        <v>500</v>
      </c>
      <c r="AB62" s="37" t="s">
        <v>348</v>
      </c>
      <c r="AC62" s="78">
        <v>4.3</v>
      </c>
      <c r="AD62" s="78" t="s">
        <v>139</v>
      </c>
      <c r="AE62" s="37" t="s">
        <v>140</v>
      </c>
      <c r="AF62" s="37">
        <v>12132</v>
      </c>
      <c r="AG62" s="37" t="s">
        <v>141</v>
      </c>
      <c r="AH62" s="37" t="b">
        <v>1</v>
      </c>
      <c r="AI62" s="76" t="s">
        <v>127</v>
      </c>
      <c r="AJ62" s="77" t="s">
        <v>142</v>
      </c>
      <c r="AK62" s="37" t="s">
        <v>127</v>
      </c>
      <c r="AL62" s="37" t="s">
        <v>127</v>
      </c>
      <c r="AM62" s="37" t="b">
        <v>0</v>
      </c>
      <c r="AN62" s="37" t="s">
        <v>127</v>
      </c>
      <c r="AO62" s="37" t="s">
        <v>127</v>
      </c>
      <c r="AP62" s="37" t="s">
        <v>137</v>
      </c>
      <c r="AQ62" s="37" t="b">
        <v>0</v>
      </c>
      <c r="AR62" s="37" t="s">
        <v>127</v>
      </c>
      <c r="AS62" s="76" t="s">
        <v>137</v>
      </c>
      <c r="AT62" s="37" t="s">
        <v>127</v>
      </c>
      <c r="AU62" s="37" t="s">
        <v>127</v>
      </c>
      <c r="AV62" s="37" t="s">
        <v>137</v>
      </c>
      <c r="AW62" s="37" t="s">
        <v>137</v>
      </c>
      <c r="AX62" s="37" t="s">
        <v>161</v>
      </c>
      <c r="AY62" s="76" t="s">
        <v>127</v>
      </c>
      <c r="AZ62" s="77" t="s">
        <v>127</v>
      </c>
      <c r="BA62" s="37" t="s">
        <v>127</v>
      </c>
      <c r="BB62" s="37" t="s">
        <v>143</v>
      </c>
      <c r="BC62" s="77" t="s">
        <v>127</v>
      </c>
      <c r="BD62" s="76" t="s">
        <v>127</v>
      </c>
      <c r="BE62" s="37" t="s">
        <v>127</v>
      </c>
      <c r="BF62" s="80" t="s">
        <v>127</v>
      </c>
      <c r="BG62" s="39" t="s">
        <v>127</v>
      </c>
      <c r="BH62" s="37" t="s">
        <v>127</v>
      </c>
      <c r="BI62" s="40" t="b">
        <v>1</v>
      </c>
      <c r="BJ62" s="40" t="s">
        <v>137</v>
      </c>
      <c r="BK62" s="37" t="s">
        <v>137</v>
      </c>
      <c r="BL62" s="110">
        <f>30525.381807041-SUM(BL63:BL65)</f>
        <v>27045.933176129089</v>
      </c>
      <c r="BM62" s="110">
        <f>912.078776003999-SUM(BM63:BM65)</f>
        <v>912.078776003999</v>
      </c>
      <c r="BN62" s="110">
        <f>828.377689409999-SUM(BN63:BN65)</f>
        <v>828.37768940999899</v>
      </c>
      <c r="BO62" s="110">
        <f>1306.706010192-SUM(BO63:BO65)</f>
        <v>1098.0641601919999</v>
      </c>
      <c r="BP62" s="110">
        <f>1088.915512531-SUM(BP63:BP65)</f>
        <v>797.09052253100015</v>
      </c>
      <c r="BQ62" s="110">
        <f>1513.59512278-SUM(BQ63:BQ65)</f>
        <v>526.83292277999999</v>
      </c>
      <c r="BR62" s="110">
        <f>3872.14456525017-SUM(BR63:BR65)</f>
        <v>2034.2684755151952</v>
      </c>
      <c r="BS62" s="110">
        <f>3114.73517104482-SUM(BS63:BS65)</f>
        <v>2960.3916698678795</v>
      </c>
      <c r="BT62" s="110">
        <f>3977.43704100914-SUM(BT63:BT65)</f>
        <v>3977.4370410091401</v>
      </c>
      <c r="BU62" s="110">
        <f>4487.54595071309-SUM(BU63:BU65)</f>
        <v>4487.54595071309</v>
      </c>
      <c r="BV62" s="110">
        <f>3932.21611584384-SUM(BV63:BV65)</f>
        <v>3932.2161158438398</v>
      </c>
      <c r="BW62" s="111">
        <f>1313.19368-SUM(BW63:BW65)</f>
        <v>945.28721000000007</v>
      </c>
      <c r="BX62" s="37" t="s">
        <v>127</v>
      </c>
      <c r="BY62" s="37" t="s">
        <v>127</v>
      </c>
      <c r="BZ62" s="37" t="s">
        <v>479</v>
      </c>
      <c r="CA62" s="41">
        <v>0</v>
      </c>
      <c r="CB62" s="41">
        <v>2317.67</v>
      </c>
      <c r="CC62" s="41">
        <v>506.1</v>
      </c>
      <c r="CD62" s="41">
        <v>621.27</v>
      </c>
      <c r="CE62" s="41">
        <v>-3.69</v>
      </c>
      <c r="CF62" s="110">
        <f>2847.6005212647-SUM(CF63:CF65)</f>
        <v>1471.9965167577916</v>
      </c>
      <c r="CG62" s="45">
        <v>0</v>
      </c>
      <c r="CH62" s="45" t="s">
        <v>137</v>
      </c>
      <c r="CI62" s="37" t="s">
        <v>127</v>
      </c>
      <c r="CJ62" s="77" t="s">
        <v>127</v>
      </c>
      <c r="CK62" s="98">
        <v>0</v>
      </c>
      <c r="CL62" s="98">
        <v>1</v>
      </c>
      <c r="CM62" s="100" t="s">
        <v>359</v>
      </c>
    </row>
    <row r="63" spans="1:91" ht="12.75" customHeight="1" x14ac:dyDescent="0.3">
      <c r="A63" s="37">
        <v>61</v>
      </c>
      <c r="B63" s="37" t="s">
        <v>491</v>
      </c>
      <c r="C63" s="124"/>
      <c r="D63" s="124"/>
      <c r="E63" s="37" t="s">
        <v>492</v>
      </c>
      <c r="F63" s="36" t="s">
        <v>493</v>
      </c>
      <c r="G63" s="81" t="s">
        <v>352</v>
      </c>
      <c r="H63" s="37" t="s">
        <v>131</v>
      </c>
      <c r="I63" s="37" t="s">
        <v>127</v>
      </c>
      <c r="J63" s="37" t="s">
        <v>127</v>
      </c>
      <c r="K63" s="37" t="s">
        <v>132</v>
      </c>
      <c r="L63" s="75" t="s">
        <v>345</v>
      </c>
      <c r="M63" s="37" t="s">
        <v>127</v>
      </c>
      <c r="N63" s="37" t="s">
        <v>127</v>
      </c>
      <c r="O63" s="76">
        <v>45400</v>
      </c>
      <c r="P63" s="37">
        <v>2.7</v>
      </c>
      <c r="Q63" s="37" t="s">
        <v>127</v>
      </c>
      <c r="R63" s="37" t="s">
        <v>127</v>
      </c>
      <c r="S63" s="37" t="s">
        <v>127</v>
      </c>
      <c r="T63" s="37" t="s">
        <v>127</v>
      </c>
      <c r="U63" s="37" t="s">
        <v>136</v>
      </c>
      <c r="V63" s="37" t="b">
        <v>0</v>
      </c>
      <c r="W63" s="77" t="s">
        <v>127</v>
      </c>
      <c r="X63" s="123"/>
      <c r="Y63" s="37" t="s">
        <v>127</v>
      </c>
      <c r="Z63" s="37">
        <v>1.92</v>
      </c>
      <c r="AA63" s="37">
        <v>69</v>
      </c>
      <c r="AB63" s="37" t="s">
        <v>127</v>
      </c>
      <c r="AC63" s="78">
        <v>4.3</v>
      </c>
      <c r="AD63" s="78">
        <v>5296602</v>
      </c>
      <c r="AE63" s="37" t="s">
        <v>494</v>
      </c>
      <c r="AF63" s="37">
        <v>12132</v>
      </c>
      <c r="AG63" s="37" t="s">
        <v>127</v>
      </c>
      <c r="AH63" s="37" t="b">
        <v>1</v>
      </c>
      <c r="AI63" s="76" t="s">
        <v>127</v>
      </c>
      <c r="AJ63" s="77" t="s">
        <v>142</v>
      </c>
      <c r="AK63" s="37" t="s">
        <v>127</v>
      </c>
      <c r="AL63" s="37" t="s">
        <v>127</v>
      </c>
      <c r="AM63" s="37" t="b">
        <v>0</v>
      </c>
      <c r="AN63" s="37" t="s">
        <v>127</v>
      </c>
      <c r="AO63" s="37" t="s">
        <v>127</v>
      </c>
      <c r="AP63" s="37" t="s">
        <v>127</v>
      </c>
      <c r="AQ63" s="37" t="b">
        <v>0</v>
      </c>
      <c r="AR63" s="37" t="s">
        <v>127</v>
      </c>
      <c r="AS63" s="76" t="s">
        <v>137</v>
      </c>
      <c r="AT63" s="37" t="s">
        <v>127</v>
      </c>
      <c r="AU63" s="37" t="s">
        <v>127</v>
      </c>
      <c r="AV63" s="37" t="s">
        <v>137</v>
      </c>
      <c r="AW63" s="37" t="s">
        <v>137</v>
      </c>
      <c r="AX63" s="37" t="s">
        <v>161</v>
      </c>
      <c r="AY63" s="76" t="s">
        <v>127</v>
      </c>
      <c r="AZ63" s="77" t="s">
        <v>127</v>
      </c>
      <c r="BA63" s="37" t="s">
        <v>127</v>
      </c>
      <c r="BB63" s="37" t="s">
        <v>460</v>
      </c>
      <c r="BC63" s="77" t="s">
        <v>127</v>
      </c>
      <c r="BD63" s="76" t="s">
        <v>495</v>
      </c>
      <c r="BE63" s="37" t="s">
        <v>127</v>
      </c>
      <c r="BF63" s="86" t="s">
        <v>496</v>
      </c>
      <c r="BG63" s="39" t="s">
        <v>127</v>
      </c>
      <c r="BH63" s="37" t="s">
        <v>127</v>
      </c>
      <c r="BI63" s="40" t="b">
        <v>0</v>
      </c>
      <c r="BJ63" s="40" t="s">
        <v>137</v>
      </c>
      <c r="BK63" s="37" t="s">
        <v>137</v>
      </c>
      <c r="BL63" s="41">
        <v>1071.893126405007</v>
      </c>
      <c r="BM63" s="41">
        <v>0</v>
      </c>
      <c r="BN63" s="41">
        <v>0</v>
      </c>
      <c r="BO63" s="41">
        <v>0</v>
      </c>
      <c r="BP63" s="41">
        <v>15.335990000000002</v>
      </c>
      <c r="BQ63" s="41">
        <v>256.99052000000006</v>
      </c>
      <c r="BR63" s="41">
        <v>645.22311522806649</v>
      </c>
      <c r="BS63" s="41">
        <v>154.34350117694078</v>
      </c>
      <c r="BT63" s="41">
        <v>0</v>
      </c>
      <c r="BU63" s="41">
        <v>0</v>
      </c>
      <c r="BV63" s="41">
        <v>0</v>
      </c>
      <c r="BW63" s="49">
        <v>367.90647000000001</v>
      </c>
      <c r="BX63" s="37" t="s">
        <v>127</v>
      </c>
      <c r="BY63" s="37" t="s">
        <v>127</v>
      </c>
      <c r="BZ63" s="37" t="s">
        <v>127</v>
      </c>
      <c r="CA63" s="41">
        <v>0</v>
      </c>
      <c r="CB63" s="41">
        <v>0</v>
      </c>
      <c r="CC63" s="41">
        <v>0</v>
      </c>
      <c r="CD63" s="41">
        <v>0</v>
      </c>
      <c r="CE63" s="41">
        <v>0</v>
      </c>
      <c r="CF63" s="41">
        <v>0</v>
      </c>
      <c r="CG63" s="45">
        <v>0</v>
      </c>
      <c r="CH63" s="45" t="s">
        <v>137</v>
      </c>
      <c r="CI63" s="37" t="s">
        <v>127</v>
      </c>
      <c r="CJ63" s="77" t="s">
        <v>127</v>
      </c>
      <c r="CK63" s="98">
        <v>0</v>
      </c>
      <c r="CL63" s="98">
        <v>1</v>
      </c>
      <c r="CM63" s="99" t="s">
        <v>497</v>
      </c>
    </row>
    <row r="64" spans="1:91" ht="12.75" customHeight="1" x14ac:dyDescent="0.3">
      <c r="A64" s="37">
        <v>62</v>
      </c>
      <c r="B64" s="37" t="s">
        <v>498</v>
      </c>
      <c r="C64" s="124"/>
      <c r="D64" s="124"/>
      <c r="E64" s="37" t="s">
        <v>258</v>
      </c>
      <c r="F64" s="36" t="s">
        <v>499</v>
      </c>
      <c r="G64" s="81" t="s">
        <v>352</v>
      </c>
      <c r="H64" s="37" t="s">
        <v>131</v>
      </c>
      <c r="I64" s="37" t="s">
        <v>127</v>
      </c>
      <c r="J64" s="37" t="s">
        <v>127</v>
      </c>
      <c r="K64" s="37" t="s">
        <v>132</v>
      </c>
      <c r="L64" s="75" t="s">
        <v>345</v>
      </c>
      <c r="M64" s="37" t="s">
        <v>127</v>
      </c>
      <c r="N64" s="37" t="s">
        <v>127</v>
      </c>
      <c r="O64" s="76">
        <v>45384</v>
      </c>
      <c r="P64" s="37">
        <v>4.5199999999999996</v>
      </c>
      <c r="Q64" s="37" t="s">
        <v>127</v>
      </c>
      <c r="R64" s="37" t="s">
        <v>127</v>
      </c>
      <c r="S64" s="37" t="s">
        <v>127</v>
      </c>
      <c r="T64" s="37" t="s">
        <v>127</v>
      </c>
      <c r="U64" s="37" t="s">
        <v>136</v>
      </c>
      <c r="V64" s="37" t="b">
        <v>0</v>
      </c>
      <c r="W64" s="77" t="s">
        <v>127</v>
      </c>
      <c r="X64" s="123"/>
      <c r="Y64" s="37" t="s">
        <v>127</v>
      </c>
      <c r="Z64" s="37">
        <v>1.35</v>
      </c>
      <c r="AA64" s="37">
        <v>69</v>
      </c>
      <c r="AB64" s="37" t="s">
        <v>127</v>
      </c>
      <c r="AC64" s="78">
        <v>4.3</v>
      </c>
      <c r="AD64" s="78">
        <v>5698978</v>
      </c>
      <c r="AE64" s="37" t="s">
        <v>500</v>
      </c>
      <c r="AF64" s="37">
        <v>12132</v>
      </c>
      <c r="AG64" s="37" t="s">
        <v>127</v>
      </c>
      <c r="AH64" s="37" t="b">
        <v>1</v>
      </c>
      <c r="AI64" s="76" t="s">
        <v>127</v>
      </c>
      <c r="AJ64" s="77" t="s">
        <v>142</v>
      </c>
      <c r="AK64" s="37" t="s">
        <v>127</v>
      </c>
      <c r="AL64" s="37" t="s">
        <v>127</v>
      </c>
      <c r="AM64" s="37" t="b">
        <v>0</v>
      </c>
      <c r="AN64" s="37" t="s">
        <v>127</v>
      </c>
      <c r="AO64" s="37" t="s">
        <v>127</v>
      </c>
      <c r="AP64" s="37" t="s">
        <v>127</v>
      </c>
      <c r="AQ64" s="37" t="b">
        <v>0</v>
      </c>
      <c r="AR64" s="37" t="s">
        <v>127</v>
      </c>
      <c r="AS64" s="76" t="s">
        <v>137</v>
      </c>
      <c r="AT64" s="37" t="s">
        <v>127</v>
      </c>
      <c r="AU64" s="37" t="s">
        <v>127</v>
      </c>
      <c r="AV64" s="37" t="s">
        <v>137</v>
      </c>
      <c r="AW64" s="37" t="s">
        <v>137</v>
      </c>
      <c r="AX64" s="37" t="s">
        <v>161</v>
      </c>
      <c r="AY64" s="76" t="s">
        <v>127</v>
      </c>
      <c r="AZ64" s="77" t="s">
        <v>127</v>
      </c>
      <c r="BA64" s="37" t="s">
        <v>127</v>
      </c>
      <c r="BB64" s="37" t="s">
        <v>333</v>
      </c>
      <c r="BC64" s="77" t="s">
        <v>127</v>
      </c>
      <c r="BD64" s="76" t="s">
        <v>501</v>
      </c>
      <c r="BE64" s="37" t="s">
        <v>127</v>
      </c>
      <c r="BF64" s="86" t="s">
        <v>502</v>
      </c>
      <c r="BG64" s="39" t="s">
        <v>127</v>
      </c>
      <c r="BH64" s="37" t="s">
        <v>127</v>
      </c>
      <c r="BI64" s="40" t="b">
        <v>1</v>
      </c>
      <c r="BJ64" s="40" t="s">
        <v>137</v>
      </c>
      <c r="BK64" s="37" t="s">
        <v>137</v>
      </c>
      <c r="BL64" s="41">
        <v>1368.1574145069078</v>
      </c>
      <c r="BM64" s="41">
        <v>0</v>
      </c>
      <c r="BN64" s="41">
        <v>0</v>
      </c>
      <c r="BO64" s="41">
        <v>0.59461000000000008</v>
      </c>
      <c r="BP64" s="41">
        <v>4.3975999999999997</v>
      </c>
      <c r="BQ64" s="41">
        <v>181.15440000000001</v>
      </c>
      <c r="BR64" s="41">
        <v>1182.0108045069085</v>
      </c>
      <c r="BS64" s="41">
        <v>0</v>
      </c>
      <c r="BT64" s="41">
        <v>0</v>
      </c>
      <c r="BU64" s="41">
        <v>0</v>
      </c>
      <c r="BV64" s="41">
        <v>0</v>
      </c>
      <c r="BW64" s="49">
        <v>0</v>
      </c>
      <c r="BX64" s="37" t="s">
        <v>127</v>
      </c>
      <c r="BY64" s="37" t="s">
        <v>127</v>
      </c>
      <c r="BZ64" s="37" t="s">
        <v>479</v>
      </c>
      <c r="CA64" s="41">
        <v>0</v>
      </c>
      <c r="CB64" s="41">
        <v>0.59</v>
      </c>
      <c r="CC64" s="41">
        <v>4.3499999999999996</v>
      </c>
      <c r="CD64" s="41">
        <v>179.44</v>
      </c>
      <c r="CE64" s="41">
        <v>85</v>
      </c>
      <c r="CF64" s="41">
        <v>1365.5030645069085</v>
      </c>
      <c r="CG64" s="45">
        <v>0</v>
      </c>
      <c r="CH64" s="45" t="s">
        <v>137</v>
      </c>
      <c r="CI64" s="37" t="s">
        <v>127</v>
      </c>
      <c r="CJ64" s="77" t="s">
        <v>127</v>
      </c>
      <c r="CK64" s="98">
        <v>0</v>
      </c>
      <c r="CL64" s="98">
        <v>1</v>
      </c>
      <c r="CM64" s="100" t="s">
        <v>503</v>
      </c>
    </row>
    <row r="65" spans="1:91" ht="12.75" customHeight="1" x14ac:dyDescent="0.3">
      <c r="A65" s="37">
        <v>63</v>
      </c>
      <c r="B65" s="37" t="s">
        <v>504</v>
      </c>
      <c r="C65" s="124"/>
      <c r="D65" s="124"/>
      <c r="E65" s="37" t="s">
        <v>377</v>
      </c>
      <c r="F65" s="36" t="s">
        <v>505</v>
      </c>
      <c r="G65" s="81" t="s">
        <v>352</v>
      </c>
      <c r="H65" s="37" t="s">
        <v>131</v>
      </c>
      <c r="I65" s="37" t="s">
        <v>127</v>
      </c>
      <c r="J65" s="37" t="s">
        <v>127</v>
      </c>
      <c r="K65" s="37" t="s">
        <v>132</v>
      </c>
      <c r="L65" s="75" t="s">
        <v>345</v>
      </c>
      <c r="M65" s="37" t="s">
        <v>127</v>
      </c>
      <c r="N65" s="37" t="s">
        <v>127</v>
      </c>
      <c r="O65" s="80">
        <v>45101</v>
      </c>
      <c r="P65" s="37">
        <v>5</v>
      </c>
      <c r="Q65" s="37" t="s">
        <v>127</v>
      </c>
      <c r="R65" s="37" t="s">
        <v>127</v>
      </c>
      <c r="S65" s="37" t="s">
        <v>127</v>
      </c>
      <c r="T65" s="37" t="s">
        <v>127</v>
      </c>
      <c r="U65" s="37" t="s">
        <v>136</v>
      </c>
      <c r="V65" s="37" t="b">
        <v>0</v>
      </c>
      <c r="W65" s="77" t="s">
        <v>127</v>
      </c>
      <c r="X65" s="123"/>
      <c r="Y65" s="37" t="s">
        <v>127</v>
      </c>
      <c r="Z65" s="37">
        <v>4.66</v>
      </c>
      <c r="AA65" s="37">
        <v>230</v>
      </c>
      <c r="AB65" s="37" t="s">
        <v>127</v>
      </c>
      <c r="AC65" s="78">
        <v>4.3</v>
      </c>
      <c r="AD65" s="78">
        <v>5819154</v>
      </c>
      <c r="AE65" s="37" t="s">
        <v>506</v>
      </c>
      <c r="AF65" s="37">
        <v>12132</v>
      </c>
      <c r="AG65" s="37" t="s">
        <v>127</v>
      </c>
      <c r="AH65" s="37" t="b">
        <v>1</v>
      </c>
      <c r="AI65" s="76" t="s">
        <v>127</v>
      </c>
      <c r="AJ65" s="77" t="s">
        <v>142</v>
      </c>
      <c r="AK65" s="37" t="s">
        <v>127</v>
      </c>
      <c r="AL65" s="37" t="s">
        <v>127</v>
      </c>
      <c r="AM65" s="37" t="b">
        <v>0</v>
      </c>
      <c r="AN65" s="37" t="s">
        <v>127</v>
      </c>
      <c r="AO65" s="37" t="s">
        <v>127</v>
      </c>
      <c r="AP65" s="37" t="s">
        <v>127</v>
      </c>
      <c r="AQ65" s="37" t="b">
        <v>0</v>
      </c>
      <c r="AR65" s="37" t="s">
        <v>127</v>
      </c>
      <c r="AS65" s="76" t="s">
        <v>137</v>
      </c>
      <c r="AT65" s="37" t="s">
        <v>127</v>
      </c>
      <c r="AU65" s="37" t="s">
        <v>127</v>
      </c>
      <c r="AV65" s="37" t="s">
        <v>137</v>
      </c>
      <c r="AW65" s="37" t="s">
        <v>137</v>
      </c>
      <c r="AX65" s="37" t="s">
        <v>161</v>
      </c>
      <c r="AY65" s="76" t="s">
        <v>127</v>
      </c>
      <c r="AZ65" s="77" t="s">
        <v>127</v>
      </c>
      <c r="BA65" s="37" t="s">
        <v>127</v>
      </c>
      <c r="BB65" s="37" t="s">
        <v>143</v>
      </c>
      <c r="BC65" s="77" t="s">
        <v>127</v>
      </c>
      <c r="BD65" s="76">
        <v>44958</v>
      </c>
      <c r="BE65" s="37" t="s">
        <v>127</v>
      </c>
      <c r="BF65" s="86" t="s">
        <v>507</v>
      </c>
      <c r="BG65" s="39" t="s">
        <v>127</v>
      </c>
      <c r="BH65" s="37" t="s">
        <v>127</v>
      </c>
      <c r="BI65" s="40" t="b">
        <v>1</v>
      </c>
      <c r="BJ65" s="40" t="s">
        <v>137</v>
      </c>
      <c r="BK65" s="37" t="s">
        <v>137</v>
      </c>
      <c r="BL65" s="41">
        <v>1039.3980899999999</v>
      </c>
      <c r="BM65" s="41">
        <v>0</v>
      </c>
      <c r="BN65" s="41">
        <v>0</v>
      </c>
      <c r="BO65" s="41">
        <v>208.04723999999999</v>
      </c>
      <c r="BP65" s="41">
        <v>272.09139999999996</v>
      </c>
      <c r="BQ65" s="41">
        <v>548.61728000000005</v>
      </c>
      <c r="BR65" s="41">
        <v>10.642170000000002</v>
      </c>
      <c r="BS65" s="41">
        <v>0</v>
      </c>
      <c r="BT65" s="41">
        <v>0</v>
      </c>
      <c r="BU65" s="41">
        <v>0</v>
      </c>
      <c r="BV65" s="41">
        <v>0</v>
      </c>
      <c r="BW65" s="49">
        <v>0</v>
      </c>
      <c r="BX65" s="37" t="s">
        <v>127</v>
      </c>
      <c r="BY65" s="37" t="s">
        <v>127</v>
      </c>
      <c r="BZ65" s="37" t="s">
        <v>198</v>
      </c>
      <c r="CA65" s="41">
        <v>0</v>
      </c>
      <c r="CB65" s="41">
        <v>0</v>
      </c>
      <c r="CC65" s="41">
        <v>0</v>
      </c>
      <c r="CD65" s="41">
        <v>989.21235000000001</v>
      </c>
      <c r="CE65" s="41">
        <v>10.82</v>
      </c>
      <c r="CF65" s="41">
        <v>10.100940000000001</v>
      </c>
      <c r="CG65" s="45">
        <v>0</v>
      </c>
      <c r="CH65" s="45" t="s">
        <v>137</v>
      </c>
      <c r="CI65" s="37" t="s">
        <v>127</v>
      </c>
      <c r="CJ65" s="77" t="s">
        <v>127</v>
      </c>
      <c r="CK65" s="98">
        <v>0</v>
      </c>
      <c r="CL65" s="98">
        <v>1</v>
      </c>
      <c r="CM65" s="100" t="s">
        <v>508</v>
      </c>
    </row>
    <row r="66" spans="1:91" ht="12.75" customHeight="1" x14ac:dyDescent="0.3">
      <c r="A66" s="37">
        <v>64</v>
      </c>
      <c r="B66" s="37" t="s">
        <v>509</v>
      </c>
      <c r="C66" s="125"/>
      <c r="D66" s="123"/>
      <c r="E66" s="77" t="s">
        <v>127</v>
      </c>
      <c r="F66" s="36" t="s">
        <v>510</v>
      </c>
      <c r="G66" s="75" t="s">
        <v>129</v>
      </c>
      <c r="H66" s="37" t="s">
        <v>127</v>
      </c>
      <c r="I66" s="37" t="s">
        <v>127</v>
      </c>
      <c r="J66" s="37" t="s">
        <v>127</v>
      </c>
      <c r="K66" s="37" t="s">
        <v>228</v>
      </c>
      <c r="L66" s="75" t="s">
        <v>133</v>
      </c>
      <c r="M66" s="37" t="s">
        <v>127</v>
      </c>
      <c r="N66" s="37" t="s">
        <v>127</v>
      </c>
      <c r="O66" s="76" t="s">
        <v>134</v>
      </c>
      <c r="P66" s="37" t="s">
        <v>135</v>
      </c>
      <c r="Q66" s="37" t="s">
        <v>127</v>
      </c>
      <c r="R66" s="37" t="s">
        <v>127</v>
      </c>
      <c r="S66" s="37" t="s">
        <v>127</v>
      </c>
      <c r="T66" s="37" t="s">
        <v>127</v>
      </c>
      <c r="U66" s="37" t="s">
        <v>136</v>
      </c>
      <c r="V66" s="37" t="b">
        <v>0</v>
      </c>
      <c r="W66" s="77" t="s">
        <v>127</v>
      </c>
      <c r="X66" s="123"/>
      <c r="Y66" s="37" t="s">
        <v>137</v>
      </c>
      <c r="Z66" s="37" t="s">
        <v>137</v>
      </c>
      <c r="AA66" s="37" t="s">
        <v>153</v>
      </c>
      <c r="AB66" s="37" t="s">
        <v>127</v>
      </c>
      <c r="AC66" s="78">
        <v>1.2</v>
      </c>
      <c r="AD66" s="78" t="s">
        <v>139</v>
      </c>
      <c r="AE66" s="37" t="s">
        <v>140</v>
      </c>
      <c r="AF66" s="37">
        <v>12159</v>
      </c>
      <c r="AG66" s="37" t="s">
        <v>141</v>
      </c>
      <c r="AH66" s="37" t="b">
        <v>1</v>
      </c>
      <c r="AI66" s="76" t="s">
        <v>127</v>
      </c>
      <c r="AJ66" s="77" t="s">
        <v>142</v>
      </c>
      <c r="AK66" s="37" t="s">
        <v>127</v>
      </c>
      <c r="AL66" s="37" t="s">
        <v>127</v>
      </c>
      <c r="AM66" s="37" t="b">
        <v>0</v>
      </c>
      <c r="AN66" s="37" t="s">
        <v>127</v>
      </c>
      <c r="AO66" s="37" t="s">
        <v>127</v>
      </c>
      <c r="AP66" s="37" t="s">
        <v>137</v>
      </c>
      <c r="AQ66" s="37" t="b">
        <v>0</v>
      </c>
      <c r="AR66" s="37" t="s">
        <v>127</v>
      </c>
      <c r="AS66" s="76" t="s">
        <v>137</v>
      </c>
      <c r="AT66" s="37" t="s">
        <v>127</v>
      </c>
      <c r="AU66" s="37" t="s">
        <v>127</v>
      </c>
      <c r="AV66" s="37" t="s">
        <v>137</v>
      </c>
      <c r="AW66" s="37" t="s">
        <v>137</v>
      </c>
      <c r="AX66" s="37" t="s">
        <v>127</v>
      </c>
      <c r="AY66" s="76" t="s">
        <v>127</v>
      </c>
      <c r="AZ66" s="77" t="s">
        <v>127</v>
      </c>
      <c r="BA66" s="37" t="s">
        <v>127</v>
      </c>
      <c r="BB66" s="37" t="s">
        <v>143</v>
      </c>
      <c r="BC66" s="77" t="s">
        <v>127</v>
      </c>
      <c r="BD66" s="76" t="s">
        <v>127</v>
      </c>
      <c r="BE66" s="37" t="s">
        <v>127</v>
      </c>
      <c r="BF66" s="80" t="s">
        <v>127</v>
      </c>
      <c r="BG66" s="39" t="s">
        <v>127</v>
      </c>
      <c r="BH66" s="37" t="s">
        <v>127</v>
      </c>
      <c r="BI66" s="40" t="b">
        <v>0</v>
      </c>
      <c r="BJ66" s="40" t="s">
        <v>137</v>
      </c>
      <c r="BK66" s="37" t="s">
        <v>127</v>
      </c>
      <c r="BL66" s="110">
        <f>31465.254806366-SUM(BL67:BL69)</f>
        <v>27003.953616366001</v>
      </c>
      <c r="BM66" s="110">
        <f>5405.801300644-SUM(BM67:BM69)</f>
        <v>3857.3465506439998</v>
      </c>
      <c r="BN66" s="110">
        <f>5187.902642335-SUM(BN67:BN69)</f>
        <v>3092.3321723349995</v>
      </c>
      <c r="BO66" s="110">
        <f>729.253672455-SUM(BO67:BO69)</f>
        <v>482.99018245500002</v>
      </c>
      <c r="BP66" s="110">
        <f>123.32757-SUM(BP67:BP69)</f>
        <v>75.261430000000004</v>
      </c>
      <c r="BQ66" s="110">
        <f>13.86429-SUM(BQ67:BQ69)</f>
        <v>9.4745600000000003</v>
      </c>
      <c r="BR66" s="110">
        <f t="shared" ref="BR66:BW66" si="1">0-SUM(BR67:BR69)</f>
        <v>0</v>
      </c>
      <c r="BS66" s="110">
        <f t="shared" si="1"/>
        <v>0</v>
      </c>
      <c r="BT66" s="110">
        <f t="shared" si="1"/>
        <v>0</v>
      </c>
      <c r="BU66" s="110">
        <f t="shared" si="1"/>
        <v>0</v>
      </c>
      <c r="BV66" s="110">
        <f t="shared" si="1"/>
        <v>0</v>
      </c>
      <c r="BW66" s="111">
        <f t="shared" si="1"/>
        <v>0</v>
      </c>
      <c r="BX66" s="37" t="s">
        <v>127</v>
      </c>
      <c r="BY66" s="37" t="s">
        <v>127</v>
      </c>
      <c r="BZ66" s="37" t="s">
        <v>203</v>
      </c>
      <c r="CA66" s="41">
        <v>2298.625</v>
      </c>
      <c r="CB66" s="41">
        <v>2569.34</v>
      </c>
      <c r="CC66" s="41">
        <v>80.95</v>
      </c>
      <c r="CD66" s="41">
        <v>9.32</v>
      </c>
      <c r="CE66" s="41">
        <v>0</v>
      </c>
      <c r="CF66" s="110">
        <f>0-SUM(CF67:CF69)</f>
        <v>0</v>
      </c>
      <c r="CG66" s="45">
        <v>0</v>
      </c>
      <c r="CH66" s="45" t="s">
        <v>137</v>
      </c>
      <c r="CI66" s="37" t="s">
        <v>127</v>
      </c>
      <c r="CJ66" s="77" t="s">
        <v>127</v>
      </c>
      <c r="CK66" s="98">
        <v>0.18140000000000001</v>
      </c>
      <c r="CL66" s="98">
        <v>0.81859999999999999</v>
      </c>
      <c r="CM66" s="100" t="s">
        <v>386</v>
      </c>
    </row>
    <row r="67" spans="1:91" ht="12.75" customHeight="1" x14ac:dyDescent="0.3">
      <c r="A67" s="37">
        <v>65</v>
      </c>
      <c r="B67" s="37" t="s">
        <v>511</v>
      </c>
      <c r="C67" s="125"/>
      <c r="D67" s="123"/>
      <c r="E67" s="37" t="s">
        <v>127</v>
      </c>
      <c r="F67" s="36" t="s">
        <v>512</v>
      </c>
      <c r="G67" s="81" t="s">
        <v>513</v>
      </c>
      <c r="H67" s="38" t="s">
        <v>227</v>
      </c>
      <c r="I67" s="38" t="s">
        <v>127</v>
      </c>
      <c r="J67" s="38" t="s">
        <v>127</v>
      </c>
      <c r="K67" s="38" t="s">
        <v>228</v>
      </c>
      <c r="L67" s="82" t="s">
        <v>133</v>
      </c>
      <c r="M67" s="38" t="s">
        <v>127</v>
      </c>
      <c r="N67" s="38" t="s">
        <v>127</v>
      </c>
      <c r="O67" s="80">
        <v>45192</v>
      </c>
      <c r="P67" s="37" t="s">
        <v>127</v>
      </c>
      <c r="Q67" s="37" t="s">
        <v>127</v>
      </c>
      <c r="R67" s="37" t="s">
        <v>127</v>
      </c>
      <c r="S67" s="37" t="s">
        <v>127</v>
      </c>
      <c r="T67" s="37" t="s">
        <v>127</v>
      </c>
      <c r="U67" s="37" t="s">
        <v>136</v>
      </c>
      <c r="V67" s="37" t="b">
        <v>0</v>
      </c>
      <c r="W67" s="37" t="s">
        <v>127</v>
      </c>
      <c r="X67" s="123"/>
      <c r="Y67" s="37">
        <v>69</v>
      </c>
      <c r="Z67" s="37" t="s">
        <v>127</v>
      </c>
      <c r="AA67" s="37" t="s">
        <v>127</v>
      </c>
      <c r="AB67" s="37" t="s">
        <v>127</v>
      </c>
      <c r="AC67" s="78">
        <v>1.1000000000000001</v>
      </c>
      <c r="AD67" s="78">
        <v>2651537</v>
      </c>
      <c r="AE67" s="37" t="s">
        <v>514</v>
      </c>
      <c r="AF67" s="37">
        <v>12159</v>
      </c>
      <c r="AG67" s="37" t="s">
        <v>127</v>
      </c>
      <c r="AH67" s="37" t="b">
        <v>0</v>
      </c>
      <c r="AI67" s="76" t="s">
        <v>127</v>
      </c>
      <c r="AJ67" s="77" t="s">
        <v>142</v>
      </c>
      <c r="AK67" s="37" t="s">
        <v>127</v>
      </c>
      <c r="AL67" s="37" t="s">
        <v>127</v>
      </c>
      <c r="AM67" s="37" t="b">
        <v>0</v>
      </c>
      <c r="AN67" s="37" t="s">
        <v>127</v>
      </c>
      <c r="AO67" s="37" t="s">
        <v>127</v>
      </c>
      <c r="AP67" s="37" t="s">
        <v>127</v>
      </c>
      <c r="AQ67" s="37" t="b">
        <v>0</v>
      </c>
      <c r="AR67" s="37" t="s">
        <v>127</v>
      </c>
      <c r="AS67" s="37" t="s">
        <v>127</v>
      </c>
      <c r="AT67" s="37" t="s">
        <v>127</v>
      </c>
      <c r="AU67" s="37" t="s">
        <v>127</v>
      </c>
      <c r="AV67" s="37" t="s">
        <v>127</v>
      </c>
      <c r="AW67" s="37" t="s">
        <v>127</v>
      </c>
      <c r="AX67" s="37" t="s">
        <v>127</v>
      </c>
      <c r="AY67" s="37" t="s">
        <v>127</v>
      </c>
      <c r="AZ67" s="37" t="s">
        <v>127</v>
      </c>
      <c r="BA67" s="37" t="s">
        <v>127</v>
      </c>
      <c r="BB67" s="37" t="s">
        <v>127</v>
      </c>
      <c r="BC67" s="77" t="s">
        <v>127</v>
      </c>
      <c r="BD67" s="76" t="s">
        <v>127</v>
      </c>
      <c r="BE67" s="37" t="s">
        <v>127</v>
      </c>
      <c r="BF67" s="37" t="s">
        <v>127</v>
      </c>
      <c r="BG67" s="77" t="s">
        <v>127</v>
      </c>
      <c r="BH67" s="77" t="s">
        <v>127</v>
      </c>
      <c r="BI67" s="40" t="b">
        <v>0</v>
      </c>
      <c r="BJ67" s="40" t="s">
        <v>137</v>
      </c>
      <c r="BK67" s="40" t="s">
        <v>137</v>
      </c>
      <c r="BL67" s="41">
        <v>1697.44669</v>
      </c>
      <c r="BM67" s="41">
        <v>166.67216000000002</v>
      </c>
      <c r="BN67" s="41">
        <v>1134.9725800000001</v>
      </c>
      <c r="BO67" s="41">
        <v>95.794629999999984</v>
      </c>
      <c r="BP67" s="41">
        <v>18.376949999999994</v>
      </c>
      <c r="BQ67" s="41">
        <v>3.9529999999999998</v>
      </c>
      <c r="BR67" s="41">
        <v>0</v>
      </c>
      <c r="BS67" s="41">
        <v>0</v>
      </c>
      <c r="BT67" s="41">
        <v>0</v>
      </c>
      <c r="BU67" s="41">
        <v>0</v>
      </c>
      <c r="BV67" s="41">
        <v>0</v>
      </c>
      <c r="BW67" s="49">
        <v>0</v>
      </c>
      <c r="BX67" s="37" t="s">
        <v>127</v>
      </c>
      <c r="BY67" s="37" t="s">
        <v>127</v>
      </c>
      <c r="BZ67" s="37" t="s">
        <v>483</v>
      </c>
      <c r="CA67" s="41">
        <v>0</v>
      </c>
      <c r="CB67" s="41">
        <v>1566.16</v>
      </c>
      <c r="CC67" s="41">
        <v>16.91</v>
      </c>
      <c r="CD67" s="41">
        <v>3.64</v>
      </c>
      <c r="CE67" s="41">
        <v>0</v>
      </c>
      <c r="CF67" s="41">
        <v>0</v>
      </c>
      <c r="CG67" s="45">
        <v>0</v>
      </c>
      <c r="CH67" s="45">
        <v>0</v>
      </c>
      <c r="CI67" s="37" t="s">
        <v>127</v>
      </c>
      <c r="CJ67" s="77" t="s">
        <v>127</v>
      </c>
      <c r="CK67" s="98">
        <v>0.18140000000000001</v>
      </c>
      <c r="CL67" s="98">
        <v>0.81859999999999999</v>
      </c>
      <c r="CM67" s="100" t="s">
        <v>435</v>
      </c>
    </row>
    <row r="68" spans="1:91" ht="12.75" customHeight="1" x14ac:dyDescent="0.3">
      <c r="A68" s="37">
        <v>66</v>
      </c>
      <c r="B68" s="37" t="s">
        <v>515</v>
      </c>
      <c r="C68" s="125"/>
      <c r="D68" s="123"/>
      <c r="E68" s="37" t="s">
        <v>127</v>
      </c>
      <c r="F68" s="36" t="s">
        <v>516</v>
      </c>
      <c r="G68" s="81" t="s">
        <v>513</v>
      </c>
      <c r="H68" s="38" t="s">
        <v>227</v>
      </c>
      <c r="I68" s="38" t="s">
        <v>127</v>
      </c>
      <c r="J68" s="38" t="s">
        <v>127</v>
      </c>
      <c r="K68" s="38" t="s">
        <v>228</v>
      </c>
      <c r="L68" s="82" t="s">
        <v>133</v>
      </c>
      <c r="M68" s="38" t="s">
        <v>127</v>
      </c>
      <c r="N68" s="38" t="s">
        <v>127</v>
      </c>
      <c r="O68" s="80">
        <v>45419</v>
      </c>
      <c r="P68" s="37" t="s">
        <v>127</v>
      </c>
      <c r="Q68" s="37" t="s">
        <v>127</v>
      </c>
      <c r="R68" s="37" t="s">
        <v>127</v>
      </c>
      <c r="S68" s="37" t="s">
        <v>127</v>
      </c>
      <c r="T68" s="37" t="s">
        <v>127</v>
      </c>
      <c r="U68" s="37" t="s">
        <v>136</v>
      </c>
      <c r="V68" s="37" t="b">
        <v>0</v>
      </c>
      <c r="W68" s="37" t="s">
        <v>127</v>
      </c>
      <c r="X68" s="123"/>
      <c r="Y68" s="37" t="s">
        <v>127</v>
      </c>
      <c r="Z68" s="37" t="s">
        <v>127</v>
      </c>
      <c r="AA68" s="37" t="s">
        <v>153</v>
      </c>
      <c r="AB68" s="37" t="s">
        <v>127</v>
      </c>
      <c r="AC68" s="78">
        <v>1.1000000000000001</v>
      </c>
      <c r="AD68" s="78">
        <v>2651558</v>
      </c>
      <c r="AE68" s="37" t="s">
        <v>517</v>
      </c>
      <c r="AF68" s="37">
        <v>12159</v>
      </c>
      <c r="AG68" s="37" t="s">
        <v>127</v>
      </c>
      <c r="AH68" s="37" t="b">
        <v>0</v>
      </c>
      <c r="AI68" s="76" t="s">
        <v>127</v>
      </c>
      <c r="AJ68" s="77" t="s">
        <v>142</v>
      </c>
      <c r="AK68" s="37" t="s">
        <v>127</v>
      </c>
      <c r="AL68" s="37" t="s">
        <v>127</v>
      </c>
      <c r="AM68" s="37" t="b">
        <v>0</v>
      </c>
      <c r="AN68" s="37" t="s">
        <v>127</v>
      </c>
      <c r="AO68" s="37" t="s">
        <v>127</v>
      </c>
      <c r="AP68" s="37" t="s">
        <v>127</v>
      </c>
      <c r="AQ68" s="37" t="b">
        <v>0</v>
      </c>
      <c r="AR68" s="37" t="s">
        <v>127</v>
      </c>
      <c r="AS68" s="37" t="s">
        <v>127</v>
      </c>
      <c r="AT68" s="37" t="s">
        <v>127</v>
      </c>
      <c r="AU68" s="37" t="s">
        <v>127</v>
      </c>
      <c r="AV68" s="37" t="s">
        <v>127</v>
      </c>
      <c r="AW68" s="37" t="s">
        <v>127</v>
      </c>
      <c r="AX68" s="37" t="s">
        <v>127</v>
      </c>
      <c r="AY68" s="37" t="s">
        <v>127</v>
      </c>
      <c r="AZ68" s="37" t="s">
        <v>127</v>
      </c>
      <c r="BA68" s="37" t="s">
        <v>127</v>
      </c>
      <c r="BB68" s="37" t="s">
        <v>127</v>
      </c>
      <c r="BC68" s="77" t="s">
        <v>127</v>
      </c>
      <c r="BD68" s="76" t="s">
        <v>127</v>
      </c>
      <c r="BE68" s="37" t="s">
        <v>127</v>
      </c>
      <c r="BF68" s="37" t="s">
        <v>127</v>
      </c>
      <c r="BG68" s="39" t="s">
        <v>127</v>
      </c>
      <c r="BH68" s="39" t="s">
        <v>127</v>
      </c>
      <c r="BI68" s="40" t="b">
        <v>0</v>
      </c>
      <c r="BJ68" s="40" t="s">
        <v>137</v>
      </c>
      <c r="BK68" s="37" t="s">
        <v>127</v>
      </c>
      <c r="BL68" s="41">
        <v>1694.2354999999993</v>
      </c>
      <c r="BM68" s="41">
        <v>514.44722000000002</v>
      </c>
      <c r="BN68" s="41">
        <v>782.69030000000009</v>
      </c>
      <c r="BO68" s="41">
        <v>126.09282000000003</v>
      </c>
      <c r="BP68" s="41">
        <v>29.68919</v>
      </c>
      <c r="BQ68" s="41">
        <v>0.43673000000000001</v>
      </c>
      <c r="BR68" s="41">
        <v>0</v>
      </c>
      <c r="BS68" s="41">
        <v>0</v>
      </c>
      <c r="BT68" s="41">
        <v>0</v>
      </c>
      <c r="BU68" s="41">
        <v>0</v>
      </c>
      <c r="BV68" s="41">
        <v>0</v>
      </c>
      <c r="BW68" s="49">
        <v>0</v>
      </c>
      <c r="BX68" s="37" t="s">
        <v>127</v>
      </c>
      <c r="BY68" s="37" t="s">
        <v>127</v>
      </c>
      <c r="BZ68" s="37" t="s">
        <v>483</v>
      </c>
      <c r="CA68" s="41">
        <v>0</v>
      </c>
      <c r="CB68" s="41">
        <v>1552.98</v>
      </c>
      <c r="CC68" s="41">
        <v>27.69</v>
      </c>
      <c r="CD68" s="41">
        <v>0.43673000000000001</v>
      </c>
      <c r="CE68" s="41">
        <v>0</v>
      </c>
      <c r="CF68" s="41">
        <v>0</v>
      </c>
      <c r="CG68" s="45">
        <v>0</v>
      </c>
      <c r="CH68" s="45">
        <v>0</v>
      </c>
      <c r="CI68" s="37" t="s">
        <v>127</v>
      </c>
      <c r="CJ68" s="77" t="s">
        <v>127</v>
      </c>
      <c r="CK68" s="98">
        <v>0.18140000000000001</v>
      </c>
      <c r="CL68" s="98">
        <v>0.81859999999999999</v>
      </c>
      <c r="CM68" s="100" t="s">
        <v>189</v>
      </c>
    </row>
    <row r="69" spans="1:91" ht="12.75" customHeight="1" x14ac:dyDescent="0.3">
      <c r="A69" s="37">
        <v>67</v>
      </c>
      <c r="B69" s="37" t="s">
        <v>518</v>
      </c>
      <c r="C69" s="125"/>
      <c r="D69" s="123"/>
      <c r="E69" s="37" t="s">
        <v>127</v>
      </c>
      <c r="F69" s="36" t="s">
        <v>516</v>
      </c>
      <c r="G69" s="81" t="s">
        <v>513</v>
      </c>
      <c r="H69" s="38" t="s">
        <v>227</v>
      </c>
      <c r="I69" s="38" t="s">
        <v>127</v>
      </c>
      <c r="J69" s="38" t="s">
        <v>127</v>
      </c>
      <c r="K69" s="38" t="s">
        <v>228</v>
      </c>
      <c r="L69" s="82" t="s">
        <v>133</v>
      </c>
      <c r="M69" s="38" t="s">
        <v>127</v>
      </c>
      <c r="N69" s="38" t="s">
        <v>127</v>
      </c>
      <c r="O69" s="80">
        <v>45419</v>
      </c>
      <c r="P69" s="37" t="s">
        <v>127</v>
      </c>
      <c r="Q69" s="37" t="s">
        <v>127</v>
      </c>
      <c r="R69" s="37" t="s">
        <v>127</v>
      </c>
      <c r="S69" s="37" t="s">
        <v>127</v>
      </c>
      <c r="T69" s="37" t="s">
        <v>127</v>
      </c>
      <c r="U69" s="37" t="s">
        <v>136</v>
      </c>
      <c r="V69" s="37" t="b">
        <v>0</v>
      </c>
      <c r="W69" s="37" t="s">
        <v>127</v>
      </c>
      <c r="X69" s="123"/>
      <c r="Y69" s="37" t="s">
        <v>127</v>
      </c>
      <c r="Z69" s="37" t="s">
        <v>127</v>
      </c>
      <c r="AA69" s="37" t="s">
        <v>153</v>
      </c>
      <c r="AB69" s="37" t="s">
        <v>127</v>
      </c>
      <c r="AC69" s="78">
        <v>1.1000000000000001</v>
      </c>
      <c r="AD69" s="78">
        <v>2989700</v>
      </c>
      <c r="AE69" s="37" t="s">
        <v>519</v>
      </c>
      <c r="AF69" s="37">
        <v>12159</v>
      </c>
      <c r="AG69" s="37" t="s">
        <v>127</v>
      </c>
      <c r="AH69" s="37" t="b">
        <v>0</v>
      </c>
      <c r="AI69" s="76" t="s">
        <v>127</v>
      </c>
      <c r="AJ69" s="77" t="s">
        <v>142</v>
      </c>
      <c r="AK69" s="37" t="s">
        <v>127</v>
      </c>
      <c r="AL69" s="37" t="s">
        <v>127</v>
      </c>
      <c r="AM69" s="37" t="b">
        <v>0</v>
      </c>
      <c r="AN69" s="37" t="s">
        <v>127</v>
      </c>
      <c r="AO69" s="37" t="s">
        <v>127</v>
      </c>
      <c r="AP69" s="37" t="s">
        <v>127</v>
      </c>
      <c r="AQ69" s="37" t="b">
        <v>0</v>
      </c>
      <c r="AR69" s="37" t="s">
        <v>127</v>
      </c>
      <c r="AS69" s="37" t="s">
        <v>127</v>
      </c>
      <c r="AT69" s="37" t="s">
        <v>127</v>
      </c>
      <c r="AU69" s="37" t="s">
        <v>127</v>
      </c>
      <c r="AV69" s="37" t="s">
        <v>127</v>
      </c>
      <c r="AW69" s="37" t="s">
        <v>127</v>
      </c>
      <c r="AX69" s="37" t="s">
        <v>127</v>
      </c>
      <c r="AY69" s="37" t="s">
        <v>127</v>
      </c>
      <c r="AZ69" s="37" t="s">
        <v>127</v>
      </c>
      <c r="BA69" s="37" t="s">
        <v>127</v>
      </c>
      <c r="BB69" s="37" t="s">
        <v>127</v>
      </c>
      <c r="BC69" s="77" t="s">
        <v>127</v>
      </c>
      <c r="BD69" s="76" t="s">
        <v>127</v>
      </c>
      <c r="BE69" s="37" t="s">
        <v>127</v>
      </c>
      <c r="BF69" s="37" t="s">
        <v>127</v>
      </c>
      <c r="BG69" s="39" t="s">
        <v>127</v>
      </c>
      <c r="BH69" s="39" t="s">
        <v>127</v>
      </c>
      <c r="BI69" s="40" t="b">
        <v>0</v>
      </c>
      <c r="BJ69" s="40" t="s">
        <v>137</v>
      </c>
      <c r="BK69" s="37" t="s">
        <v>127</v>
      </c>
      <c r="BL69" s="41">
        <v>1069.6189999999999</v>
      </c>
      <c r="BM69" s="41">
        <v>867.33537000000001</v>
      </c>
      <c r="BN69" s="41">
        <v>177.90759</v>
      </c>
      <c r="BO69" s="41">
        <v>24.376039999999996</v>
      </c>
      <c r="BP69" s="41">
        <v>0</v>
      </c>
      <c r="BQ69" s="41">
        <v>0</v>
      </c>
      <c r="BR69" s="41">
        <v>0</v>
      </c>
      <c r="BS69" s="41">
        <v>0</v>
      </c>
      <c r="BT69" s="41">
        <v>0</v>
      </c>
      <c r="BU69" s="41">
        <v>0</v>
      </c>
      <c r="BV69" s="41">
        <v>0</v>
      </c>
      <c r="BW69" s="49">
        <v>0</v>
      </c>
      <c r="BX69" s="37" t="s">
        <v>127</v>
      </c>
      <c r="BY69" s="37" t="s">
        <v>127</v>
      </c>
      <c r="BZ69" s="37" t="s">
        <v>207</v>
      </c>
      <c r="CA69" s="41">
        <v>937.56110999999999</v>
      </c>
      <c r="CB69" s="41">
        <v>21.95</v>
      </c>
      <c r="CC69" s="41">
        <v>0</v>
      </c>
      <c r="CD69" s="41">
        <v>0</v>
      </c>
      <c r="CE69" s="41">
        <v>0</v>
      </c>
      <c r="CF69" s="41">
        <v>0</v>
      </c>
      <c r="CG69" s="45">
        <v>0</v>
      </c>
      <c r="CH69" s="45">
        <v>0</v>
      </c>
      <c r="CI69" s="37" t="s">
        <v>127</v>
      </c>
      <c r="CJ69" s="77" t="s">
        <v>127</v>
      </c>
      <c r="CK69" s="98">
        <v>0.18140000000000001</v>
      </c>
      <c r="CL69" s="98">
        <v>0.81859999999999999</v>
      </c>
      <c r="CM69" s="100" t="s">
        <v>189</v>
      </c>
    </row>
    <row r="70" spans="1:91" ht="12.75" customHeight="1" x14ac:dyDescent="0.3">
      <c r="A70" s="37">
        <v>68</v>
      </c>
      <c r="B70" s="37" t="s">
        <v>520</v>
      </c>
      <c r="C70" s="125"/>
      <c r="D70" s="123"/>
      <c r="E70" s="77" t="s">
        <v>127</v>
      </c>
      <c r="F70" s="36" t="s">
        <v>521</v>
      </c>
      <c r="G70" s="75" t="s">
        <v>159</v>
      </c>
      <c r="H70" s="37" t="s">
        <v>227</v>
      </c>
      <c r="I70" s="37" t="s">
        <v>127</v>
      </c>
      <c r="J70" s="37" t="s">
        <v>127</v>
      </c>
      <c r="K70" s="37" t="s">
        <v>522</v>
      </c>
      <c r="L70" s="75" t="s">
        <v>523</v>
      </c>
      <c r="M70" s="37" t="s">
        <v>152</v>
      </c>
      <c r="N70" s="37" t="s">
        <v>152</v>
      </c>
      <c r="O70" s="76" t="s">
        <v>127</v>
      </c>
      <c r="P70" s="37" t="s">
        <v>135</v>
      </c>
      <c r="Q70" s="37" t="s">
        <v>127</v>
      </c>
      <c r="R70" s="37" t="s">
        <v>127</v>
      </c>
      <c r="S70" s="37" t="s">
        <v>127</v>
      </c>
      <c r="T70" s="37" t="s">
        <v>127</v>
      </c>
      <c r="U70" s="37" t="s">
        <v>136</v>
      </c>
      <c r="V70" s="37" t="b">
        <v>0</v>
      </c>
      <c r="W70" s="77" t="s">
        <v>127</v>
      </c>
      <c r="X70" s="123"/>
      <c r="Y70" s="37" t="s">
        <v>137</v>
      </c>
      <c r="Z70" s="37" t="s">
        <v>137</v>
      </c>
      <c r="AA70" s="37" t="s">
        <v>524</v>
      </c>
      <c r="AB70" s="37" t="s">
        <v>525</v>
      </c>
      <c r="AC70" s="78">
        <v>1.2</v>
      </c>
      <c r="AD70" s="78" t="s">
        <v>139</v>
      </c>
      <c r="AE70" s="37" t="s">
        <v>140</v>
      </c>
      <c r="AF70" s="37">
        <v>15125</v>
      </c>
      <c r="AG70" s="37" t="s">
        <v>141</v>
      </c>
      <c r="AH70" s="37" t="b">
        <v>1</v>
      </c>
      <c r="AI70" s="76">
        <v>45258</v>
      </c>
      <c r="AJ70" s="77" t="s">
        <v>142</v>
      </c>
      <c r="AK70" s="37" t="s">
        <v>127</v>
      </c>
      <c r="AL70" s="37" t="s">
        <v>127</v>
      </c>
      <c r="AM70" s="37" t="b">
        <v>0</v>
      </c>
      <c r="AN70" s="37" t="s">
        <v>127</v>
      </c>
      <c r="AO70" s="37" t="s">
        <v>127</v>
      </c>
      <c r="AP70" s="37" t="s">
        <v>137</v>
      </c>
      <c r="AQ70" s="37" t="b">
        <v>0</v>
      </c>
      <c r="AR70" s="37" t="s">
        <v>127</v>
      </c>
      <c r="AS70" s="76" t="s">
        <v>137</v>
      </c>
      <c r="AT70" s="37" t="s">
        <v>127</v>
      </c>
      <c r="AU70" s="37" t="s">
        <v>127</v>
      </c>
      <c r="AV70" s="37" t="s">
        <v>137</v>
      </c>
      <c r="AW70" s="37" t="s">
        <v>137</v>
      </c>
      <c r="AX70" s="37" t="s">
        <v>127</v>
      </c>
      <c r="AY70" s="76" t="s">
        <v>127</v>
      </c>
      <c r="AZ70" s="77" t="s">
        <v>127</v>
      </c>
      <c r="BA70" s="37" t="s">
        <v>127</v>
      </c>
      <c r="BB70" s="37" t="s">
        <v>143</v>
      </c>
      <c r="BC70" s="77" t="s">
        <v>127</v>
      </c>
      <c r="BD70" s="76" t="s">
        <v>127</v>
      </c>
      <c r="BE70" s="37" t="s">
        <v>127</v>
      </c>
      <c r="BF70" s="80" t="s">
        <v>127</v>
      </c>
      <c r="BG70" s="39" t="s">
        <v>127</v>
      </c>
      <c r="BH70" s="37" t="s">
        <v>127</v>
      </c>
      <c r="BI70" s="40" t="b">
        <v>1</v>
      </c>
      <c r="BJ70" s="41">
        <v>216954.95924</v>
      </c>
      <c r="BK70" s="37" t="s">
        <v>127</v>
      </c>
      <c r="BL70" s="110">
        <f>353525.189987047-SUM(BL71:BL73)-SUM(BL75:BL85)-BL290</f>
        <v>123731.30927059203</v>
      </c>
      <c r="BM70" s="110">
        <f>19483.14194051-SUM(BM71:BM73)-SUM(BM75:BM85)-BM290</f>
        <v>1298.0790098139951</v>
      </c>
      <c r="BN70" s="110">
        <f>11766.52659703-SUM(BN71:BN73)-SUM(BN75:BN85)-BN290</f>
        <v>982.69732665000083</v>
      </c>
      <c r="BO70" s="110">
        <f>36828.43832946-SUM(BO71:BO73)-SUM(BO75:BO85)-BO290</f>
        <v>291.55949572499958</v>
      </c>
      <c r="BP70" s="110">
        <f>37786.600716723-SUM(BP71:BP73)-SUM(BP75:BP85)-BP290</f>
        <v>312.55829672299842</v>
      </c>
      <c r="BQ70" s="110">
        <f>40266.4104276618-SUM(BQ71:BQ73)-SUM(BQ75:BQ85)-BQ290</f>
        <v>-1240.5797344192033</v>
      </c>
      <c r="BR70" s="110">
        <f>46022.5749268502-SUM(BR71:BR73)-SUM(BR75:BR85)-BR290</f>
        <v>5.4427534610767907</v>
      </c>
      <c r="BS70" s="110">
        <f>37797.8882909839-SUM(BS71:BS73)-SUM(BS75:BS85)-BS290</f>
        <v>5.4569682106375694E-11</v>
      </c>
      <c r="BT70" s="110">
        <f>45586.4499667932-SUM(BT71:BT73)-SUM(BT75:BT85)-BT290</f>
        <v>45586.449966793203</v>
      </c>
      <c r="BU70" s="110">
        <f>35167.810248598-SUM(BU71:BU73)-SUM(BU75:BU85)-BU290</f>
        <v>35167.810248597998</v>
      </c>
      <c r="BV70" s="110">
        <f>0-SUM(BV71:BV73)-SUM(BV75:BV85)-BV290</f>
        <v>0</v>
      </c>
      <c r="BW70" s="111">
        <f>49052.79485-SUM(BW71:BW73)-SUM(BW75:BW85)-BW290</f>
        <v>44.099670000000629</v>
      </c>
      <c r="BX70" s="37" t="s">
        <v>127</v>
      </c>
      <c r="BY70" s="37" t="s">
        <v>127</v>
      </c>
      <c r="BZ70" s="37" t="s">
        <v>155</v>
      </c>
      <c r="CA70" s="41">
        <v>3503.0610000000001</v>
      </c>
      <c r="CB70" s="41">
        <v>52.03</v>
      </c>
      <c r="CC70" s="41">
        <v>38.090000000000003</v>
      </c>
      <c r="CD70" s="41">
        <v>-773.12</v>
      </c>
      <c r="CE70" s="41">
        <v>4.3600000000000003</v>
      </c>
      <c r="CF70" s="110">
        <f>75572.4779652796-SUM(CF71:CF73)-SUM(CF75:CF85)-CF290</f>
        <v>5.4427534611240844</v>
      </c>
      <c r="CG70" s="45">
        <v>0</v>
      </c>
      <c r="CH70" s="45" t="s">
        <v>137</v>
      </c>
      <c r="CI70" s="37" t="s">
        <v>127</v>
      </c>
      <c r="CJ70" s="77" t="s">
        <v>127</v>
      </c>
      <c r="CK70" s="98">
        <v>0.18140000000000001</v>
      </c>
      <c r="CL70" s="98">
        <v>0.81859999999999999</v>
      </c>
      <c r="CM70" s="100" t="s">
        <v>526</v>
      </c>
    </row>
    <row r="71" spans="1:91" ht="12.75" customHeight="1" x14ac:dyDescent="0.3">
      <c r="A71" s="37">
        <v>69</v>
      </c>
      <c r="B71" s="37" t="s">
        <v>527</v>
      </c>
      <c r="C71" s="124"/>
      <c r="D71" s="124"/>
      <c r="E71" s="37" t="s">
        <v>258</v>
      </c>
      <c r="F71" s="36" t="s">
        <v>528</v>
      </c>
      <c r="G71" s="81" t="s">
        <v>529</v>
      </c>
      <c r="H71" s="37" t="s">
        <v>227</v>
      </c>
      <c r="I71" s="37" t="s">
        <v>127</v>
      </c>
      <c r="J71" s="37" t="s">
        <v>127</v>
      </c>
      <c r="K71" s="37" t="s">
        <v>522</v>
      </c>
      <c r="L71" s="75" t="s">
        <v>523</v>
      </c>
      <c r="M71" s="37" t="s">
        <v>152</v>
      </c>
      <c r="N71" s="37" t="s">
        <v>152</v>
      </c>
      <c r="O71" s="76">
        <v>45418</v>
      </c>
      <c r="P71" s="37" t="s">
        <v>127</v>
      </c>
      <c r="Q71" s="37" t="s">
        <v>127</v>
      </c>
      <c r="R71" s="37" t="s">
        <v>127</v>
      </c>
      <c r="S71" s="37" t="s">
        <v>127</v>
      </c>
      <c r="T71" s="37" t="s">
        <v>127</v>
      </c>
      <c r="U71" s="37" t="s">
        <v>136</v>
      </c>
      <c r="V71" s="37" t="b">
        <v>0</v>
      </c>
      <c r="W71" s="37" t="s">
        <v>127</v>
      </c>
      <c r="X71" s="123"/>
      <c r="Y71" s="37" t="s">
        <v>127</v>
      </c>
      <c r="Z71" s="37">
        <v>13.94</v>
      </c>
      <c r="AA71" s="37" t="s">
        <v>530</v>
      </c>
      <c r="AB71" s="37" t="s">
        <v>525</v>
      </c>
      <c r="AC71" s="78">
        <v>1.1000000000000001</v>
      </c>
      <c r="AD71" s="78">
        <v>5180029</v>
      </c>
      <c r="AE71" s="37" t="s">
        <v>531</v>
      </c>
      <c r="AF71" s="37">
        <v>15125</v>
      </c>
      <c r="AG71" s="37" t="s">
        <v>127</v>
      </c>
      <c r="AH71" s="37" t="b">
        <v>1</v>
      </c>
      <c r="AI71" s="76" t="s">
        <v>127</v>
      </c>
      <c r="AJ71" s="77" t="s">
        <v>142</v>
      </c>
      <c r="AK71" s="37" t="s">
        <v>127</v>
      </c>
      <c r="AL71" s="37" t="s">
        <v>127</v>
      </c>
      <c r="AM71" s="37" t="b">
        <v>0</v>
      </c>
      <c r="AN71" s="37" t="s">
        <v>127</v>
      </c>
      <c r="AO71" s="37" t="s">
        <v>127</v>
      </c>
      <c r="AP71" s="37" t="s">
        <v>127</v>
      </c>
      <c r="AQ71" s="37" t="b">
        <v>0</v>
      </c>
      <c r="AR71" s="37" t="s">
        <v>127</v>
      </c>
      <c r="AS71" s="37" t="s">
        <v>127</v>
      </c>
      <c r="AT71" s="37" t="s">
        <v>127</v>
      </c>
      <c r="AU71" s="37" t="s">
        <v>127</v>
      </c>
      <c r="AV71" s="37" t="s">
        <v>127</v>
      </c>
      <c r="AW71" s="37" t="s">
        <v>127</v>
      </c>
      <c r="AX71" s="37" t="s">
        <v>532</v>
      </c>
      <c r="AY71" s="37" t="s">
        <v>127</v>
      </c>
      <c r="AZ71" s="37" t="s">
        <v>127</v>
      </c>
      <c r="BA71" s="37" t="s">
        <v>127</v>
      </c>
      <c r="BB71" s="37" t="s">
        <v>396</v>
      </c>
      <c r="BC71" s="77" t="s">
        <v>127</v>
      </c>
      <c r="BD71" s="76" t="s">
        <v>533</v>
      </c>
      <c r="BE71" s="37" t="s">
        <v>127</v>
      </c>
      <c r="BF71" s="86" t="s">
        <v>534</v>
      </c>
      <c r="BG71" s="39" t="s">
        <v>127</v>
      </c>
      <c r="BH71" s="37" t="s">
        <v>127</v>
      </c>
      <c r="BI71" s="40" t="b">
        <v>1</v>
      </c>
      <c r="BJ71" s="40" t="s">
        <v>137</v>
      </c>
      <c r="BK71" s="37" t="s">
        <v>127</v>
      </c>
      <c r="BL71" s="41">
        <v>18452.46216955909</v>
      </c>
      <c r="BM71" s="41">
        <v>0</v>
      </c>
      <c r="BN71" s="41">
        <v>0</v>
      </c>
      <c r="BO71" s="41">
        <v>0</v>
      </c>
      <c r="BP71" s="41">
        <v>2686.9323100000001</v>
      </c>
      <c r="BQ71" s="41">
        <v>8068.7921400000005</v>
      </c>
      <c r="BR71" s="41">
        <v>7696.737719559088</v>
      </c>
      <c r="BS71" s="41">
        <v>0</v>
      </c>
      <c r="BT71" s="41">
        <v>0</v>
      </c>
      <c r="BU71" s="41">
        <v>0</v>
      </c>
      <c r="BV71" s="41">
        <v>0</v>
      </c>
      <c r="BW71" s="49">
        <v>14170.83159</v>
      </c>
      <c r="BX71" s="37" t="s">
        <v>127</v>
      </c>
      <c r="BY71" s="37" t="s">
        <v>127</v>
      </c>
      <c r="BZ71" s="37" t="s">
        <v>173</v>
      </c>
      <c r="CA71" s="41">
        <v>0</v>
      </c>
      <c r="CB71" s="41">
        <v>0</v>
      </c>
      <c r="CC71" s="41">
        <v>0</v>
      </c>
      <c r="CD71" s="41">
        <v>0</v>
      </c>
      <c r="CE71" s="41">
        <v>0</v>
      </c>
      <c r="CF71" s="41">
        <v>18431.419049559077</v>
      </c>
      <c r="CG71" s="45">
        <v>0</v>
      </c>
      <c r="CH71" s="45" t="s">
        <v>137</v>
      </c>
      <c r="CI71" s="37" t="s">
        <v>127</v>
      </c>
      <c r="CJ71" s="77" t="s">
        <v>127</v>
      </c>
      <c r="CK71" s="98">
        <v>0.18140000000000001</v>
      </c>
      <c r="CL71" s="98">
        <v>0.81859999999999999</v>
      </c>
      <c r="CM71" s="100" t="s">
        <v>535</v>
      </c>
    </row>
    <row r="72" spans="1:91" ht="12.75" customHeight="1" x14ac:dyDescent="0.3">
      <c r="A72" s="37">
        <v>70</v>
      </c>
      <c r="B72" s="37" t="s">
        <v>536</v>
      </c>
      <c r="C72" s="124"/>
      <c r="D72" s="124"/>
      <c r="E72" s="37" t="s">
        <v>246</v>
      </c>
      <c r="F72" s="36" t="s">
        <v>528</v>
      </c>
      <c r="G72" s="81" t="s">
        <v>529</v>
      </c>
      <c r="H72" s="37" t="s">
        <v>227</v>
      </c>
      <c r="I72" s="37" t="s">
        <v>127</v>
      </c>
      <c r="J72" s="37" t="s">
        <v>127</v>
      </c>
      <c r="K72" s="37" t="s">
        <v>522</v>
      </c>
      <c r="L72" s="75" t="s">
        <v>523</v>
      </c>
      <c r="M72" s="37" t="s">
        <v>152</v>
      </c>
      <c r="N72" s="37" t="s">
        <v>152</v>
      </c>
      <c r="O72" s="76">
        <v>45411</v>
      </c>
      <c r="P72" s="37" t="s">
        <v>135</v>
      </c>
      <c r="Q72" s="37" t="s">
        <v>127</v>
      </c>
      <c r="R72" s="37" t="s">
        <v>127</v>
      </c>
      <c r="S72" s="37" t="s">
        <v>127</v>
      </c>
      <c r="T72" s="37" t="s">
        <v>127</v>
      </c>
      <c r="U72" s="37" t="s">
        <v>136</v>
      </c>
      <c r="V72" s="37" t="b">
        <v>0</v>
      </c>
      <c r="W72" s="37" t="s">
        <v>127</v>
      </c>
      <c r="X72" s="123"/>
      <c r="Y72" s="37" t="s">
        <v>127</v>
      </c>
      <c r="Z72" s="37">
        <v>66.56</v>
      </c>
      <c r="AA72" s="37" t="s">
        <v>537</v>
      </c>
      <c r="AB72" s="37" t="s">
        <v>525</v>
      </c>
      <c r="AC72" s="78">
        <v>1.1000000000000001</v>
      </c>
      <c r="AD72" s="78">
        <v>5184112</v>
      </c>
      <c r="AE72" s="37" t="s">
        <v>538</v>
      </c>
      <c r="AF72" s="37">
        <v>15125</v>
      </c>
      <c r="AG72" s="37" t="s">
        <v>127</v>
      </c>
      <c r="AH72" s="37" t="b">
        <v>1</v>
      </c>
      <c r="AI72" s="76" t="s">
        <v>127</v>
      </c>
      <c r="AJ72" s="77" t="s">
        <v>142</v>
      </c>
      <c r="AK72" s="37" t="s">
        <v>127</v>
      </c>
      <c r="AL72" s="37" t="s">
        <v>127</v>
      </c>
      <c r="AM72" s="37" t="b">
        <v>0</v>
      </c>
      <c r="AN72" s="37" t="s">
        <v>127</v>
      </c>
      <c r="AO72" s="37" t="s">
        <v>127</v>
      </c>
      <c r="AP72" s="37" t="s">
        <v>127</v>
      </c>
      <c r="AQ72" s="37" t="b">
        <v>0</v>
      </c>
      <c r="AR72" s="37" t="s">
        <v>127</v>
      </c>
      <c r="AS72" s="37" t="s">
        <v>127</v>
      </c>
      <c r="AT72" s="37" t="s">
        <v>127</v>
      </c>
      <c r="AU72" s="37" t="s">
        <v>127</v>
      </c>
      <c r="AV72" s="37" t="s">
        <v>127</v>
      </c>
      <c r="AW72" s="37" t="s">
        <v>127</v>
      </c>
      <c r="AX72" s="37" t="s">
        <v>161</v>
      </c>
      <c r="AY72" s="37" t="s">
        <v>127</v>
      </c>
      <c r="AZ72" s="37" t="s">
        <v>127</v>
      </c>
      <c r="BA72" s="37" t="s">
        <v>127</v>
      </c>
      <c r="BB72" s="37" t="s">
        <v>143</v>
      </c>
      <c r="BC72" s="77" t="s">
        <v>127</v>
      </c>
      <c r="BD72" s="76" t="s">
        <v>539</v>
      </c>
      <c r="BE72" s="37" t="s">
        <v>127</v>
      </c>
      <c r="BF72" s="86" t="s">
        <v>540</v>
      </c>
      <c r="BG72" s="39" t="s">
        <v>127</v>
      </c>
      <c r="BH72" s="37" t="s">
        <v>127</v>
      </c>
      <c r="BI72" s="40" t="b">
        <v>1</v>
      </c>
      <c r="BJ72" s="40" t="s">
        <v>137</v>
      </c>
      <c r="BK72" s="37" t="s">
        <v>127</v>
      </c>
      <c r="BL72" s="41">
        <v>31567.48680005399</v>
      </c>
      <c r="BM72" s="41">
        <v>0</v>
      </c>
      <c r="BN72" s="41">
        <v>0</v>
      </c>
      <c r="BO72" s="41">
        <v>13896.319260000002</v>
      </c>
      <c r="BP72" s="41">
        <v>17556.706279999999</v>
      </c>
      <c r="BQ72" s="41">
        <v>91.022470053999982</v>
      </c>
      <c r="BR72" s="41">
        <v>23.438789999999994</v>
      </c>
      <c r="BS72" s="41">
        <v>0</v>
      </c>
      <c r="BT72" s="41">
        <v>0</v>
      </c>
      <c r="BU72" s="41">
        <v>0</v>
      </c>
      <c r="BV72" s="41">
        <v>0</v>
      </c>
      <c r="BW72" s="49">
        <v>0</v>
      </c>
      <c r="BX72" s="37" t="s">
        <v>127</v>
      </c>
      <c r="BY72" s="37" t="s">
        <v>127</v>
      </c>
      <c r="BZ72" s="37" t="s">
        <v>162</v>
      </c>
      <c r="CA72" s="41">
        <v>0</v>
      </c>
      <c r="CB72" s="41">
        <v>0</v>
      </c>
      <c r="CC72" s="41">
        <v>31451.540840000001</v>
      </c>
      <c r="CD72" s="41">
        <v>77.39</v>
      </c>
      <c r="CE72" s="41">
        <v>25.78</v>
      </c>
      <c r="CF72" s="41">
        <v>22.643069999999991</v>
      </c>
      <c r="CG72" s="45">
        <v>0</v>
      </c>
      <c r="CH72" s="45" t="s">
        <v>137</v>
      </c>
      <c r="CI72" s="37" t="s">
        <v>127</v>
      </c>
      <c r="CJ72" s="77" t="s">
        <v>127</v>
      </c>
      <c r="CK72" s="98">
        <v>0.18140000000000001</v>
      </c>
      <c r="CL72" s="98">
        <v>0.81859999999999999</v>
      </c>
      <c r="CM72" s="100" t="s">
        <v>541</v>
      </c>
    </row>
    <row r="73" spans="1:91" ht="12.75" customHeight="1" x14ac:dyDescent="0.3">
      <c r="A73" s="37">
        <v>71</v>
      </c>
      <c r="B73" s="37" t="s">
        <v>542</v>
      </c>
      <c r="C73" s="124"/>
      <c r="D73" s="124"/>
      <c r="E73" s="37" t="s">
        <v>246</v>
      </c>
      <c r="F73" s="36" t="s">
        <v>528</v>
      </c>
      <c r="G73" s="81" t="s">
        <v>529</v>
      </c>
      <c r="H73" s="37" t="s">
        <v>227</v>
      </c>
      <c r="I73" s="37" t="s">
        <v>127</v>
      </c>
      <c r="J73" s="37" t="s">
        <v>127</v>
      </c>
      <c r="K73" s="37" t="s">
        <v>522</v>
      </c>
      <c r="L73" s="75" t="s">
        <v>523</v>
      </c>
      <c r="M73" s="37" t="s">
        <v>152</v>
      </c>
      <c r="N73" s="37" t="s">
        <v>152</v>
      </c>
      <c r="O73" s="76">
        <v>45419</v>
      </c>
      <c r="P73" s="37" t="s">
        <v>135</v>
      </c>
      <c r="Q73" s="37" t="s">
        <v>127</v>
      </c>
      <c r="R73" s="37" t="s">
        <v>127</v>
      </c>
      <c r="S73" s="37" t="s">
        <v>127</v>
      </c>
      <c r="T73" s="37" t="s">
        <v>315</v>
      </c>
      <c r="U73" s="37" t="s">
        <v>136</v>
      </c>
      <c r="V73" s="37" t="b">
        <v>0</v>
      </c>
      <c r="W73" s="37" t="s">
        <v>127</v>
      </c>
      <c r="X73" s="123"/>
      <c r="Y73" s="37" t="s">
        <v>127</v>
      </c>
      <c r="Z73" s="37">
        <v>10.79</v>
      </c>
      <c r="AA73" s="37" t="s">
        <v>543</v>
      </c>
      <c r="AB73" s="37" t="s">
        <v>525</v>
      </c>
      <c r="AC73" s="78">
        <v>1.1000000000000001</v>
      </c>
      <c r="AD73" s="78">
        <v>5245798</v>
      </c>
      <c r="AE73" s="37" t="s">
        <v>544</v>
      </c>
      <c r="AF73" s="37">
        <v>15125</v>
      </c>
      <c r="AG73" s="37" t="s">
        <v>127</v>
      </c>
      <c r="AH73" s="37" t="b">
        <v>1</v>
      </c>
      <c r="AI73" s="76" t="s">
        <v>127</v>
      </c>
      <c r="AJ73" s="77" t="s">
        <v>142</v>
      </c>
      <c r="AK73" s="37" t="s">
        <v>127</v>
      </c>
      <c r="AL73" s="37" t="s">
        <v>127</v>
      </c>
      <c r="AM73" s="37" t="b">
        <v>0</v>
      </c>
      <c r="AN73" s="37" t="s">
        <v>127</v>
      </c>
      <c r="AO73" s="37" t="s">
        <v>127</v>
      </c>
      <c r="AP73" s="37" t="s">
        <v>127</v>
      </c>
      <c r="AQ73" s="37" t="b">
        <v>0</v>
      </c>
      <c r="AR73" s="37" t="s">
        <v>127</v>
      </c>
      <c r="AS73" s="37" t="s">
        <v>127</v>
      </c>
      <c r="AT73" s="37" t="s">
        <v>127</v>
      </c>
      <c r="AU73" s="37" t="s">
        <v>127</v>
      </c>
      <c r="AV73" s="37" t="s">
        <v>127</v>
      </c>
      <c r="AW73" s="37" t="s">
        <v>127</v>
      </c>
      <c r="AX73" s="37" t="s">
        <v>532</v>
      </c>
      <c r="AY73" s="37" t="s">
        <v>127</v>
      </c>
      <c r="AZ73" s="37" t="s">
        <v>127</v>
      </c>
      <c r="BA73" s="37" t="s">
        <v>127</v>
      </c>
      <c r="BB73" s="37" t="s">
        <v>143</v>
      </c>
      <c r="BC73" s="77" t="s">
        <v>127</v>
      </c>
      <c r="BD73" s="76" t="s">
        <v>545</v>
      </c>
      <c r="BE73" s="37" t="s">
        <v>127</v>
      </c>
      <c r="BF73" s="86" t="s">
        <v>534</v>
      </c>
      <c r="BG73" s="39" t="s">
        <v>127</v>
      </c>
      <c r="BH73" s="37" t="s">
        <v>127</v>
      </c>
      <c r="BI73" s="40" t="b">
        <v>1</v>
      </c>
      <c r="BJ73" s="40" t="s">
        <v>137</v>
      </c>
      <c r="BK73" s="37" t="s">
        <v>127</v>
      </c>
      <c r="BL73" s="41">
        <v>13846.950724020113</v>
      </c>
      <c r="BM73" s="41">
        <v>0</v>
      </c>
      <c r="BN73" s="41">
        <v>0</v>
      </c>
      <c r="BO73" s="41">
        <v>0</v>
      </c>
      <c r="BP73" s="41">
        <v>864.9117100000002</v>
      </c>
      <c r="BQ73" s="41">
        <v>6702.0244354670003</v>
      </c>
      <c r="BR73" s="41">
        <v>6280.0145785531104</v>
      </c>
      <c r="BS73" s="41">
        <v>0</v>
      </c>
      <c r="BT73" s="41">
        <v>0</v>
      </c>
      <c r="BU73" s="41">
        <v>0</v>
      </c>
      <c r="BV73" s="41">
        <v>0</v>
      </c>
      <c r="BW73" s="49">
        <v>12278.07813</v>
      </c>
      <c r="BX73" s="37" t="s">
        <v>127</v>
      </c>
      <c r="BY73" s="37" t="s">
        <v>127</v>
      </c>
      <c r="BZ73" s="37" t="s">
        <v>173</v>
      </c>
      <c r="CA73" s="41">
        <v>0</v>
      </c>
      <c r="CB73" s="41">
        <v>0</v>
      </c>
      <c r="CC73" s="41">
        <v>0</v>
      </c>
      <c r="CD73" s="41">
        <v>0</v>
      </c>
      <c r="CE73" s="41">
        <v>0</v>
      </c>
      <c r="CF73" s="41">
        <v>13827.19318402011</v>
      </c>
      <c r="CG73" s="45">
        <v>0</v>
      </c>
      <c r="CH73" s="45" t="s">
        <v>137</v>
      </c>
      <c r="CI73" s="37" t="s">
        <v>127</v>
      </c>
      <c r="CJ73" s="77" t="s">
        <v>127</v>
      </c>
      <c r="CK73" s="98">
        <v>0.18140000000000001</v>
      </c>
      <c r="CL73" s="98">
        <v>0.81859999999999999</v>
      </c>
      <c r="CM73" s="100" t="s">
        <v>541</v>
      </c>
    </row>
    <row r="74" spans="1:91" ht="12.75" customHeight="1" x14ac:dyDescent="0.3">
      <c r="A74" s="37">
        <v>72</v>
      </c>
      <c r="B74" s="37" t="s">
        <v>546</v>
      </c>
      <c r="C74" s="124"/>
      <c r="D74" s="124"/>
      <c r="E74" s="37" t="s">
        <v>258</v>
      </c>
      <c r="F74" s="36" t="s">
        <v>547</v>
      </c>
      <c r="G74" s="75" t="s">
        <v>148</v>
      </c>
      <c r="H74" s="37" t="s">
        <v>131</v>
      </c>
      <c r="I74" s="37" t="s">
        <v>268</v>
      </c>
      <c r="J74" s="37" t="s">
        <v>127</v>
      </c>
      <c r="K74" s="37" t="s">
        <v>132</v>
      </c>
      <c r="L74" s="75" t="s">
        <v>179</v>
      </c>
      <c r="M74" s="37" t="s">
        <v>127</v>
      </c>
      <c r="N74" s="37" t="s">
        <v>127</v>
      </c>
      <c r="O74" s="76">
        <v>45174.432500000003</v>
      </c>
      <c r="P74" s="37" t="s">
        <v>548</v>
      </c>
      <c r="Q74" s="37" t="s">
        <v>239</v>
      </c>
      <c r="R74" s="37" t="s">
        <v>127</v>
      </c>
      <c r="S74" s="37" t="s">
        <v>127</v>
      </c>
      <c r="T74" s="37" t="s">
        <v>137</v>
      </c>
      <c r="U74" s="37" t="s">
        <v>136</v>
      </c>
      <c r="V74" s="37" t="b">
        <v>0</v>
      </c>
      <c r="W74" s="77" t="s">
        <v>127</v>
      </c>
      <c r="X74" s="123"/>
      <c r="Y74" s="37" t="s">
        <v>137</v>
      </c>
      <c r="Z74" s="83">
        <v>0.3</v>
      </c>
      <c r="AA74" s="37">
        <v>69</v>
      </c>
      <c r="AB74" s="37" t="s">
        <v>549</v>
      </c>
      <c r="AC74" s="78">
        <v>4.0999999999999996</v>
      </c>
      <c r="AD74" s="78">
        <v>5986279</v>
      </c>
      <c r="AE74" s="37" t="s">
        <v>550</v>
      </c>
      <c r="AF74" s="37">
        <v>20251</v>
      </c>
      <c r="AG74" s="37" t="s">
        <v>141</v>
      </c>
      <c r="AH74" s="37" t="b">
        <v>1</v>
      </c>
      <c r="AI74" s="76">
        <v>43466</v>
      </c>
      <c r="AJ74" s="77" t="s">
        <v>142</v>
      </c>
      <c r="AK74" s="37">
        <v>2020</v>
      </c>
      <c r="AL74" s="37" t="s">
        <v>127</v>
      </c>
      <c r="AM74" s="37" t="b">
        <v>0</v>
      </c>
      <c r="AN74" s="37" t="s">
        <v>127</v>
      </c>
      <c r="AO74" s="37" t="s">
        <v>127</v>
      </c>
      <c r="AP74" s="37" t="s">
        <v>137</v>
      </c>
      <c r="AQ74" s="37" t="b">
        <v>0</v>
      </c>
      <c r="AR74" s="37" t="s">
        <v>127</v>
      </c>
      <c r="AS74" s="76" t="s">
        <v>137</v>
      </c>
      <c r="AT74" s="37" t="s">
        <v>127</v>
      </c>
      <c r="AU74" s="37" t="s">
        <v>127</v>
      </c>
      <c r="AV74" s="37" t="s">
        <v>137</v>
      </c>
      <c r="AW74" s="37" t="s">
        <v>137</v>
      </c>
      <c r="AX74" s="37" t="s">
        <v>551</v>
      </c>
      <c r="AY74" s="76" t="s">
        <v>127</v>
      </c>
      <c r="AZ74" s="77" t="s">
        <v>127</v>
      </c>
      <c r="BA74" s="37" t="s">
        <v>137</v>
      </c>
      <c r="BB74" s="37" t="s">
        <v>170</v>
      </c>
      <c r="BC74" s="77" t="s">
        <v>127</v>
      </c>
      <c r="BD74" s="76">
        <v>44378</v>
      </c>
      <c r="BE74" s="76">
        <v>44861</v>
      </c>
      <c r="BF74" s="80">
        <v>45621</v>
      </c>
      <c r="BG74" s="39" t="s">
        <v>552</v>
      </c>
      <c r="BH74" s="37" t="s">
        <v>553</v>
      </c>
      <c r="BI74" s="40" t="b">
        <v>0</v>
      </c>
      <c r="BJ74" s="40">
        <v>6659.3356700000004</v>
      </c>
      <c r="BK74" s="37" t="s">
        <v>127</v>
      </c>
      <c r="BL74" s="41">
        <v>10217.798468527388</v>
      </c>
      <c r="BM74" s="49">
        <v>0</v>
      </c>
      <c r="BN74" s="49">
        <v>203.46172861500003</v>
      </c>
      <c r="BO74" s="49">
        <v>1836.4477746360001</v>
      </c>
      <c r="BP74" s="49">
        <v>1386.0173023469997</v>
      </c>
      <c r="BQ74" s="50">
        <v>3480.4104683890009</v>
      </c>
      <c r="BR74" s="50">
        <v>3062.1506901033558</v>
      </c>
      <c r="BS74" s="50">
        <v>249.31050443703325</v>
      </c>
      <c r="BT74" s="50">
        <v>0</v>
      </c>
      <c r="BU74" s="50">
        <v>0</v>
      </c>
      <c r="BV74" s="50">
        <v>0</v>
      </c>
      <c r="BW74" s="50">
        <v>6578.3150400000004</v>
      </c>
      <c r="BX74" s="37" t="s">
        <v>127</v>
      </c>
      <c r="BY74" s="37" t="s">
        <v>127</v>
      </c>
      <c r="BZ74" s="37" t="s">
        <v>364</v>
      </c>
      <c r="CA74" s="41">
        <v>0</v>
      </c>
      <c r="CB74" s="41">
        <v>0</v>
      </c>
      <c r="CC74" s="41">
        <v>704.90135999999995</v>
      </c>
      <c r="CD74" s="41">
        <v>13.38133</v>
      </c>
      <c r="CE74" s="41">
        <v>0</v>
      </c>
      <c r="CF74" s="41">
        <v>0</v>
      </c>
      <c r="CG74" s="45">
        <v>0</v>
      </c>
      <c r="CH74" s="45" t="s">
        <v>137</v>
      </c>
      <c r="CI74" s="37" t="s">
        <v>127</v>
      </c>
      <c r="CJ74" s="77" t="s">
        <v>127</v>
      </c>
      <c r="CK74" s="98">
        <v>0</v>
      </c>
      <c r="CL74" s="98">
        <v>1</v>
      </c>
      <c r="CM74" s="100" t="s">
        <v>554</v>
      </c>
    </row>
    <row r="75" spans="1:91" ht="12.75" customHeight="1" x14ac:dyDescent="0.3">
      <c r="A75" s="37">
        <v>73</v>
      </c>
      <c r="B75" s="37" t="s">
        <v>555</v>
      </c>
      <c r="C75" s="124"/>
      <c r="D75" s="124"/>
      <c r="E75" s="37" t="s">
        <v>309</v>
      </c>
      <c r="F75" s="36" t="s">
        <v>556</v>
      </c>
      <c r="G75" s="81" t="s">
        <v>159</v>
      </c>
      <c r="H75" s="37" t="s">
        <v>227</v>
      </c>
      <c r="I75" s="37" t="s">
        <v>127</v>
      </c>
      <c r="J75" s="37" t="s">
        <v>127</v>
      </c>
      <c r="K75" s="37" t="s">
        <v>522</v>
      </c>
      <c r="L75" s="75" t="s">
        <v>523</v>
      </c>
      <c r="M75" s="37" t="s">
        <v>152</v>
      </c>
      <c r="N75" s="37" t="s">
        <v>152</v>
      </c>
      <c r="O75" s="76">
        <v>45403</v>
      </c>
      <c r="P75" s="37" t="s">
        <v>135</v>
      </c>
      <c r="Q75" s="37" t="s">
        <v>127</v>
      </c>
      <c r="R75" s="37" t="s">
        <v>127</v>
      </c>
      <c r="S75" s="37" t="s">
        <v>127</v>
      </c>
      <c r="T75" s="37" t="s">
        <v>127</v>
      </c>
      <c r="U75" s="37" t="s">
        <v>136</v>
      </c>
      <c r="V75" s="37" t="b">
        <v>0</v>
      </c>
      <c r="W75" s="37" t="s">
        <v>127</v>
      </c>
      <c r="X75" s="123"/>
      <c r="Y75" s="37" t="s">
        <v>127</v>
      </c>
      <c r="Z75" s="37">
        <v>55.48</v>
      </c>
      <c r="AA75" s="37" t="s">
        <v>557</v>
      </c>
      <c r="AB75" s="37" t="s">
        <v>525</v>
      </c>
      <c r="AC75" s="78">
        <v>1.1000000000000001</v>
      </c>
      <c r="AD75" s="78">
        <v>5753008</v>
      </c>
      <c r="AE75" s="37" t="s">
        <v>558</v>
      </c>
      <c r="AF75" s="37">
        <v>15125</v>
      </c>
      <c r="AG75" s="37" t="s">
        <v>127</v>
      </c>
      <c r="AH75" s="37" t="b">
        <v>1</v>
      </c>
      <c r="AI75" s="76" t="s">
        <v>127</v>
      </c>
      <c r="AJ75" s="77" t="s">
        <v>142</v>
      </c>
      <c r="AK75" s="37" t="s">
        <v>127</v>
      </c>
      <c r="AL75" s="37" t="s">
        <v>127</v>
      </c>
      <c r="AM75" s="37" t="b">
        <v>0</v>
      </c>
      <c r="AN75" s="37" t="s">
        <v>127</v>
      </c>
      <c r="AO75" s="37" t="s">
        <v>127</v>
      </c>
      <c r="AP75" s="37" t="s">
        <v>127</v>
      </c>
      <c r="AQ75" s="37" t="b">
        <v>0</v>
      </c>
      <c r="AR75" s="37" t="s">
        <v>127</v>
      </c>
      <c r="AS75" s="37" t="s">
        <v>127</v>
      </c>
      <c r="AT75" s="37" t="s">
        <v>127</v>
      </c>
      <c r="AU75" s="37" t="s">
        <v>127</v>
      </c>
      <c r="AV75" s="37" t="s">
        <v>127</v>
      </c>
      <c r="AW75" s="37" t="s">
        <v>127</v>
      </c>
      <c r="AX75" s="37" t="s">
        <v>161</v>
      </c>
      <c r="AY75" s="37" t="s">
        <v>127</v>
      </c>
      <c r="AZ75" s="37" t="s">
        <v>127</v>
      </c>
      <c r="BA75" s="37" t="s">
        <v>127</v>
      </c>
      <c r="BB75" s="37" t="s">
        <v>143</v>
      </c>
      <c r="BC75" s="77" t="s">
        <v>127</v>
      </c>
      <c r="BD75" s="76" t="s">
        <v>559</v>
      </c>
      <c r="BE75" s="37" t="s">
        <v>127</v>
      </c>
      <c r="BF75" s="86" t="s">
        <v>560</v>
      </c>
      <c r="BG75" s="39" t="s">
        <v>127</v>
      </c>
      <c r="BH75" s="37" t="s">
        <v>127</v>
      </c>
      <c r="BI75" s="40" t="b">
        <v>1</v>
      </c>
      <c r="BJ75" s="40" t="s">
        <v>137</v>
      </c>
      <c r="BK75" s="37" t="s">
        <v>127</v>
      </c>
      <c r="BL75" s="41">
        <v>3402.7728073997864</v>
      </c>
      <c r="BM75" s="41">
        <v>0</v>
      </c>
      <c r="BN75" s="41">
        <v>0</v>
      </c>
      <c r="BO75" s="41">
        <v>0</v>
      </c>
      <c r="BP75" s="41">
        <v>0</v>
      </c>
      <c r="BQ75" s="41">
        <v>0.29146</v>
      </c>
      <c r="BR75" s="41">
        <v>3402.4813473997865</v>
      </c>
      <c r="BS75" s="41">
        <v>0</v>
      </c>
      <c r="BT75" s="41">
        <v>0</v>
      </c>
      <c r="BU75" s="41">
        <v>0</v>
      </c>
      <c r="BV75" s="41">
        <v>0</v>
      </c>
      <c r="BW75" s="49">
        <v>1250.6513399999999</v>
      </c>
      <c r="BX75" s="37" t="s">
        <v>127</v>
      </c>
      <c r="BY75" s="37" t="s">
        <v>127</v>
      </c>
      <c r="BZ75" s="37" t="s">
        <v>173</v>
      </c>
      <c r="CA75" s="41">
        <v>0</v>
      </c>
      <c r="CB75" s="41">
        <v>0</v>
      </c>
      <c r="CC75" s="41">
        <v>0</v>
      </c>
      <c r="CD75" s="41">
        <v>0</v>
      </c>
      <c r="CE75" s="41">
        <v>0</v>
      </c>
      <c r="CF75" s="41">
        <v>3402.7728073997855</v>
      </c>
      <c r="CG75" s="45">
        <v>0</v>
      </c>
      <c r="CH75" s="45" t="s">
        <v>137</v>
      </c>
      <c r="CI75" s="77" t="s">
        <v>127</v>
      </c>
      <c r="CJ75" s="77" t="s">
        <v>127</v>
      </c>
      <c r="CK75" s="98">
        <v>0.18140000000000001</v>
      </c>
      <c r="CL75" s="98">
        <v>0.81859999999999999</v>
      </c>
      <c r="CM75" s="100" t="s">
        <v>541</v>
      </c>
    </row>
    <row r="76" spans="1:91" ht="12.75" customHeight="1" x14ac:dyDescent="0.3">
      <c r="A76" s="37">
        <v>74</v>
      </c>
      <c r="B76" s="37" t="s">
        <v>561</v>
      </c>
      <c r="C76" s="124"/>
      <c r="D76" s="124"/>
      <c r="E76" s="37" t="s">
        <v>258</v>
      </c>
      <c r="F76" s="36" t="s">
        <v>528</v>
      </c>
      <c r="G76" s="81" t="s">
        <v>529</v>
      </c>
      <c r="H76" s="37" t="s">
        <v>227</v>
      </c>
      <c r="I76" s="37" t="s">
        <v>127</v>
      </c>
      <c r="J76" s="37" t="s">
        <v>127</v>
      </c>
      <c r="K76" s="37" t="s">
        <v>522</v>
      </c>
      <c r="L76" s="75" t="s">
        <v>523</v>
      </c>
      <c r="M76" s="37" t="s">
        <v>152</v>
      </c>
      <c r="N76" s="37" t="s">
        <v>152</v>
      </c>
      <c r="O76" s="76">
        <v>45405</v>
      </c>
      <c r="P76" s="37" t="s">
        <v>135</v>
      </c>
      <c r="Q76" s="37" t="s">
        <v>127</v>
      </c>
      <c r="R76" s="37" t="s">
        <v>127</v>
      </c>
      <c r="S76" s="37" t="s">
        <v>127</v>
      </c>
      <c r="T76" s="37" t="s">
        <v>127</v>
      </c>
      <c r="U76" s="37" t="s">
        <v>136</v>
      </c>
      <c r="V76" s="37" t="b">
        <v>0</v>
      </c>
      <c r="W76" s="37" t="s">
        <v>127</v>
      </c>
      <c r="X76" s="123"/>
      <c r="Y76" s="37" t="s">
        <v>127</v>
      </c>
      <c r="Z76" s="37">
        <v>9</v>
      </c>
      <c r="AA76" s="37" t="s">
        <v>562</v>
      </c>
      <c r="AB76" s="37" t="s">
        <v>525</v>
      </c>
      <c r="AC76" s="78">
        <v>1.1000000000000001</v>
      </c>
      <c r="AD76" s="78">
        <v>5552660</v>
      </c>
      <c r="AE76" s="37" t="s">
        <v>563</v>
      </c>
      <c r="AF76" s="37">
        <v>15125</v>
      </c>
      <c r="AG76" s="37" t="s">
        <v>127</v>
      </c>
      <c r="AH76" s="37" t="b">
        <v>1</v>
      </c>
      <c r="AI76" s="76" t="s">
        <v>127</v>
      </c>
      <c r="AJ76" s="77" t="s">
        <v>142</v>
      </c>
      <c r="AK76" s="37" t="s">
        <v>127</v>
      </c>
      <c r="AL76" s="37" t="s">
        <v>127</v>
      </c>
      <c r="AM76" s="37" t="b">
        <v>0</v>
      </c>
      <c r="AN76" s="37" t="s">
        <v>127</v>
      </c>
      <c r="AO76" s="37" t="s">
        <v>127</v>
      </c>
      <c r="AP76" s="37" t="s">
        <v>127</v>
      </c>
      <c r="AQ76" s="37" t="b">
        <v>0</v>
      </c>
      <c r="AR76" s="37" t="s">
        <v>127</v>
      </c>
      <c r="AS76" s="37" t="s">
        <v>127</v>
      </c>
      <c r="AT76" s="37" t="s">
        <v>127</v>
      </c>
      <c r="AU76" s="37" t="s">
        <v>127</v>
      </c>
      <c r="AV76" s="37" t="s">
        <v>127</v>
      </c>
      <c r="AW76" s="37" t="s">
        <v>127</v>
      </c>
      <c r="AX76" s="37" t="s">
        <v>532</v>
      </c>
      <c r="AY76" s="37" t="s">
        <v>127</v>
      </c>
      <c r="AZ76" s="37" t="s">
        <v>127</v>
      </c>
      <c r="BA76" s="37" t="s">
        <v>127</v>
      </c>
      <c r="BB76" s="37" t="s">
        <v>396</v>
      </c>
      <c r="BC76" s="77" t="s">
        <v>127</v>
      </c>
      <c r="BD76" s="76" t="s">
        <v>564</v>
      </c>
      <c r="BE76" s="37" t="s">
        <v>127</v>
      </c>
      <c r="BF76" s="86" t="s">
        <v>534</v>
      </c>
      <c r="BG76" s="39" t="s">
        <v>127</v>
      </c>
      <c r="BH76" s="37" t="s">
        <v>127</v>
      </c>
      <c r="BI76" s="40" t="b">
        <v>1</v>
      </c>
      <c r="BJ76" s="40" t="s">
        <v>137</v>
      </c>
      <c r="BK76" s="37" t="s">
        <v>127</v>
      </c>
      <c r="BL76" s="41">
        <v>18145.823521761453</v>
      </c>
      <c r="BM76" s="41">
        <v>0</v>
      </c>
      <c r="BN76" s="41">
        <v>0</v>
      </c>
      <c r="BO76" s="41">
        <v>772.69348000000002</v>
      </c>
      <c r="BP76" s="41">
        <v>2301.7352900000001</v>
      </c>
      <c r="BQ76" s="41">
        <v>7337.374416560001</v>
      </c>
      <c r="BR76" s="41">
        <v>7734.0203352014451</v>
      </c>
      <c r="BS76" s="41">
        <v>0</v>
      </c>
      <c r="BT76" s="41">
        <v>0</v>
      </c>
      <c r="BU76" s="41">
        <v>0</v>
      </c>
      <c r="BV76" s="41">
        <v>0</v>
      </c>
      <c r="BW76" s="49">
        <v>11801.4696</v>
      </c>
      <c r="BX76" s="37" t="s">
        <v>127</v>
      </c>
      <c r="BY76" s="37" t="s">
        <v>127</v>
      </c>
      <c r="BZ76" s="37" t="s">
        <v>173</v>
      </c>
      <c r="CA76" s="41">
        <v>0</v>
      </c>
      <c r="CB76" s="41">
        <v>0</v>
      </c>
      <c r="CC76" s="41">
        <v>0</v>
      </c>
      <c r="CD76" s="41">
        <v>0</v>
      </c>
      <c r="CE76" s="41">
        <v>0</v>
      </c>
      <c r="CF76" s="41">
        <v>18145.823521761438</v>
      </c>
      <c r="CG76" s="45">
        <v>0</v>
      </c>
      <c r="CH76" s="45" t="s">
        <v>137</v>
      </c>
      <c r="CI76" s="37" t="s">
        <v>127</v>
      </c>
      <c r="CJ76" s="77" t="s">
        <v>127</v>
      </c>
      <c r="CK76" s="98">
        <v>0.18140000000000001</v>
      </c>
      <c r="CL76" s="98">
        <v>0.81859999999999999</v>
      </c>
      <c r="CM76" s="100" t="s">
        <v>541</v>
      </c>
    </row>
    <row r="77" spans="1:91" ht="12.75" customHeight="1" x14ac:dyDescent="0.3">
      <c r="A77" s="37">
        <v>75</v>
      </c>
      <c r="B77" s="37" t="s">
        <v>565</v>
      </c>
      <c r="C77" s="125"/>
      <c r="D77" s="123"/>
      <c r="E77" s="37" t="s">
        <v>127</v>
      </c>
      <c r="F77" s="36" t="s">
        <v>528</v>
      </c>
      <c r="G77" s="81" t="s">
        <v>529</v>
      </c>
      <c r="H77" s="37" t="s">
        <v>227</v>
      </c>
      <c r="I77" s="37" t="s">
        <v>127</v>
      </c>
      <c r="J77" s="37" t="s">
        <v>127</v>
      </c>
      <c r="K77" s="37" t="s">
        <v>522</v>
      </c>
      <c r="L77" s="75" t="s">
        <v>523</v>
      </c>
      <c r="M77" s="37" t="s">
        <v>152</v>
      </c>
      <c r="N77" s="37" t="s">
        <v>152</v>
      </c>
      <c r="O77" s="76" t="s">
        <v>127</v>
      </c>
      <c r="P77" s="37" t="s">
        <v>135</v>
      </c>
      <c r="Q77" s="37" t="s">
        <v>127</v>
      </c>
      <c r="R77" s="37" t="s">
        <v>127</v>
      </c>
      <c r="S77" s="37" t="s">
        <v>127</v>
      </c>
      <c r="T77" s="37" t="s">
        <v>127</v>
      </c>
      <c r="U77" s="37" t="s">
        <v>136</v>
      </c>
      <c r="V77" s="37" t="b">
        <v>0</v>
      </c>
      <c r="W77" s="37" t="s">
        <v>127</v>
      </c>
      <c r="X77" s="123"/>
      <c r="Y77" s="37" t="s">
        <v>127</v>
      </c>
      <c r="Z77" s="37" t="s">
        <v>127</v>
      </c>
      <c r="AA77" s="37" t="s">
        <v>566</v>
      </c>
      <c r="AB77" s="37" t="s">
        <v>525</v>
      </c>
      <c r="AC77" s="78">
        <v>1.1000000000000001</v>
      </c>
      <c r="AD77" s="78">
        <v>5728144</v>
      </c>
      <c r="AE77" s="37" t="s">
        <v>567</v>
      </c>
      <c r="AF77" s="37">
        <v>15125</v>
      </c>
      <c r="AG77" s="37" t="s">
        <v>127</v>
      </c>
      <c r="AH77" s="37" t="b">
        <v>1</v>
      </c>
      <c r="AI77" s="76" t="s">
        <v>127</v>
      </c>
      <c r="AJ77" s="77" t="s">
        <v>142</v>
      </c>
      <c r="AK77" s="37" t="s">
        <v>127</v>
      </c>
      <c r="AL77" s="37" t="s">
        <v>127</v>
      </c>
      <c r="AM77" s="37" t="b">
        <v>0</v>
      </c>
      <c r="AN77" s="37" t="s">
        <v>127</v>
      </c>
      <c r="AO77" s="37" t="s">
        <v>127</v>
      </c>
      <c r="AP77" s="37" t="s">
        <v>127</v>
      </c>
      <c r="AQ77" s="37" t="b">
        <v>0</v>
      </c>
      <c r="AR77" s="37" t="s">
        <v>127</v>
      </c>
      <c r="AS77" s="37" t="s">
        <v>127</v>
      </c>
      <c r="AT77" s="37" t="s">
        <v>127</v>
      </c>
      <c r="AU77" s="37" t="s">
        <v>127</v>
      </c>
      <c r="AV77" s="37" t="s">
        <v>127</v>
      </c>
      <c r="AW77" s="37" t="s">
        <v>127</v>
      </c>
      <c r="AX77" s="37" t="s">
        <v>127</v>
      </c>
      <c r="AY77" s="37" t="s">
        <v>127</v>
      </c>
      <c r="AZ77" s="37" t="s">
        <v>127</v>
      </c>
      <c r="BA77" s="37" t="s">
        <v>127</v>
      </c>
      <c r="BB77" s="37" t="s">
        <v>127</v>
      </c>
      <c r="BC77" s="77" t="s">
        <v>127</v>
      </c>
      <c r="BD77" s="76" t="s">
        <v>127</v>
      </c>
      <c r="BE77" s="37" t="s">
        <v>127</v>
      </c>
      <c r="BF77" s="37" t="s">
        <v>127</v>
      </c>
      <c r="BG77" s="39" t="s">
        <v>127</v>
      </c>
      <c r="BH77" s="37" t="s">
        <v>127</v>
      </c>
      <c r="BI77" s="40" t="b">
        <v>1</v>
      </c>
      <c r="BJ77" s="40" t="s">
        <v>137</v>
      </c>
      <c r="BK77" s="37" t="s">
        <v>127</v>
      </c>
      <c r="BL77" s="41">
        <v>8890.0733863009518</v>
      </c>
      <c r="BM77" s="41">
        <v>0</v>
      </c>
      <c r="BN77" s="41">
        <v>0</v>
      </c>
      <c r="BO77" s="41">
        <v>0</v>
      </c>
      <c r="BP77" s="41">
        <v>1866.1809800000001</v>
      </c>
      <c r="BQ77" s="41">
        <v>6192.5558400000009</v>
      </c>
      <c r="BR77" s="41">
        <v>831.33656630095004</v>
      </c>
      <c r="BS77" s="41">
        <v>0</v>
      </c>
      <c r="BT77" s="41">
        <v>0</v>
      </c>
      <c r="BU77" s="41">
        <v>0</v>
      </c>
      <c r="BV77" s="41">
        <v>0</v>
      </c>
      <c r="BW77" s="49">
        <v>0</v>
      </c>
      <c r="BX77" s="37" t="s">
        <v>127</v>
      </c>
      <c r="BY77" s="37" t="s">
        <v>127</v>
      </c>
      <c r="BZ77" s="37" t="s">
        <v>198</v>
      </c>
      <c r="CA77" s="41">
        <v>0</v>
      </c>
      <c r="CB77" s="41">
        <v>0</v>
      </c>
      <c r="CC77" s="41">
        <v>0</v>
      </c>
      <c r="CD77" s="41">
        <v>5722.7008399999995</v>
      </c>
      <c r="CE77" s="41">
        <v>441.54</v>
      </c>
      <c r="CF77" s="41">
        <v>717.30573897595002</v>
      </c>
      <c r="CG77" s="45">
        <v>0</v>
      </c>
      <c r="CH77" s="45" t="s">
        <v>137</v>
      </c>
      <c r="CI77" s="37" t="s">
        <v>127</v>
      </c>
      <c r="CJ77" s="77" t="s">
        <v>127</v>
      </c>
      <c r="CK77" s="98">
        <v>0.18140000000000001</v>
      </c>
      <c r="CL77" s="98">
        <v>0.81859999999999999</v>
      </c>
      <c r="CM77" s="99" t="s">
        <v>568</v>
      </c>
    </row>
    <row r="78" spans="1:91" ht="12.75" customHeight="1" x14ac:dyDescent="0.3">
      <c r="A78" s="37">
        <v>76</v>
      </c>
      <c r="B78" s="37" t="s">
        <v>569</v>
      </c>
      <c r="C78" s="124"/>
      <c r="D78" s="124"/>
      <c r="E78" s="37" t="s">
        <v>570</v>
      </c>
      <c r="F78" s="36" t="s">
        <v>528</v>
      </c>
      <c r="G78" s="81" t="s">
        <v>529</v>
      </c>
      <c r="H78" s="37" t="s">
        <v>227</v>
      </c>
      <c r="I78" s="37" t="s">
        <v>127</v>
      </c>
      <c r="J78" s="37" t="s">
        <v>127</v>
      </c>
      <c r="K78" s="37" t="s">
        <v>522</v>
      </c>
      <c r="L78" s="75" t="s">
        <v>523</v>
      </c>
      <c r="M78" s="37" t="s">
        <v>152</v>
      </c>
      <c r="N78" s="37" t="s">
        <v>152</v>
      </c>
      <c r="O78" s="76">
        <v>45403</v>
      </c>
      <c r="P78" s="37" t="s">
        <v>135</v>
      </c>
      <c r="Q78" s="37" t="s">
        <v>127</v>
      </c>
      <c r="R78" s="37" t="s">
        <v>127</v>
      </c>
      <c r="S78" s="37" t="s">
        <v>127</v>
      </c>
      <c r="T78" s="37" t="s">
        <v>248</v>
      </c>
      <c r="U78" s="37" t="s">
        <v>136</v>
      </c>
      <c r="V78" s="37" t="b">
        <v>0</v>
      </c>
      <c r="W78" s="37" t="s">
        <v>127</v>
      </c>
      <c r="X78" s="123"/>
      <c r="Y78" s="37" t="s">
        <v>137</v>
      </c>
      <c r="Z78" s="37">
        <v>55.48</v>
      </c>
      <c r="AA78" s="37" t="s">
        <v>571</v>
      </c>
      <c r="AB78" s="37" t="s">
        <v>525</v>
      </c>
      <c r="AC78" s="78">
        <v>1.1000000000000001</v>
      </c>
      <c r="AD78" s="78">
        <v>5986268</v>
      </c>
      <c r="AE78" s="37" t="s">
        <v>558</v>
      </c>
      <c r="AF78" s="37">
        <v>15125</v>
      </c>
      <c r="AG78" s="37" t="s">
        <v>127</v>
      </c>
      <c r="AH78" s="37" t="b">
        <v>1</v>
      </c>
      <c r="AI78" s="76" t="s">
        <v>127</v>
      </c>
      <c r="AJ78" s="77" t="s">
        <v>142</v>
      </c>
      <c r="AK78" s="37" t="s">
        <v>127</v>
      </c>
      <c r="AL78" s="37" t="s">
        <v>127</v>
      </c>
      <c r="AM78" s="37" t="b">
        <v>0</v>
      </c>
      <c r="AN78" s="37" t="s">
        <v>127</v>
      </c>
      <c r="AO78" s="37" t="s">
        <v>127</v>
      </c>
      <c r="AP78" s="37" t="s">
        <v>127</v>
      </c>
      <c r="AQ78" s="37" t="b">
        <v>0</v>
      </c>
      <c r="AR78" s="37" t="s">
        <v>127</v>
      </c>
      <c r="AS78" s="37" t="s">
        <v>127</v>
      </c>
      <c r="AT78" s="37" t="s">
        <v>127</v>
      </c>
      <c r="AU78" s="37" t="s">
        <v>127</v>
      </c>
      <c r="AV78" s="37" t="s">
        <v>127</v>
      </c>
      <c r="AW78" s="37" t="s">
        <v>127</v>
      </c>
      <c r="AX78" s="77" t="s">
        <v>127</v>
      </c>
      <c r="AY78" s="80" t="s">
        <v>127</v>
      </c>
      <c r="AZ78" s="37" t="s">
        <v>127</v>
      </c>
      <c r="BA78" s="37" t="s">
        <v>127</v>
      </c>
      <c r="BB78" s="37" t="s">
        <v>143</v>
      </c>
      <c r="BC78" s="77" t="s">
        <v>127</v>
      </c>
      <c r="BD78" s="76" t="s">
        <v>127</v>
      </c>
      <c r="BE78" s="37" t="s">
        <v>127</v>
      </c>
      <c r="BF78" s="80" t="s">
        <v>127</v>
      </c>
      <c r="BG78" s="39" t="s">
        <v>127</v>
      </c>
      <c r="BH78" s="37" t="s">
        <v>127</v>
      </c>
      <c r="BI78" s="40" t="b">
        <v>0</v>
      </c>
      <c r="BJ78" s="40" t="s">
        <v>137</v>
      </c>
      <c r="BK78" s="37" t="s">
        <v>127</v>
      </c>
      <c r="BL78" s="41">
        <v>20699.22205</v>
      </c>
      <c r="BM78" s="41">
        <v>0</v>
      </c>
      <c r="BN78" s="41">
        <v>5414.1155599999984</v>
      </c>
      <c r="BO78" s="41">
        <v>15252.684369999997</v>
      </c>
      <c r="BP78" s="41">
        <v>26.698090000000001</v>
      </c>
      <c r="BQ78" s="41">
        <v>5.72403</v>
      </c>
      <c r="BR78" s="41">
        <v>0</v>
      </c>
      <c r="BS78" s="41">
        <v>0</v>
      </c>
      <c r="BT78" s="41">
        <v>0</v>
      </c>
      <c r="BU78" s="41">
        <v>0</v>
      </c>
      <c r="BV78" s="41">
        <v>0</v>
      </c>
      <c r="BW78" s="49">
        <v>0</v>
      </c>
      <c r="BX78" s="37" t="s">
        <v>127</v>
      </c>
      <c r="BY78" s="37" t="s">
        <v>127</v>
      </c>
      <c r="BZ78" s="37" t="s">
        <v>483</v>
      </c>
      <c r="CA78" s="41">
        <v>0</v>
      </c>
      <c r="CB78" s="41">
        <v>20666.8</v>
      </c>
      <c r="CC78" s="41">
        <v>26.7</v>
      </c>
      <c r="CD78" s="41">
        <v>5.72</v>
      </c>
      <c r="CE78" s="41">
        <v>0</v>
      </c>
      <c r="CF78" s="41">
        <v>0</v>
      </c>
      <c r="CG78" s="45">
        <v>0</v>
      </c>
      <c r="CH78" s="45" t="s">
        <v>137</v>
      </c>
      <c r="CI78" s="77" t="s">
        <v>127</v>
      </c>
      <c r="CJ78" s="77" t="s">
        <v>127</v>
      </c>
      <c r="CK78" s="98">
        <v>0.18140000000000001</v>
      </c>
      <c r="CL78" s="98">
        <v>0.81859999999999999</v>
      </c>
      <c r="CM78" s="99" t="s">
        <v>572</v>
      </c>
    </row>
    <row r="79" spans="1:91" ht="12.75" customHeight="1" x14ac:dyDescent="0.3">
      <c r="A79" s="37">
        <v>77</v>
      </c>
      <c r="B79" s="37" t="s">
        <v>573</v>
      </c>
      <c r="C79" s="124"/>
      <c r="D79" s="124"/>
      <c r="E79" s="37" t="s">
        <v>309</v>
      </c>
      <c r="F79" s="36" t="s">
        <v>528</v>
      </c>
      <c r="G79" s="81" t="s">
        <v>529</v>
      </c>
      <c r="H79" s="37" t="s">
        <v>227</v>
      </c>
      <c r="I79" s="37" t="s">
        <v>127</v>
      </c>
      <c r="J79" s="37" t="s">
        <v>127</v>
      </c>
      <c r="K79" s="37" t="s">
        <v>522</v>
      </c>
      <c r="L79" s="75" t="s">
        <v>523</v>
      </c>
      <c r="M79" s="37" t="s">
        <v>152</v>
      </c>
      <c r="N79" s="37" t="s">
        <v>152</v>
      </c>
      <c r="O79" s="76">
        <v>45423</v>
      </c>
      <c r="P79" s="37" t="s">
        <v>135</v>
      </c>
      <c r="Q79" s="37" t="s">
        <v>127</v>
      </c>
      <c r="R79" s="37" t="s">
        <v>127</v>
      </c>
      <c r="S79" s="37" t="s">
        <v>127</v>
      </c>
      <c r="T79" s="37" t="s">
        <v>127</v>
      </c>
      <c r="U79" s="37" t="s">
        <v>136</v>
      </c>
      <c r="V79" s="37" t="b">
        <v>0</v>
      </c>
      <c r="W79" s="37" t="s">
        <v>127</v>
      </c>
      <c r="X79" s="123"/>
      <c r="Y79" s="37" t="s">
        <v>127</v>
      </c>
      <c r="Z79" s="37">
        <v>28.98</v>
      </c>
      <c r="AA79" s="37" t="s">
        <v>574</v>
      </c>
      <c r="AB79" s="37" t="s">
        <v>525</v>
      </c>
      <c r="AC79" s="78">
        <v>1.1000000000000001</v>
      </c>
      <c r="AD79" s="78">
        <v>5831095</v>
      </c>
      <c r="AE79" s="37" t="s">
        <v>575</v>
      </c>
      <c r="AF79" s="37">
        <v>15125</v>
      </c>
      <c r="AG79" s="37" t="s">
        <v>127</v>
      </c>
      <c r="AH79" s="37" t="b">
        <v>1</v>
      </c>
      <c r="AI79" s="76" t="s">
        <v>127</v>
      </c>
      <c r="AJ79" s="77" t="s">
        <v>142</v>
      </c>
      <c r="AK79" s="37" t="s">
        <v>127</v>
      </c>
      <c r="AL79" s="37" t="s">
        <v>127</v>
      </c>
      <c r="AM79" s="37" t="b">
        <v>0</v>
      </c>
      <c r="AN79" s="37" t="s">
        <v>127</v>
      </c>
      <c r="AO79" s="37" t="s">
        <v>127</v>
      </c>
      <c r="AP79" s="37" t="s">
        <v>127</v>
      </c>
      <c r="AQ79" s="37" t="b">
        <v>0</v>
      </c>
      <c r="AR79" s="37" t="s">
        <v>127</v>
      </c>
      <c r="AS79" s="37" t="s">
        <v>127</v>
      </c>
      <c r="AT79" s="37" t="s">
        <v>127</v>
      </c>
      <c r="AU79" s="37" t="s">
        <v>127</v>
      </c>
      <c r="AV79" s="37" t="s">
        <v>127</v>
      </c>
      <c r="AW79" s="37" t="s">
        <v>127</v>
      </c>
      <c r="AX79" s="37" t="s">
        <v>532</v>
      </c>
      <c r="AY79" s="37" t="s">
        <v>127</v>
      </c>
      <c r="AZ79" s="37" t="s">
        <v>127</v>
      </c>
      <c r="BA79" s="37" t="s">
        <v>127</v>
      </c>
      <c r="BB79" s="37" t="s">
        <v>396</v>
      </c>
      <c r="BC79" s="77" t="s">
        <v>127</v>
      </c>
      <c r="BD79" s="76" t="s">
        <v>576</v>
      </c>
      <c r="BE79" s="37" t="s">
        <v>127</v>
      </c>
      <c r="BF79" s="86" t="s">
        <v>577</v>
      </c>
      <c r="BG79" s="39" t="s">
        <v>127</v>
      </c>
      <c r="BH79" s="37" t="s">
        <v>127</v>
      </c>
      <c r="BI79" s="40" t="b">
        <v>1</v>
      </c>
      <c r="BJ79" s="40" t="s">
        <v>137</v>
      </c>
      <c r="BK79" s="37" t="s">
        <v>127</v>
      </c>
      <c r="BL79" s="41">
        <v>13274.615463013633</v>
      </c>
      <c r="BM79" s="41">
        <v>0</v>
      </c>
      <c r="BN79" s="41">
        <v>0</v>
      </c>
      <c r="BO79" s="41">
        <v>0</v>
      </c>
      <c r="BP79" s="41">
        <v>74.871779999999731</v>
      </c>
      <c r="BQ79" s="41">
        <v>5259.3465099999994</v>
      </c>
      <c r="BR79" s="41">
        <v>7940.3971730136291</v>
      </c>
      <c r="BS79" s="41">
        <v>0</v>
      </c>
      <c r="BT79" s="41">
        <v>0</v>
      </c>
      <c r="BU79" s="41">
        <v>0</v>
      </c>
      <c r="BV79" s="41">
        <v>0</v>
      </c>
      <c r="BW79" s="49">
        <v>9495.0897399999994</v>
      </c>
      <c r="BX79" s="37" t="s">
        <v>127</v>
      </c>
      <c r="BY79" s="37" t="s">
        <v>127</v>
      </c>
      <c r="BZ79" s="37" t="s">
        <v>173</v>
      </c>
      <c r="CA79" s="41">
        <v>0</v>
      </c>
      <c r="CB79" s="41">
        <v>0</v>
      </c>
      <c r="CC79" s="41">
        <v>0</v>
      </c>
      <c r="CD79" s="41">
        <v>0</v>
      </c>
      <c r="CE79" s="41">
        <v>0</v>
      </c>
      <c r="CF79" s="41">
        <v>13247.863753013631</v>
      </c>
      <c r="CG79" s="45">
        <v>0</v>
      </c>
      <c r="CH79" s="45" t="s">
        <v>137</v>
      </c>
      <c r="CI79" s="37" t="s">
        <v>127</v>
      </c>
      <c r="CJ79" s="77" t="s">
        <v>127</v>
      </c>
      <c r="CK79" s="98">
        <v>0.18140000000000001</v>
      </c>
      <c r="CL79" s="98">
        <v>0.81859999999999999</v>
      </c>
      <c r="CM79" s="100" t="s">
        <v>541</v>
      </c>
    </row>
    <row r="80" spans="1:91" ht="12.75" customHeight="1" x14ac:dyDescent="0.3">
      <c r="A80" s="37">
        <v>78</v>
      </c>
      <c r="B80" s="37" t="s">
        <v>578</v>
      </c>
      <c r="C80" s="124"/>
      <c r="D80" s="124"/>
      <c r="E80" s="37" t="s">
        <v>246</v>
      </c>
      <c r="F80" s="36" t="s">
        <v>528</v>
      </c>
      <c r="G80" s="81" t="s">
        <v>529</v>
      </c>
      <c r="H80" s="37" t="s">
        <v>227</v>
      </c>
      <c r="I80" s="37" t="s">
        <v>127</v>
      </c>
      <c r="J80" s="37" t="s">
        <v>127</v>
      </c>
      <c r="K80" s="37" t="s">
        <v>522</v>
      </c>
      <c r="L80" s="75" t="s">
        <v>523</v>
      </c>
      <c r="M80" s="37" t="s">
        <v>152</v>
      </c>
      <c r="N80" s="37" t="s">
        <v>152</v>
      </c>
      <c r="O80" s="76">
        <v>45416</v>
      </c>
      <c r="P80" s="37" t="s">
        <v>135</v>
      </c>
      <c r="Q80" s="37" t="s">
        <v>127</v>
      </c>
      <c r="R80" s="37" t="s">
        <v>127</v>
      </c>
      <c r="S80" s="37" t="s">
        <v>127</v>
      </c>
      <c r="T80" s="37" t="s">
        <v>248</v>
      </c>
      <c r="U80" s="37" t="s">
        <v>136</v>
      </c>
      <c r="V80" s="37" t="b">
        <v>0</v>
      </c>
      <c r="W80" s="37" t="s">
        <v>127</v>
      </c>
      <c r="X80" s="123"/>
      <c r="Y80" s="37" t="s">
        <v>127</v>
      </c>
      <c r="Z80" s="37">
        <v>40.94</v>
      </c>
      <c r="AA80" s="37" t="s">
        <v>579</v>
      </c>
      <c r="AB80" s="37" t="s">
        <v>525</v>
      </c>
      <c r="AC80" s="78">
        <v>1.1000000000000001</v>
      </c>
      <c r="AD80" s="78">
        <v>5878897</v>
      </c>
      <c r="AE80" s="37" t="s">
        <v>580</v>
      </c>
      <c r="AF80" s="37">
        <v>15125</v>
      </c>
      <c r="AG80" s="37" t="s">
        <v>127</v>
      </c>
      <c r="AH80" s="37" t="b">
        <v>1</v>
      </c>
      <c r="AI80" s="76" t="s">
        <v>127</v>
      </c>
      <c r="AJ80" s="77" t="s">
        <v>142</v>
      </c>
      <c r="AK80" s="37" t="s">
        <v>127</v>
      </c>
      <c r="AL80" s="37" t="s">
        <v>127</v>
      </c>
      <c r="AM80" s="37" t="b">
        <v>0</v>
      </c>
      <c r="AN80" s="37" t="s">
        <v>127</v>
      </c>
      <c r="AO80" s="37" t="s">
        <v>127</v>
      </c>
      <c r="AP80" s="37" t="s">
        <v>127</v>
      </c>
      <c r="AQ80" s="37" t="b">
        <v>0</v>
      </c>
      <c r="AR80" s="37" t="s">
        <v>127</v>
      </c>
      <c r="AS80" s="37" t="s">
        <v>127</v>
      </c>
      <c r="AT80" s="37" t="s">
        <v>127</v>
      </c>
      <c r="AU80" s="37" t="s">
        <v>127</v>
      </c>
      <c r="AV80" s="37" t="s">
        <v>127</v>
      </c>
      <c r="AW80" s="37" t="s">
        <v>127</v>
      </c>
      <c r="AX80" s="37" t="s">
        <v>532</v>
      </c>
      <c r="AY80" s="37" t="s">
        <v>127</v>
      </c>
      <c r="AZ80" s="37" t="s">
        <v>127</v>
      </c>
      <c r="BA80" s="37" t="s">
        <v>127</v>
      </c>
      <c r="BB80" s="37" t="s">
        <v>143</v>
      </c>
      <c r="BC80" s="77" t="s">
        <v>127</v>
      </c>
      <c r="BD80" s="76" t="s">
        <v>581</v>
      </c>
      <c r="BE80" s="37" t="s">
        <v>127</v>
      </c>
      <c r="BF80" s="86" t="s">
        <v>582</v>
      </c>
      <c r="BG80" s="39" t="s">
        <v>127</v>
      </c>
      <c r="BH80" s="37" t="s">
        <v>127</v>
      </c>
      <c r="BI80" s="40" t="b">
        <v>1</v>
      </c>
      <c r="BJ80" s="40" t="s">
        <v>137</v>
      </c>
      <c r="BK80" s="37" t="s">
        <v>127</v>
      </c>
      <c r="BL80" s="41">
        <v>29079.398936457023</v>
      </c>
      <c r="BM80" s="41">
        <v>0</v>
      </c>
      <c r="BN80" s="41">
        <v>0</v>
      </c>
      <c r="BO80" s="41">
        <v>5938.8692099999998</v>
      </c>
      <c r="BP80" s="41">
        <v>12040.250310000001</v>
      </c>
      <c r="BQ80" s="41">
        <v>7610.9433999999992</v>
      </c>
      <c r="BR80" s="41">
        <v>3489.3360164570199</v>
      </c>
      <c r="BS80" s="41">
        <v>0</v>
      </c>
      <c r="BT80" s="41">
        <v>0</v>
      </c>
      <c r="BU80" s="41">
        <v>0</v>
      </c>
      <c r="BV80" s="41">
        <v>0</v>
      </c>
      <c r="BW80" s="49">
        <v>0</v>
      </c>
      <c r="BX80" s="37" t="s">
        <v>127</v>
      </c>
      <c r="BY80" s="37" t="s">
        <v>127</v>
      </c>
      <c r="BZ80" s="37" t="s">
        <v>198</v>
      </c>
      <c r="CA80" s="41">
        <v>0</v>
      </c>
      <c r="CB80" s="41">
        <v>0</v>
      </c>
      <c r="CC80" s="41">
        <v>0</v>
      </c>
      <c r="CD80" s="41">
        <v>25570.62</v>
      </c>
      <c r="CE80" s="41">
        <v>860.66</v>
      </c>
      <c r="CF80" s="41">
        <v>3476.2304564570204</v>
      </c>
      <c r="CG80" s="45">
        <v>0</v>
      </c>
      <c r="CH80" s="45" t="s">
        <v>137</v>
      </c>
      <c r="CI80" s="37" t="s">
        <v>127</v>
      </c>
      <c r="CJ80" s="77" t="s">
        <v>127</v>
      </c>
      <c r="CK80" s="98">
        <v>0.18140000000000001</v>
      </c>
      <c r="CL80" s="98">
        <v>0.81859999999999999</v>
      </c>
      <c r="CM80" s="99" t="s">
        <v>541</v>
      </c>
    </row>
    <row r="81" spans="1:91" ht="12.75" customHeight="1" x14ac:dyDescent="0.3">
      <c r="A81" s="37">
        <v>79</v>
      </c>
      <c r="B81" s="37" t="s">
        <v>583</v>
      </c>
      <c r="C81" s="124"/>
      <c r="D81" s="124"/>
      <c r="E81" s="37" t="s">
        <v>246</v>
      </c>
      <c r="F81" s="36" t="s">
        <v>528</v>
      </c>
      <c r="G81" s="81" t="s">
        <v>529</v>
      </c>
      <c r="H81" s="37" t="s">
        <v>227</v>
      </c>
      <c r="I81" s="37" t="s">
        <v>127</v>
      </c>
      <c r="J81" s="37" t="s">
        <v>127</v>
      </c>
      <c r="K81" s="37" t="s">
        <v>522</v>
      </c>
      <c r="L81" s="75" t="s">
        <v>523</v>
      </c>
      <c r="M81" s="37" t="s">
        <v>152</v>
      </c>
      <c r="N81" s="37" t="s">
        <v>152</v>
      </c>
      <c r="O81" s="76">
        <v>45411</v>
      </c>
      <c r="P81" s="37" t="s">
        <v>135</v>
      </c>
      <c r="Q81" s="37" t="s">
        <v>127</v>
      </c>
      <c r="R81" s="37" t="s">
        <v>127</v>
      </c>
      <c r="S81" s="37" t="s">
        <v>127</v>
      </c>
      <c r="T81" s="37" t="s">
        <v>315</v>
      </c>
      <c r="U81" s="37" t="s">
        <v>136</v>
      </c>
      <c r="V81" s="37" t="b">
        <v>0</v>
      </c>
      <c r="W81" s="37" t="s">
        <v>127</v>
      </c>
      <c r="X81" s="123"/>
      <c r="Y81" s="37" t="s">
        <v>127</v>
      </c>
      <c r="Z81" s="37">
        <v>12.37</v>
      </c>
      <c r="AA81" s="37" t="s">
        <v>584</v>
      </c>
      <c r="AB81" s="37" t="s">
        <v>525</v>
      </c>
      <c r="AC81" s="78">
        <v>1.1000000000000001</v>
      </c>
      <c r="AD81" s="78">
        <v>5982000</v>
      </c>
      <c r="AE81" s="37" t="s">
        <v>585</v>
      </c>
      <c r="AF81" s="37">
        <v>15125</v>
      </c>
      <c r="AG81" s="37" t="s">
        <v>127</v>
      </c>
      <c r="AH81" s="37" t="b">
        <v>1</v>
      </c>
      <c r="AI81" s="76" t="s">
        <v>127</v>
      </c>
      <c r="AJ81" s="77" t="s">
        <v>142</v>
      </c>
      <c r="AK81" s="37" t="s">
        <v>127</v>
      </c>
      <c r="AL81" s="37" t="s">
        <v>127</v>
      </c>
      <c r="AM81" s="37" t="b">
        <v>0</v>
      </c>
      <c r="AN81" s="37" t="s">
        <v>127</v>
      </c>
      <c r="AO81" s="37" t="s">
        <v>127</v>
      </c>
      <c r="AP81" s="37" t="s">
        <v>127</v>
      </c>
      <c r="AQ81" s="37" t="b">
        <v>0</v>
      </c>
      <c r="AR81" s="37" t="s">
        <v>127</v>
      </c>
      <c r="AS81" s="37" t="s">
        <v>127</v>
      </c>
      <c r="AT81" s="37" t="s">
        <v>127</v>
      </c>
      <c r="AU81" s="37" t="s">
        <v>127</v>
      </c>
      <c r="AV81" s="37" t="s">
        <v>127</v>
      </c>
      <c r="AW81" s="37" t="s">
        <v>127</v>
      </c>
      <c r="AX81" s="37" t="s">
        <v>127</v>
      </c>
      <c r="AY81" s="37" t="s">
        <v>127</v>
      </c>
      <c r="AZ81" s="37" t="s">
        <v>127</v>
      </c>
      <c r="BA81" s="37" t="s">
        <v>127</v>
      </c>
      <c r="BB81" s="37" t="s">
        <v>143</v>
      </c>
      <c r="BC81" s="77" t="s">
        <v>127</v>
      </c>
      <c r="BD81" s="76">
        <v>43557</v>
      </c>
      <c r="BE81" s="37" t="s">
        <v>127</v>
      </c>
      <c r="BF81" s="86">
        <v>43921</v>
      </c>
      <c r="BG81" s="39" t="s">
        <v>127</v>
      </c>
      <c r="BH81" s="37" t="s">
        <v>127</v>
      </c>
      <c r="BI81" s="40" t="b">
        <v>0</v>
      </c>
      <c r="BJ81" s="40" t="s">
        <v>137</v>
      </c>
      <c r="BK81" s="37" t="s">
        <v>127</v>
      </c>
      <c r="BL81" s="41">
        <v>8996.2113272979987</v>
      </c>
      <c r="BM81" s="41">
        <v>8041.5665195619995</v>
      </c>
      <c r="BN81" s="41">
        <v>188.83904254999999</v>
      </c>
      <c r="BO81" s="41">
        <v>2.8374599999999996</v>
      </c>
      <c r="BP81" s="41">
        <v>1.1318300000000001</v>
      </c>
      <c r="BQ81" s="41">
        <v>237.11226000000005</v>
      </c>
      <c r="BR81" s="41">
        <v>0</v>
      </c>
      <c r="BS81" s="41">
        <v>0</v>
      </c>
      <c r="BT81" s="41">
        <v>0</v>
      </c>
      <c r="BU81" s="41">
        <v>0</v>
      </c>
      <c r="BV81" s="41">
        <v>0</v>
      </c>
      <c r="BW81" s="49">
        <v>0</v>
      </c>
      <c r="BX81" s="37" t="s">
        <v>127</v>
      </c>
      <c r="BY81" s="37" t="s">
        <v>127</v>
      </c>
      <c r="BZ81" s="37" t="s">
        <v>203</v>
      </c>
      <c r="CA81" s="41">
        <v>8734.3880000000008</v>
      </c>
      <c r="CB81" s="41">
        <v>2.84</v>
      </c>
      <c r="CC81" s="41">
        <v>1.1299999999999999</v>
      </c>
      <c r="CD81" s="41">
        <v>237.11</v>
      </c>
      <c r="CE81" s="41">
        <v>0</v>
      </c>
      <c r="CF81" s="41">
        <v>0</v>
      </c>
      <c r="CG81" s="45">
        <v>0</v>
      </c>
      <c r="CH81" s="45" t="s">
        <v>137</v>
      </c>
      <c r="CI81" s="37" t="s">
        <v>127</v>
      </c>
      <c r="CJ81" s="77" t="s">
        <v>127</v>
      </c>
      <c r="CK81" s="98">
        <v>0.18140000000000001</v>
      </c>
      <c r="CL81" s="98">
        <v>0.81859999999999999</v>
      </c>
      <c r="CM81" s="99" t="s">
        <v>586</v>
      </c>
    </row>
    <row r="82" spans="1:91" ht="12.75" customHeight="1" x14ac:dyDescent="0.3">
      <c r="A82" s="37">
        <v>80</v>
      </c>
      <c r="B82" s="37" t="s">
        <v>587</v>
      </c>
      <c r="C82" s="124"/>
      <c r="D82" s="124"/>
      <c r="E82" s="37" t="s">
        <v>246</v>
      </c>
      <c r="F82" s="36" t="s">
        <v>528</v>
      </c>
      <c r="G82" s="81" t="s">
        <v>529</v>
      </c>
      <c r="H82" s="37" t="s">
        <v>227</v>
      </c>
      <c r="I82" s="37" t="s">
        <v>127</v>
      </c>
      <c r="J82" s="37" t="s">
        <v>127</v>
      </c>
      <c r="K82" s="37" t="s">
        <v>522</v>
      </c>
      <c r="L82" s="75" t="s">
        <v>523</v>
      </c>
      <c r="M82" s="37" t="s">
        <v>152</v>
      </c>
      <c r="N82" s="37" t="s">
        <v>152</v>
      </c>
      <c r="O82" s="76">
        <v>45411</v>
      </c>
      <c r="P82" s="37" t="s">
        <v>135</v>
      </c>
      <c r="Q82" s="37" t="s">
        <v>127</v>
      </c>
      <c r="R82" s="37" t="s">
        <v>127</v>
      </c>
      <c r="S82" s="37" t="s">
        <v>127</v>
      </c>
      <c r="T82" s="37" t="s">
        <v>315</v>
      </c>
      <c r="U82" s="37" t="s">
        <v>136</v>
      </c>
      <c r="V82" s="37" t="b">
        <v>0</v>
      </c>
      <c r="W82" s="37" t="s">
        <v>127</v>
      </c>
      <c r="X82" s="123"/>
      <c r="Y82" s="37" t="s">
        <v>127</v>
      </c>
      <c r="Z82" s="37">
        <v>12.37</v>
      </c>
      <c r="AA82" s="37" t="s">
        <v>588</v>
      </c>
      <c r="AB82" s="37" t="s">
        <v>525</v>
      </c>
      <c r="AC82" s="78">
        <v>1.1000000000000001</v>
      </c>
      <c r="AD82" s="78">
        <v>5982001</v>
      </c>
      <c r="AE82" s="37" t="s">
        <v>589</v>
      </c>
      <c r="AF82" s="37">
        <v>15125</v>
      </c>
      <c r="AG82" s="37" t="s">
        <v>127</v>
      </c>
      <c r="AH82" s="37" t="b">
        <v>1</v>
      </c>
      <c r="AI82" s="76" t="s">
        <v>127</v>
      </c>
      <c r="AJ82" s="77" t="s">
        <v>142</v>
      </c>
      <c r="AK82" s="37" t="s">
        <v>127</v>
      </c>
      <c r="AL82" s="37" t="s">
        <v>127</v>
      </c>
      <c r="AM82" s="37" t="b">
        <v>0</v>
      </c>
      <c r="AN82" s="37" t="s">
        <v>127</v>
      </c>
      <c r="AO82" s="37" t="s">
        <v>127</v>
      </c>
      <c r="AP82" s="37" t="s">
        <v>127</v>
      </c>
      <c r="AQ82" s="37" t="b">
        <v>0</v>
      </c>
      <c r="AR82" s="37" t="s">
        <v>127</v>
      </c>
      <c r="AS82" s="37" t="s">
        <v>127</v>
      </c>
      <c r="AT82" s="37" t="s">
        <v>127</v>
      </c>
      <c r="AU82" s="37" t="s">
        <v>127</v>
      </c>
      <c r="AV82" s="37" t="s">
        <v>127</v>
      </c>
      <c r="AW82" s="37" t="s">
        <v>127</v>
      </c>
      <c r="AX82" s="37" t="s">
        <v>161</v>
      </c>
      <c r="AY82" s="37" t="s">
        <v>127</v>
      </c>
      <c r="AZ82" s="37" t="s">
        <v>127</v>
      </c>
      <c r="BA82" s="37" t="s">
        <v>127</v>
      </c>
      <c r="BB82" s="37" t="s">
        <v>143</v>
      </c>
      <c r="BC82" s="77" t="s">
        <v>127</v>
      </c>
      <c r="BD82" s="76" t="s">
        <v>590</v>
      </c>
      <c r="BE82" s="37" t="s">
        <v>127</v>
      </c>
      <c r="BF82" s="86" t="s">
        <v>591</v>
      </c>
      <c r="BG82" s="39" t="s">
        <v>127</v>
      </c>
      <c r="BH82" s="37" t="s">
        <v>127</v>
      </c>
      <c r="BI82" s="40" t="b">
        <v>0</v>
      </c>
      <c r="BJ82" s="40" t="s">
        <v>137</v>
      </c>
      <c r="BK82" s="37" t="s">
        <v>127</v>
      </c>
      <c r="BL82" s="41">
        <v>13746.804820000001</v>
      </c>
      <c r="BM82" s="41">
        <v>9101.8055700000023</v>
      </c>
      <c r="BN82" s="41">
        <v>4603.7891100000015</v>
      </c>
      <c r="BO82" s="41">
        <v>39.135719999999999</v>
      </c>
      <c r="BP82" s="41">
        <v>0.64443000000000006</v>
      </c>
      <c r="BQ82" s="41">
        <v>1.4299900000000001</v>
      </c>
      <c r="BR82" s="41">
        <v>0</v>
      </c>
      <c r="BS82" s="41">
        <v>0</v>
      </c>
      <c r="BT82" s="41">
        <v>0</v>
      </c>
      <c r="BU82" s="41">
        <v>0</v>
      </c>
      <c r="BV82" s="41">
        <v>0</v>
      </c>
      <c r="BW82" s="49">
        <v>0</v>
      </c>
      <c r="BX82" s="37" t="s">
        <v>127</v>
      </c>
      <c r="BY82" s="37" t="s">
        <v>127</v>
      </c>
      <c r="BZ82" s="37" t="s">
        <v>203</v>
      </c>
      <c r="CA82" s="41">
        <v>13705.594999999999</v>
      </c>
      <c r="CB82" s="41">
        <v>39.14</v>
      </c>
      <c r="CC82" s="41">
        <v>0.64</v>
      </c>
      <c r="CD82" s="41">
        <v>1.43</v>
      </c>
      <c r="CE82" s="41">
        <v>0</v>
      </c>
      <c r="CF82" s="41">
        <v>0</v>
      </c>
      <c r="CG82" s="45">
        <v>0</v>
      </c>
      <c r="CH82" s="45" t="s">
        <v>137</v>
      </c>
      <c r="CI82" s="37" t="s">
        <v>127</v>
      </c>
      <c r="CJ82" s="77" t="s">
        <v>127</v>
      </c>
      <c r="CK82" s="98">
        <v>0.18140000000000001</v>
      </c>
      <c r="CL82" s="98">
        <v>0.81859999999999999</v>
      </c>
      <c r="CM82" s="100" t="s">
        <v>592</v>
      </c>
    </row>
    <row r="83" spans="1:91" ht="12.75" customHeight="1" x14ac:dyDescent="0.3">
      <c r="A83" s="37">
        <v>81</v>
      </c>
      <c r="B83" s="37" t="s">
        <v>593</v>
      </c>
      <c r="C83" s="125"/>
      <c r="D83" s="123"/>
      <c r="E83" s="37" t="s">
        <v>127</v>
      </c>
      <c r="F83" s="36" t="s">
        <v>594</v>
      </c>
      <c r="G83" s="81" t="s">
        <v>529</v>
      </c>
      <c r="H83" s="37" t="s">
        <v>227</v>
      </c>
      <c r="I83" s="37" t="s">
        <v>127</v>
      </c>
      <c r="J83" s="37" t="s">
        <v>127</v>
      </c>
      <c r="K83" s="37" t="s">
        <v>522</v>
      </c>
      <c r="L83" s="75" t="s">
        <v>523</v>
      </c>
      <c r="M83" s="37" t="s">
        <v>152</v>
      </c>
      <c r="N83" s="37" t="s">
        <v>152</v>
      </c>
      <c r="O83" s="80" t="s">
        <v>134</v>
      </c>
      <c r="P83" s="37" t="s">
        <v>135</v>
      </c>
      <c r="Q83" s="37" t="s">
        <v>127</v>
      </c>
      <c r="R83" s="37" t="s">
        <v>127</v>
      </c>
      <c r="S83" s="37" t="s">
        <v>127</v>
      </c>
      <c r="T83" s="37" t="s">
        <v>127</v>
      </c>
      <c r="U83" s="37" t="s">
        <v>136</v>
      </c>
      <c r="V83" s="37" t="b">
        <v>0</v>
      </c>
      <c r="W83" s="37" t="s">
        <v>127</v>
      </c>
      <c r="X83" s="123"/>
      <c r="Y83" s="37" t="s">
        <v>127</v>
      </c>
      <c r="Z83" s="37" t="s">
        <v>127</v>
      </c>
      <c r="AA83" s="37" t="s">
        <v>595</v>
      </c>
      <c r="AB83" s="37" t="s">
        <v>525</v>
      </c>
      <c r="AC83" s="78">
        <v>1.1000000000000001</v>
      </c>
      <c r="AD83" s="78">
        <v>5983392</v>
      </c>
      <c r="AE83" s="37" t="s">
        <v>596</v>
      </c>
      <c r="AF83" s="37">
        <v>15125</v>
      </c>
      <c r="AG83" s="37" t="s">
        <v>127</v>
      </c>
      <c r="AH83" s="37" t="b">
        <v>1</v>
      </c>
      <c r="AI83" s="76" t="s">
        <v>127</v>
      </c>
      <c r="AJ83" s="77" t="s">
        <v>142</v>
      </c>
      <c r="AK83" s="37" t="s">
        <v>127</v>
      </c>
      <c r="AL83" s="37" t="s">
        <v>127</v>
      </c>
      <c r="AM83" s="37" t="b">
        <v>0</v>
      </c>
      <c r="AN83" s="37" t="s">
        <v>127</v>
      </c>
      <c r="AO83" s="37" t="s">
        <v>127</v>
      </c>
      <c r="AP83" s="37" t="s">
        <v>127</v>
      </c>
      <c r="AQ83" s="37" t="b">
        <v>0</v>
      </c>
      <c r="AR83" s="37" t="s">
        <v>127</v>
      </c>
      <c r="AS83" s="37" t="s">
        <v>127</v>
      </c>
      <c r="AT83" s="37" t="s">
        <v>127</v>
      </c>
      <c r="AU83" s="37" t="s">
        <v>127</v>
      </c>
      <c r="AV83" s="37" t="s">
        <v>127</v>
      </c>
      <c r="AW83" s="37" t="s">
        <v>127</v>
      </c>
      <c r="AX83" s="77" t="s">
        <v>127</v>
      </c>
      <c r="AY83" s="80" t="s">
        <v>127</v>
      </c>
      <c r="AZ83" s="37" t="s">
        <v>127</v>
      </c>
      <c r="BA83" s="37" t="s">
        <v>127</v>
      </c>
      <c r="BB83" s="37" t="s">
        <v>597</v>
      </c>
      <c r="BC83" s="77" t="s">
        <v>127</v>
      </c>
      <c r="BD83" s="76" t="s">
        <v>127</v>
      </c>
      <c r="BE83" s="37" t="s">
        <v>127</v>
      </c>
      <c r="BF83" s="80" t="s">
        <v>127</v>
      </c>
      <c r="BG83" s="39" t="s">
        <v>127</v>
      </c>
      <c r="BH83" s="37" t="s">
        <v>127</v>
      </c>
      <c r="BI83" s="40" t="b">
        <v>1</v>
      </c>
      <c r="BJ83" s="40" t="s">
        <v>137</v>
      </c>
      <c r="BK83" s="37" t="s">
        <v>127</v>
      </c>
      <c r="BL83" s="41">
        <v>3274.9228427029998</v>
      </c>
      <c r="BM83" s="41">
        <v>1041.690841134</v>
      </c>
      <c r="BN83" s="41">
        <v>577.08555783000008</v>
      </c>
      <c r="BO83" s="41">
        <v>634.33933373499985</v>
      </c>
      <c r="BP83" s="41">
        <v>53.97940999999998</v>
      </c>
      <c r="BQ83" s="41">
        <v>8.9469999999999994E-2</v>
      </c>
      <c r="BR83" s="41">
        <v>0.40580999999999989</v>
      </c>
      <c r="BS83" s="41">
        <v>0</v>
      </c>
      <c r="BT83" s="41">
        <v>0</v>
      </c>
      <c r="BU83" s="41">
        <v>0</v>
      </c>
      <c r="BV83" s="41">
        <v>0</v>
      </c>
      <c r="BW83" s="49">
        <v>0</v>
      </c>
      <c r="BX83" s="37" t="s">
        <v>127</v>
      </c>
      <c r="BY83" s="37" t="s">
        <v>127</v>
      </c>
      <c r="BZ83" s="37" t="s">
        <v>479</v>
      </c>
      <c r="CA83" s="41">
        <v>0</v>
      </c>
      <c r="CB83" s="41">
        <v>3161.92</v>
      </c>
      <c r="CC83" s="41">
        <v>53.98</v>
      </c>
      <c r="CD83" s="41">
        <v>0.09</v>
      </c>
      <c r="CE83" s="41">
        <v>0.41</v>
      </c>
      <c r="CF83" s="41">
        <v>0.40580999999999989</v>
      </c>
      <c r="CG83" s="45">
        <v>0</v>
      </c>
      <c r="CH83" s="45" t="s">
        <v>137</v>
      </c>
      <c r="CI83" s="77" t="s">
        <v>127</v>
      </c>
      <c r="CJ83" s="77" t="s">
        <v>127</v>
      </c>
      <c r="CK83" s="98">
        <v>0.18140000000000001</v>
      </c>
      <c r="CL83" s="98">
        <v>0.81859999999999999</v>
      </c>
      <c r="CM83" s="100" t="s">
        <v>598</v>
      </c>
    </row>
    <row r="84" spans="1:91" ht="12.75" customHeight="1" x14ac:dyDescent="0.3">
      <c r="A84" s="37">
        <v>82</v>
      </c>
      <c r="B84" s="37" t="s">
        <v>599</v>
      </c>
      <c r="C84" s="124"/>
      <c r="D84" s="124"/>
      <c r="E84" s="37" t="s">
        <v>600</v>
      </c>
      <c r="F84" s="36" t="s">
        <v>528</v>
      </c>
      <c r="G84" s="81" t="s">
        <v>529</v>
      </c>
      <c r="H84" s="37" t="s">
        <v>227</v>
      </c>
      <c r="I84" s="37" t="s">
        <v>127</v>
      </c>
      <c r="J84" s="37" t="s">
        <v>127</v>
      </c>
      <c r="K84" s="37" t="s">
        <v>522</v>
      </c>
      <c r="L84" s="75" t="s">
        <v>523</v>
      </c>
      <c r="M84" s="37" t="s">
        <v>152</v>
      </c>
      <c r="N84" s="37" t="s">
        <v>152</v>
      </c>
      <c r="O84" s="76">
        <v>45411</v>
      </c>
      <c r="P84" s="37" t="s">
        <v>135</v>
      </c>
      <c r="Q84" s="37" t="s">
        <v>127</v>
      </c>
      <c r="R84" s="37" t="s">
        <v>127</v>
      </c>
      <c r="S84" s="37" t="s">
        <v>127</v>
      </c>
      <c r="T84" s="37" t="s">
        <v>315</v>
      </c>
      <c r="U84" s="37" t="s">
        <v>136</v>
      </c>
      <c r="V84" s="37" t="b">
        <v>0</v>
      </c>
      <c r="W84" s="37" t="s">
        <v>127</v>
      </c>
      <c r="X84" s="123"/>
      <c r="Y84" s="37" t="s">
        <v>137</v>
      </c>
      <c r="Z84" s="37">
        <v>6.2</v>
      </c>
      <c r="AA84" s="37" t="s">
        <v>601</v>
      </c>
      <c r="AB84" s="37" t="s">
        <v>525</v>
      </c>
      <c r="AC84" s="78">
        <v>1.1000000000000001</v>
      </c>
      <c r="AD84" s="78">
        <v>5299383</v>
      </c>
      <c r="AE84" s="37" t="s">
        <v>602</v>
      </c>
      <c r="AF84" s="37">
        <v>15125</v>
      </c>
      <c r="AG84" s="37" t="s">
        <v>127</v>
      </c>
      <c r="AH84" s="37" t="b">
        <v>1</v>
      </c>
      <c r="AI84" s="76" t="s">
        <v>127</v>
      </c>
      <c r="AJ84" s="77" t="s">
        <v>142</v>
      </c>
      <c r="AK84" s="37" t="s">
        <v>127</v>
      </c>
      <c r="AL84" s="37" t="s">
        <v>127</v>
      </c>
      <c r="AM84" s="37" t="b">
        <v>0</v>
      </c>
      <c r="AN84" s="37" t="s">
        <v>127</v>
      </c>
      <c r="AO84" s="37" t="s">
        <v>127</v>
      </c>
      <c r="AP84" s="37" t="s">
        <v>127</v>
      </c>
      <c r="AQ84" s="37" t="b">
        <v>0</v>
      </c>
      <c r="AR84" s="37" t="s">
        <v>127</v>
      </c>
      <c r="AS84" s="37" t="s">
        <v>127</v>
      </c>
      <c r="AT84" s="37" t="s">
        <v>127</v>
      </c>
      <c r="AU84" s="37" t="s">
        <v>127</v>
      </c>
      <c r="AV84" s="37" t="s">
        <v>127</v>
      </c>
      <c r="AW84" s="37" t="s">
        <v>127</v>
      </c>
      <c r="AX84" s="77" t="s">
        <v>127</v>
      </c>
      <c r="AY84" s="80" t="s">
        <v>127</v>
      </c>
      <c r="AZ84" s="37" t="s">
        <v>127</v>
      </c>
      <c r="BA84" s="37" t="s">
        <v>127</v>
      </c>
      <c r="BB84" s="37" t="s">
        <v>154</v>
      </c>
      <c r="BC84" s="77" t="s">
        <v>127</v>
      </c>
      <c r="BD84" s="76">
        <v>44999</v>
      </c>
      <c r="BE84" s="37" t="s">
        <v>127</v>
      </c>
      <c r="BF84" s="80">
        <v>45408</v>
      </c>
      <c r="BG84" s="39" t="s">
        <v>127</v>
      </c>
      <c r="BH84" s="37" t="s">
        <v>127</v>
      </c>
      <c r="BI84" s="40" t="b">
        <v>0</v>
      </c>
      <c r="BJ84" s="40" t="s">
        <v>137</v>
      </c>
      <c r="BK84" s="37" t="s">
        <v>127</v>
      </c>
      <c r="BL84" s="41">
        <v>17823.728248869233</v>
      </c>
      <c r="BM84" s="41">
        <v>0</v>
      </c>
      <c r="BN84" s="41">
        <v>0</v>
      </c>
      <c r="BO84" s="41">
        <v>0</v>
      </c>
      <c r="BP84" s="41">
        <v>0</v>
      </c>
      <c r="BQ84" s="41">
        <v>0.21243999999999999</v>
      </c>
      <c r="BR84" s="41">
        <v>4323.6573162726199</v>
      </c>
      <c r="BS84" s="41">
        <v>13499.858492596615</v>
      </c>
      <c r="BT84" s="41">
        <v>0</v>
      </c>
      <c r="BU84" s="41">
        <v>0</v>
      </c>
      <c r="BV84" s="41">
        <v>0</v>
      </c>
      <c r="BW84" s="49">
        <v>4.16723</v>
      </c>
      <c r="BX84" s="37" t="s">
        <v>127</v>
      </c>
      <c r="BY84" s="37" t="s">
        <v>127</v>
      </c>
      <c r="BZ84" s="37" t="s">
        <v>127</v>
      </c>
      <c r="CA84" s="41">
        <v>0</v>
      </c>
      <c r="CB84" s="41">
        <v>0</v>
      </c>
      <c r="CC84" s="41">
        <v>0</v>
      </c>
      <c r="CD84" s="41">
        <v>0</v>
      </c>
      <c r="CE84" s="41">
        <v>0</v>
      </c>
      <c r="CF84" s="41">
        <v>0</v>
      </c>
      <c r="CG84" s="45">
        <v>0</v>
      </c>
      <c r="CH84" s="45" t="s">
        <v>137</v>
      </c>
      <c r="CI84" s="37" t="s">
        <v>127</v>
      </c>
      <c r="CJ84" s="77" t="s">
        <v>127</v>
      </c>
      <c r="CK84" s="98">
        <v>0.18140000000000001</v>
      </c>
      <c r="CL84" s="98">
        <v>0.81859999999999999</v>
      </c>
      <c r="CM84" s="100" t="s">
        <v>541</v>
      </c>
    </row>
    <row r="85" spans="1:91" ht="12.75" customHeight="1" x14ac:dyDescent="0.3">
      <c r="A85" s="37">
        <v>83</v>
      </c>
      <c r="B85" s="37" t="s">
        <v>603</v>
      </c>
      <c r="C85" s="124"/>
      <c r="D85" s="124"/>
      <c r="E85" s="37" t="s">
        <v>604</v>
      </c>
      <c r="F85" s="36" t="s">
        <v>528</v>
      </c>
      <c r="G85" s="81" t="s">
        <v>529</v>
      </c>
      <c r="H85" s="37" t="s">
        <v>227</v>
      </c>
      <c r="I85" s="37" t="s">
        <v>127</v>
      </c>
      <c r="J85" s="37" t="s">
        <v>127</v>
      </c>
      <c r="K85" s="37" t="s">
        <v>522</v>
      </c>
      <c r="L85" s="75" t="s">
        <v>523</v>
      </c>
      <c r="M85" s="37" t="s">
        <v>152</v>
      </c>
      <c r="N85" s="37" t="s">
        <v>152</v>
      </c>
      <c r="O85" s="76">
        <v>45420</v>
      </c>
      <c r="P85" s="37" t="s">
        <v>135</v>
      </c>
      <c r="Q85" s="37" t="s">
        <v>127</v>
      </c>
      <c r="R85" s="37" t="s">
        <v>127</v>
      </c>
      <c r="S85" s="37" t="s">
        <v>127</v>
      </c>
      <c r="T85" s="37" t="s">
        <v>315</v>
      </c>
      <c r="U85" s="37" t="s">
        <v>136</v>
      </c>
      <c r="V85" s="37" t="b">
        <v>0</v>
      </c>
      <c r="W85" s="37" t="s">
        <v>127</v>
      </c>
      <c r="X85" s="123"/>
      <c r="Y85" s="37" t="s">
        <v>137</v>
      </c>
      <c r="Z85" s="37">
        <v>4</v>
      </c>
      <c r="AA85" s="37" t="s">
        <v>605</v>
      </c>
      <c r="AB85" s="37" t="s">
        <v>525</v>
      </c>
      <c r="AC85" s="78">
        <v>1.1000000000000001</v>
      </c>
      <c r="AD85" s="78">
        <v>5768329</v>
      </c>
      <c r="AE85" s="37" t="s">
        <v>606</v>
      </c>
      <c r="AF85" s="37">
        <v>15125</v>
      </c>
      <c r="AG85" s="37" t="s">
        <v>127</v>
      </c>
      <c r="AH85" s="37" t="b">
        <v>1</v>
      </c>
      <c r="AI85" s="76" t="s">
        <v>127</v>
      </c>
      <c r="AJ85" s="77" t="s">
        <v>142</v>
      </c>
      <c r="AK85" s="37" t="s">
        <v>127</v>
      </c>
      <c r="AL85" s="37" t="s">
        <v>127</v>
      </c>
      <c r="AM85" s="37" t="b">
        <v>0</v>
      </c>
      <c r="AN85" s="37" t="s">
        <v>127</v>
      </c>
      <c r="AO85" s="37" t="s">
        <v>127</v>
      </c>
      <c r="AP85" s="37" t="s">
        <v>127</v>
      </c>
      <c r="AQ85" s="37" t="b">
        <v>0</v>
      </c>
      <c r="AR85" s="37" t="s">
        <v>127</v>
      </c>
      <c r="AS85" s="37" t="s">
        <v>127</v>
      </c>
      <c r="AT85" s="37" t="s">
        <v>127</v>
      </c>
      <c r="AU85" s="37" t="s">
        <v>127</v>
      </c>
      <c r="AV85" s="37" t="s">
        <v>127</v>
      </c>
      <c r="AW85" s="37" t="s">
        <v>127</v>
      </c>
      <c r="AX85" s="77" t="s">
        <v>127</v>
      </c>
      <c r="AY85" s="80" t="s">
        <v>127</v>
      </c>
      <c r="AZ85" s="37" t="s">
        <v>127</v>
      </c>
      <c r="BA85" s="37" t="s">
        <v>127</v>
      </c>
      <c r="BB85" s="37" t="s">
        <v>443</v>
      </c>
      <c r="BC85" s="77" t="s">
        <v>127</v>
      </c>
      <c r="BD85" s="76">
        <v>44999</v>
      </c>
      <c r="BE85" s="37" t="s">
        <v>127</v>
      </c>
      <c r="BF85" s="80">
        <v>45408</v>
      </c>
      <c r="BG85" s="39" t="s">
        <v>127</v>
      </c>
      <c r="BH85" s="37" t="s">
        <v>127</v>
      </c>
      <c r="BI85" s="40" t="b">
        <v>1</v>
      </c>
      <c r="BJ85" s="40" t="s">
        <v>137</v>
      </c>
      <c r="BK85" s="37" t="s">
        <v>127</v>
      </c>
      <c r="BL85" s="41">
        <v>4295.377820631471</v>
      </c>
      <c r="BM85" s="41">
        <v>0</v>
      </c>
      <c r="BN85" s="41">
        <v>0</v>
      </c>
      <c r="BO85" s="41">
        <v>0</v>
      </c>
      <c r="BP85" s="41">
        <v>0</v>
      </c>
      <c r="BQ85" s="41">
        <v>7.1300000000000016E-2</v>
      </c>
      <c r="BR85" s="41">
        <v>4295.3065206314695</v>
      </c>
      <c r="BS85" s="41">
        <v>0</v>
      </c>
      <c r="BT85" s="41">
        <v>0</v>
      </c>
      <c r="BU85" s="41">
        <v>0</v>
      </c>
      <c r="BV85" s="41">
        <v>0</v>
      </c>
      <c r="BW85" s="49">
        <v>7.3989500000000001</v>
      </c>
      <c r="BX85" s="37" t="s">
        <v>127</v>
      </c>
      <c r="BY85" s="37" t="s">
        <v>127</v>
      </c>
      <c r="BZ85" s="37">
        <v>2024</v>
      </c>
      <c r="CA85" s="41">
        <v>0</v>
      </c>
      <c r="CB85" s="41">
        <v>0</v>
      </c>
      <c r="CC85" s="41">
        <v>0</v>
      </c>
      <c r="CD85" s="41">
        <v>0</v>
      </c>
      <c r="CE85" s="41">
        <v>0</v>
      </c>
      <c r="CF85" s="41">
        <v>4295.3778206314691</v>
      </c>
      <c r="CG85" s="45">
        <v>0</v>
      </c>
      <c r="CH85" s="45" t="s">
        <v>137</v>
      </c>
      <c r="CI85" s="37" t="s">
        <v>127</v>
      </c>
      <c r="CJ85" s="77" t="s">
        <v>127</v>
      </c>
      <c r="CK85" s="98">
        <v>0.18140000000000001</v>
      </c>
      <c r="CL85" s="98">
        <v>0.81859999999999999</v>
      </c>
      <c r="CM85" s="100" t="s">
        <v>541</v>
      </c>
    </row>
    <row r="86" spans="1:91" ht="12.75" customHeight="1" x14ac:dyDescent="0.3">
      <c r="A86" s="37">
        <v>84</v>
      </c>
      <c r="B86" s="37" t="s">
        <v>607</v>
      </c>
      <c r="C86" s="125"/>
      <c r="D86" s="123"/>
      <c r="E86" s="77" t="s">
        <v>127</v>
      </c>
      <c r="F86" s="36" t="s">
        <v>608</v>
      </c>
      <c r="G86" s="75" t="s">
        <v>148</v>
      </c>
      <c r="H86" s="37" t="s">
        <v>131</v>
      </c>
      <c r="I86" s="37" t="s">
        <v>127</v>
      </c>
      <c r="J86" s="37" t="s">
        <v>127</v>
      </c>
      <c r="K86" s="37" t="s">
        <v>609</v>
      </c>
      <c r="L86" s="75" t="s">
        <v>610</v>
      </c>
      <c r="M86" s="37" t="s">
        <v>127</v>
      </c>
      <c r="N86" s="37" t="s">
        <v>127</v>
      </c>
      <c r="O86" s="76" t="s">
        <v>127</v>
      </c>
      <c r="P86" s="37" t="s">
        <v>135</v>
      </c>
      <c r="Q86" s="37" t="s">
        <v>482</v>
      </c>
      <c r="R86" s="37" t="s">
        <v>127</v>
      </c>
      <c r="S86" s="37" t="s">
        <v>127</v>
      </c>
      <c r="T86" s="37" t="s">
        <v>611</v>
      </c>
      <c r="U86" s="37" t="s">
        <v>230</v>
      </c>
      <c r="V86" s="37" t="b">
        <v>0</v>
      </c>
      <c r="W86" s="77" t="s">
        <v>127</v>
      </c>
      <c r="X86" s="123"/>
      <c r="Y86" s="37" t="s">
        <v>127</v>
      </c>
      <c r="Z86" s="37" t="s">
        <v>127</v>
      </c>
      <c r="AA86" s="37">
        <v>69</v>
      </c>
      <c r="AB86" s="37" t="s">
        <v>612</v>
      </c>
      <c r="AC86" s="78">
        <v>1.1000000000000001</v>
      </c>
      <c r="AD86" s="78" t="s">
        <v>139</v>
      </c>
      <c r="AE86" s="37" t="s">
        <v>140</v>
      </c>
      <c r="AF86" s="37">
        <v>15259</v>
      </c>
      <c r="AG86" s="37" t="s">
        <v>141</v>
      </c>
      <c r="AH86" s="37" t="b">
        <v>1</v>
      </c>
      <c r="AI86" s="76" t="s">
        <v>127</v>
      </c>
      <c r="AJ86" s="77" t="s">
        <v>142</v>
      </c>
      <c r="AK86" s="37" t="s">
        <v>127</v>
      </c>
      <c r="AL86" s="37" t="s">
        <v>127</v>
      </c>
      <c r="AM86" s="37" t="b">
        <v>0</v>
      </c>
      <c r="AN86" s="37" t="s">
        <v>127</v>
      </c>
      <c r="AO86" s="37" t="s">
        <v>127</v>
      </c>
      <c r="AP86" s="37" t="s">
        <v>137</v>
      </c>
      <c r="AQ86" s="37" t="b">
        <v>0</v>
      </c>
      <c r="AR86" s="37" t="s">
        <v>127</v>
      </c>
      <c r="AS86" s="76" t="s">
        <v>137</v>
      </c>
      <c r="AT86" s="37" t="s">
        <v>127</v>
      </c>
      <c r="AU86" s="37" t="s">
        <v>127</v>
      </c>
      <c r="AV86" s="37" t="s">
        <v>137</v>
      </c>
      <c r="AW86" s="37" t="s">
        <v>137</v>
      </c>
      <c r="AX86" s="37" t="s">
        <v>161</v>
      </c>
      <c r="AY86" s="76" t="s">
        <v>127</v>
      </c>
      <c r="AZ86" s="77" t="s">
        <v>127</v>
      </c>
      <c r="BA86" s="37" t="s">
        <v>127</v>
      </c>
      <c r="BB86" s="37" t="s">
        <v>143</v>
      </c>
      <c r="BC86" s="77" t="s">
        <v>127</v>
      </c>
      <c r="BD86" s="76" t="s">
        <v>127</v>
      </c>
      <c r="BE86" s="37" t="s">
        <v>127</v>
      </c>
      <c r="BF86" s="80" t="s">
        <v>127</v>
      </c>
      <c r="BG86" s="39" t="s">
        <v>127</v>
      </c>
      <c r="BH86" s="37" t="s">
        <v>127</v>
      </c>
      <c r="BI86" s="40" t="b">
        <v>1</v>
      </c>
      <c r="BJ86" s="40" t="s">
        <v>137</v>
      </c>
      <c r="BK86" s="37" t="s">
        <v>137</v>
      </c>
      <c r="BL86" s="110">
        <f>84807.4150927386-SUM(BL87:BL97)</f>
        <v>8458.6142962774029</v>
      </c>
      <c r="BM86" s="110">
        <f>2706.326870808-SUM(BM87:BM97)</f>
        <v>418.24723008400042</v>
      </c>
      <c r="BN86" s="110">
        <f>6896.41023711-SUM(BN87:BN97)</f>
        <v>1224.7570872150018</v>
      </c>
      <c r="BO86" s="110">
        <f>10277.6111232608-SUM(BO87:BO97)</f>
        <v>878.54302809879846</v>
      </c>
      <c r="BP86" s="110">
        <f>13966.8855516287-SUM(BP87:BP97)</f>
        <v>2084.6578942307005</v>
      </c>
      <c r="BQ86" s="110">
        <f>15821.228186031-SUM(BQ87:BQ97)</f>
        <v>2142.4178559089978</v>
      </c>
      <c r="BR86" s="110">
        <f>13963.8158280892-SUM(BR87:BR97)</f>
        <v>882.14047568182286</v>
      </c>
      <c r="BS86" s="110">
        <f>12399.8481822506-SUM(BS87:BS97)</f>
        <v>-5.0931703299283981E-11</v>
      </c>
      <c r="BT86" s="110">
        <f>1127.87831080109-SUM(BT87:BT97)</f>
        <v>108.48476151292073</v>
      </c>
      <c r="BU86" s="110">
        <f>108.484761512917-SUM(BU87:BU97)</f>
        <v>108.484761512917</v>
      </c>
      <c r="BV86" s="110">
        <f>111.198401713115-SUM(BV87:BV97)</f>
        <v>111.198401713115</v>
      </c>
      <c r="BW86" s="111">
        <f>25749.83965-SUM(BW87:BW97)</f>
        <v>3920.4696000000004</v>
      </c>
      <c r="BX86" s="37" t="s">
        <v>127</v>
      </c>
      <c r="BY86" s="37" t="s">
        <v>127</v>
      </c>
      <c r="BZ86" s="37" t="s">
        <v>155</v>
      </c>
      <c r="CA86" s="41">
        <v>56.009340000000002</v>
      </c>
      <c r="CB86" s="41">
        <v>718.39</v>
      </c>
      <c r="CC86" s="41">
        <v>91.28</v>
      </c>
      <c r="CD86" s="41">
        <v>1496.38</v>
      </c>
      <c r="CE86" s="41">
        <v>344.26</v>
      </c>
      <c r="CF86" s="110">
        <f>16049.8122451052-SUM(CF87:CF97)</f>
        <v>4049.8445642337574</v>
      </c>
      <c r="CG86" s="45">
        <v>0</v>
      </c>
      <c r="CH86" s="45" t="s">
        <v>137</v>
      </c>
      <c r="CI86" s="37" t="s">
        <v>127</v>
      </c>
      <c r="CJ86" s="77" t="s">
        <v>127</v>
      </c>
      <c r="CK86" s="98">
        <v>0</v>
      </c>
      <c r="CL86" s="98">
        <v>1</v>
      </c>
      <c r="CM86" s="100" t="s">
        <v>486</v>
      </c>
    </row>
    <row r="87" spans="1:91" ht="12.75" customHeight="1" x14ac:dyDescent="0.3">
      <c r="A87" s="37">
        <v>85</v>
      </c>
      <c r="B87" s="37" t="s">
        <v>613</v>
      </c>
      <c r="C87" s="124"/>
      <c r="D87" s="124"/>
      <c r="E87" s="37" t="s">
        <v>437</v>
      </c>
      <c r="F87" s="36" t="s">
        <v>614</v>
      </c>
      <c r="G87" s="81" t="s">
        <v>615</v>
      </c>
      <c r="H87" s="37" t="s">
        <v>131</v>
      </c>
      <c r="I87" s="37" t="s">
        <v>127</v>
      </c>
      <c r="J87" s="37" t="s">
        <v>127</v>
      </c>
      <c r="K87" s="37" t="s">
        <v>609</v>
      </c>
      <c r="L87" s="75" t="s">
        <v>616</v>
      </c>
      <c r="M87" s="37" t="s">
        <v>127</v>
      </c>
      <c r="N87" s="37" t="s">
        <v>127</v>
      </c>
      <c r="O87" s="76" t="s">
        <v>127</v>
      </c>
      <c r="P87" s="37">
        <v>15</v>
      </c>
      <c r="Q87" s="37" t="s">
        <v>127</v>
      </c>
      <c r="R87" s="37" t="s">
        <v>127</v>
      </c>
      <c r="S87" s="37" t="s">
        <v>127</v>
      </c>
      <c r="T87" s="37" t="s">
        <v>611</v>
      </c>
      <c r="U87" s="37" t="s">
        <v>230</v>
      </c>
      <c r="V87" s="37" t="b">
        <v>0</v>
      </c>
      <c r="W87" s="77" t="s">
        <v>127</v>
      </c>
      <c r="X87" s="123"/>
      <c r="Y87" s="37" t="s">
        <v>127</v>
      </c>
      <c r="Z87" s="37" t="s">
        <v>127</v>
      </c>
      <c r="AA87" s="37">
        <v>69</v>
      </c>
      <c r="AB87" s="37" t="s">
        <v>127</v>
      </c>
      <c r="AC87" s="78">
        <v>1.2</v>
      </c>
      <c r="AD87" s="78">
        <v>2454903</v>
      </c>
      <c r="AE87" s="37" t="s">
        <v>617</v>
      </c>
      <c r="AF87" s="37">
        <v>15259</v>
      </c>
      <c r="AG87" s="37" t="s">
        <v>127</v>
      </c>
      <c r="AH87" s="37" t="b">
        <v>1</v>
      </c>
      <c r="AI87" s="76" t="s">
        <v>127</v>
      </c>
      <c r="AJ87" s="77" t="s">
        <v>142</v>
      </c>
      <c r="AK87" s="37" t="s">
        <v>127</v>
      </c>
      <c r="AL87" s="37" t="s">
        <v>127</v>
      </c>
      <c r="AM87" s="37" t="b">
        <v>0</v>
      </c>
      <c r="AN87" s="37" t="s">
        <v>127</v>
      </c>
      <c r="AO87" s="37" t="s">
        <v>127</v>
      </c>
      <c r="AP87" s="37" t="s">
        <v>127</v>
      </c>
      <c r="AQ87" s="37" t="b">
        <v>0</v>
      </c>
      <c r="AR87" s="37" t="s">
        <v>127</v>
      </c>
      <c r="AS87" s="76" t="s">
        <v>137</v>
      </c>
      <c r="AT87" s="37" t="s">
        <v>127</v>
      </c>
      <c r="AU87" s="37" t="s">
        <v>127</v>
      </c>
      <c r="AV87" s="37" t="s">
        <v>137</v>
      </c>
      <c r="AW87" s="37" t="s">
        <v>137</v>
      </c>
      <c r="AX87" s="37" t="s">
        <v>161</v>
      </c>
      <c r="AY87" s="76" t="s">
        <v>127</v>
      </c>
      <c r="AZ87" s="77" t="s">
        <v>127</v>
      </c>
      <c r="BA87" s="37" t="s">
        <v>127</v>
      </c>
      <c r="BB87" s="37" t="s">
        <v>443</v>
      </c>
      <c r="BC87" s="77" t="s">
        <v>127</v>
      </c>
      <c r="BD87" s="80">
        <v>45516</v>
      </c>
      <c r="BE87" s="37" t="s">
        <v>127</v>
      </c>
      <c r="BF87" s="86">
        <v>46437</v>
      </c>
      <c r="BG87" s="39" t="s">
        <v>127</v>
      </c>
      <c r="BH87" s="37" t="s">
        <v>127</v>
      </c>
      <c r="BI87" s="122" t="b">
        <v>0</v>
      </c>
      <c r="BJ87" s="40" t="s">
        <v>137</v>
      </c>
      <c r="BK87" s="37" t="s">
        <v>137</v>
      </c>
      <c r="BL87" s="41">
        <v>4637.573792147934</v>
      </c>
      <c r="BM87" s="41">
        <v>0</v>
      </c>
      <c r="BN87" s="41">
        <v>0</v>
      </c>
      <c r="BO87" s="41">
        <v>122.26072000000002</v>
      </c>
      <c r="BP87" s="41">
        <v>434.79173051699985</v>
      </c>
      <c r="BQ87" s="41">
        <v>318.94957000000005</v>
      </c>
      <c r="BR87" s="41">
        <v>350.6705323069346</v>
      </c>
      <c r="BS87" s="41">
        <v>3410.9012393240009</v>
      </c>
      <c r="BT87" s="41">
        <v>0</v>
      </c>
      <c r="BU87" s="41">
        <v>0</v>
      </c>
      <c r="BV87" s="41">
        <v>0</v>
      </c>
      <c r="BW87" s="49">
        <v>948.80211999999995</v>
      </c>
      <c r="BX87" s="37" t="s">
        <v>127</v>
      </c>
      <c r="BY87" s="37" t="s">
        <v>127</v>
      </c>
      <c r="BZ87" s="121" t="s">
        <v>127</v>
      </c>
      <c r="CA87" s="41">
        <v>0</v>
      </c>
      <c r="CB87" s="41">
        <v>0</v>
      </c>
      <c r="CC87" s="41">
        <v>0</v>
      </c>
      <c r="CD87" s="41">
        <v>0</v>
      </c>
      <c r="CE87" s="41">
        <v>0</v>
      </c>
      <c r="CF87" s="110">
        <v>0</v>
      </c>
      <c r="CG87" s="45">
        <v>0</v>
      </c>
      <c r="CH87" s="45" t="s">
        <v>137</v>
      </c>
      <c r="CI87" s="37" t="s">
        <v>127</v>
      </c>
      <c r="CJ87" s="77" t="s">
        <v>127</v>
      </c>
      <c r="CK87" s="98">
        <v>0</v>
      </c>
      <c r="CL87" s="98">
        <v>1</v>
      </c>
      <c r="CM87" s="100" t="s">
        <v>618</v>
      </c>
    </row>
    <row r="88" spans="1:91" ht="12.75" customHeight="1" x14ac:dyDescent="0.3">
      <c r="A88" s="37">
        <v>86</v>
      </c>
      <c r="B88" s="37" t="s">
        <v>619</v>
      </c>
      <c r="C88" s="124"/>
      <c r="D88" s="124"/>
      <c r="E88" s="37" t="s">
        <v>620</v>
      </c>
      <c r="F88" s="36" t="s">
        <v>614</v>
      </c>
      <c r="G88" s="81" t="s">
        <v>615</v>
      </c>
      <c r="H88" s="37" t="s">
        <v>131</v>
      </c>
      <c r="I88" s="37" t="s">
        <v>127</v>
      </c>
      <c r="J88" s="37" t="s">
        <v>127</v>
      </c>
      <c r="K88" s="37" t="s">
        <v>609</v>
      </c>
      <c r="L88" s="75" t="s">
        <v>616</v>
      </c>
      <c r="M88" s="37" t="s">
        <v>127</v>
      </c>
      <c r="N88" s="37" t="s">
        <v>127</v>
      </c>
      <c r="O88" s="76">
        <v>45413</v>
      </c>
      <c r="P88" s="37">
        <v>12</v>
      </c>
      <c r="Q88" s="37" t="s">
        <v>127</v>
      </c>
      <c r="R88" s="37" t="s">
        <v>127</v>
      </c>
      <c r="S88" s="37" t="s">
        <v>127</v>
      </c>
      <c r="T88" s="37" t="s">
        <v>611</v>
      </c>
      <c r="U88" s="37" t="s">
        <v>230</v>
      </c>
      <c r="V88" s="37" t="b">
        <v>0</v>
      </c>
      <c r="W88" s="77" t="s">
        <v>127</v>
      </c>
      <c r="X88" s="123"/>
      <c r="Y88" s="37" t="s">
        <v>127</v>
      </c>
      <c r="Z88" s="37" t="s">
        <v>127</v>
      </c>
      <c r="AA88" s="37">
        <v>69</v>
      </c>
      <c r="AB88" s="37" t="s">
        <v>127</v>
      </c>
      <c r="AC88" s="78">
        <v>1.2</v>
      </c>
      <c r="AD88" s="78">
        <v>2975539</v>
      </c>
      <c r="AE88" s="37" t="s">
        <v>621</v>
      </c>
      <c r="AF88" s="37">
        <v>15259</v>
      </c>
      <c r="AG88" s="37" t="s">
        <v>127</v>
      </c>
      <c r="AH88" s="37" t="b">
        <v>1</v>
      </c>
      <c r="AI88" s="76" t="s">
        <v>127</v>
      </c>
      <c r="AJ88" s="77" t="s">
        <v>142</v>
      </c>
      <c r="AK88" s="37" t="s">
        <v>127</v>
      </c>
      <c r="AL88" s="37" t="s">
        <v>127</v>
      </c>
      <c r="AM88" s="37" t="b">
        <v>0</v>
      </c>
      <c r="AN88" s="37" t="s">
        <v>127</v>
      </c>
      <c r="AO88" s="37" t="s">
        <v>127</v>
      </c>
      <c r="AP88" s="37" t="s">
        <v>127</v>
      </c>
      <c r="AQ88" s="37" t="b">
        <v>0</v>
      </c>
      <c r="AR88" s="37" t="s">
        <v>127</v>
      </c>
      <c r="AS88" s="76" t="s">
        <v>137</v>
      </c>
      <c r="AT88" s="37" t="s">
        <v>127</v>
      </c>
      <c r="AU88" s="37" t="s">
        <v>127</v>
      </c>
      <c r="AV88" s="37" t="s">
        <v>137</v>
      </c>
      <c r="AW88" s="37" t="s">
        <v>137</v>
      </c>
      <c r="AX88" s="37" t="s">
        <v>161</v>
      </c>
      <c r="AY88" s="76" t="s">
        <v>127</v>
      </c>
      <c r="AZ88" s="77" t="s">
        <v>127</v>
      </c>
      <c r="BA88" s="37" t="s">
        <v>127</v>
      </c>
      <c r="BB88" s="37" t="s">
        <v>622</v>
      </c>
      <c r="BC88" s="77" t="s">
        <v>127</v>
      </c>
      <c r="BD88" s="76">
        <v>44760</v>
      </c>
      <c r="BE88" s="37" t="s">
        <v>127</v>
      </c>
      <c r="BF88" s="86">
        <v>46533</v>
      </c>
      <c r="BG88" s="39" t="s">
        <v>127</v>
      </c>
      <c r="BH88" s="37" t="s">
        <v>127</v>
      </c>
      <c r="BI88" s="40" t="b">
        <v>1</v>
      </c>
      <c r="BJ88" s="40" t="s">
        <v>137</v>
      </c>
      <c r="BK88" s="37" t="s">
        <v>137</v>
      </c>
      <c r="BL88" s="41">
        <v>2878.7452143140681</v>
      </c>
      <c r="BM88" s="41">
        <v>0</v>
      </c>
      <c r="BN88" s="41">
        <v>0</v>
      </c>
      <c r="BO88" s="41">
        <v>29.86627</v>
      </c>
      <c r="BP88" s="41">
        <v>153.46337382999997</v>
      </c>
      <c r="BQ88" s="41">
        <v>672.12359000000015</v>
      </c>
      <c r="BR88" s="41">
        <v>815.80940046177238</v>
      </c>
      <c r="BS88" s="41">
        <v>1207.4825800222948</v>
      </c>
      <c r="BT88" s="41">
        <v>0</v>
      </c>
      <c r="BU88" s="41">
        <v>0</v>
      </c>
      <c r="BV88" s="41">
        <v>0</v>
      </c>
      <c r="BW88" s="49">
        <v>1096.3084899999999</v>
      </c>
      <c r="BX88" s="37" t="s">
        <v>127</v>
      </c>
      <c r="BY88" s="37" t="s">
        <v>127</v>
      </c>
      <c r="BZ88" s="37" t="s">
        <v>173</v>
      </c>
      <c r="CA88" s="41">
        <v>0</v>
      </c>
      <c r="CB88" s="41">
        <v>0</v>
      </c>
      <c r="CC88" s="41">
        <v>0</v>
      </c>
      <c r="CD88" s="41">
        <v>0</v>
      </c>
      <c r="CE88" s="41">
        <v>0</v>
      </c>
      <c r="CF88" s="41">
        <v>616.3198004617725</v>
      </c>
      <c r="CG88" s="45">
        <v>0</v>
      </c>
      <c r="CH88" s="45" t="s">
        <v>137</v>
      </c>
      <c r="CI88" s="37" t="s">
        <v>127</v>
      </c>
      <c r="CJ88" s="77" t="s">
        <v>127</v>
      </c>
      <c r="CK88" s="98">
        <v>0</v>
      </c>
      <c r="CL88" s="98">
        <v>1</v>
      </c>
      <c r="CM88" s="100" t="s">
        <v>623</v>
      </c>
    </row>
    <row r="89" spans="1:91" ht="12.75" customHeight="1" x14ac:dyDescent="0.3">
      <c r="A89" s="37">
        <v>87</v>
      </c>
      <c r="B89" s="37" t="s">
        <v>624</v>
      </c>
      <c r="C89" s="124"/>
      <c r="D89" s="124"/>
      <c r="E89" s="37" t="s">
        <v>258</v>
      </c>
      <c r="F89" s="36" t="s">
        <v>625</v>
      </c>
      <c r="G89" s="81" t="s">
        <v>148</v>
      </c>
      <c r="H89" s="37" t="s">
        <v>131</v>
      </c>
      <c r="I89" s="37" t="s">
        <v>127</v>
      </c>
      <c r="J89" s="37" t="s">
        <v>127</v>
      </c>
      <c r="K89" s="37" t="s">
        <v>609</v>
      </c>
      <c r="L89" s="75" t="s">
        <v>489</v>
      </c>
      <c r="M89" s="37" t="s">
        <v>127</v>
      </c>
      <c r="N89" s="37" t="s">
        <v>127</v>
      </c>
      <c r="O89" s="76">
        <v>45420</v>
      </c>
      <c r="P89" s="37" t="s">
        <v>127</v>
      </c>
      <c r="Q89" s="37" t="s">
        <v>127</v>
      </c>
      <c r="R89" s="37" t="s">
        <v>127</v>
      </c>
      <c r="S89" s="37" t="s">
        <v>127</v>
      </c>
      <c r="T89" s="37" t="s">
        <v>611</v>
      </c>
      <c r="U89" s="37" t="s">
        <v>230</v>
      </c>
      <c r="V89" s="37" t="b">
        <v>0</v>
      </c>
      <c r="W89" s="77" t="s">
        <v>127</v>
      </c>
      <c r="X89" s="123"/>
      <c r="Y89" s="37" t="s">
        <v>127</v>
      </c>
      <c r="Z89" s="37">
        <v>0.94</v>
      </c>
      <c r="AA89" s="37">
        <v>69</v>
      </c>
      <c r="AB89" s="37" t="s">
        <v>127</v>
      </c>
      <c r="AC89" s="78">
        <v>1.2</v>
      </c>
      <c r="AD89" s="78">
        <v>5273381</v>
      </c>
      <c r="AE89" s="37" t="s">
        <v>626</v>
      </c>
      <c r="AF89" s="37">
        <v>15259</v>
      </c>
      <c r="AG89" s="37" t="s">
        <v>127</v>
      </c>
      <c r="AH89" s="37" t="b">
        <v>1</v>
      </c>
      <c r="AI89" s="76" t="s">
        <v>127</v>
      </c>
      <c r="AJ89" s="77" t="s">
        <v>142</v>
      </c>
      <c r="AK89" s="37" t="s">
        <v>127</v>
      </c>
      <c r="AL89" s="37" t="s">
        <v>127</v>
      </c>
      <c r="AM89" s="37" t="b">
        <v>0</v>
      </c>
      <c r="AN89" s="37" t="s">
        <v>127</v>
      </c>
      <c r="AO89" s="37" t="s">
        <v>127</v>
      </c>
      <c r="AP89" s="37" t="s">
        <v>127</v>
      </c>
      <c r="AQ89" s="37" t="b">
        <v>0</v>
      </c>
      <c r="AR89" s="37" t="s">
        <v>127</v>
      </c>
      <c r="AS89" s="76" t="s">
        <v>137</v>
      </c>
      <c r="AT89" s="37" t="s">
        <v>127</v>
      </c>
      <c r="AU89" s="37" t="s">
        <v>127</v>
      </c>
      <c r="AV89" s="37" t="s">
        <v>137</v>
      </c>
      <c r="AW89" s="37" t="s">
        <v>137</v>
      </c>
      <c r="AX89" s="37" t="s">
        <v>161</v>
      </c>
      <c r="AY89" s="76" t="s">
        <v>127</v>
      </c>
      <c r="AZ89" s="77" t="s">
        <v>127</v>
      </c>
      <c r="BA89" s="37" t="s">
        <v>127</v>
      </c>
      <c r="BB89" s="37" t="s">
        <v>396</v>
      </c>
      <c r="BC89" s="77" t="s">
        <v>127</v>
      </c>
      <c r="BD89" s="76" t="s">
        <v>627</v>
      </c>
      <c r="BE89" s="37" t="s">
        <v>127</v>
      </c>
      <c r="BF89" s="86" t="s">
        <v>628</v>
      </c>
      <c r="BG89" s="39" t="s">
        <v>127</v>
      </c>
      <c r="BH89" s="37" t="s">
        <v>127</v>
      </c>
      <c r="BI89" s="40" t="b">
        <v>1</v>
      </c>
      <c r="BJ89" s="40" t="s">
        <v>137</v>
      </c>
      <c r="BK89" s="37" t="s">
        <v>137</v>
      </c>
      <c r="BL89" s="41">
        <v>1304.9595299443038</v>
      </c>
      <c r="BM89" s="41">
        <v>0</v>
      </c>
      <c r="BN89" s="41">
        <v>0</v>
      </c>
      <c r="BO89" s="41">
        <v>98.527419999999964</v>
      </c>
      <c r="BP89" s="41">
        <v>618.98824867499991</v>
      </c>
      <c r="BQ89" s="41">
        <v>539.56626834999997</v>
      </c>
      <c r="BR89" s="41">
        <v>47.877592919304035</v>
      </c>
      <c r="BS89" s="41">
        <v>0</v>
      </c>
      <c r="BT89" s="41">
        <v>0</v>
      </c>
      <c r="BU89" s="41">
        <v>0</v>
      </c>
      <c r="BV89" s="41">
        <v>0</v>
      </c>
      <c r="BW89" s="49">
        <v>0</v>
      </c>
      <c r="BX89" s="37" t="s">
        <v>127</v>
      </c>
      <c r="BY89" s="37" t="s">
        <v>127</v>
      </c>
      <c r="BZ89" s="37" t="s">
        <v>173</v>
      </c>
      <c r="CA89" s="41">
        <v>0</v>
      </c>
      <c r="CB89" s="41">
        <v>0</v>
      </c>
      <c r="CC89" s="41">
        <v>0</v>
      </c>
      <c r="CD89" s="41">
        <v>0</v>
      </c>
      <c r="CE89" s="41">
        <v>1213.1761000000001</v>
      </c>
      <c r="CF89" s="41">
        <v>4.3678753543040285</v>
      </c>
      <c r="CG89" s="45">
        <v>0</v>
      </c>
      <c r="CH89" s="45" t="s">
        <v>137</v>
      </c>
      <c r="CI89" s="37" t="s">
        <v>127</v>
      </c>
      <c r="CJ89" s="77" t="s">
        <v>127</v>
      </c>
      <c r="CK89" s="98">
        <v>0</v>
      </c>
      <c r="CL89" s="98">
        <v>1</v>
      </c>
      <c r="CM89" s="100" t="s">
        <v>503</v>
      </c>
    </row>
    <row r="90" spans="1:91" ht="12.75" customHeight="1" x14ac:dyDescent="0.3">
      <c r="A90" s="37">
        <v>88</v>
      </c>
      <c r="B90" s="37" t="s">
        <v>629</v>
      </c>
      <c r="C90" s="124"/>
      <c r="D90" s="124"/>
      <c r="E90" s="37" t="s">
        <v>246</v>
      </c>
      <c r="F90" s="36" t="s">
        <v>630</v>
      </c>
      <c r="G90" s="81" t="s">
        <v>148</v>
      </c>
      <c r="H90" s="37" t="s">
        <v>131</v>
      </c>
      <c r="I90" s="37" t="s">
        <v>127</v>
      </c>
      <c r="J90" s="37" t="s">
        <v>127</v>
      </c>
      <c r="K90" s="37" t="s">
        <v>609</v>
      </c>
      <c r="L90" s="75" t="s">
        <v>489</v>
      </c>
      <c r="M90" s="37" t="s">
        <v>127</v>
      </c>
      <c r="N90" s="37" t="s">
        <v>127</v>
      </c>
      <c r="O90" s="76" t="s">
        <v>127</v>
      </c>
      <c r="P90" s="37" t="s">
        <v>135</v>
      </c>
      <c r="Q90" s="37" t="s">
        <v>127</v>
      </c>
      <c r="R90" s="37" t="s">
        <v>127</v>
      </c>
      <c r="S90" s="37" t="s">
        <v>127</v>
      </c>
      <c r="T90" s="37" t="s">
        <v>248</v>
      </c>
      <c r="U90" s="37" t="s">
        <v>230</v>
      </c>
      <c r="V90" s="37" t="b">
        <v>0</v>
      </c>
      <c r="W90" s="77" t="s">
        <v>127</v>
      </c>
      <c r="X90" s="123"/>
      <c r="Y90" s="37" t="s">
        <v>127</v>
      </c>
      <c r="Z90" s="37">
        <v>0.84</v>
      </c>
      <c r="AA90" s="37">
        <v>69</v>
      </c>
      <c r="AB90" s="37" t="s">
        <v>127</v>
      </c>
      <c r="AC90" s="78">
        <v>1.2</v>
      </c>
      <c r="AD90" s="78">
        <v>5473365</v>
      </c>
      <c r="AE90" s="37" t="s">
        <v>631</v>
      </c>
      <c r="AF90" s="37">
        <v>15259</v>
      </c>
      <c r="AG90" s="37" t="s">
        <v>127</v>
      </c>
      <c r="AH90" s="37" t="b">
        <v>1</v>
      </c>
      <c r="AI90" s="76" t="s">
        <v>127</v>
      </c>
      <c r="AJ90" s="77" t="s">
        <v>142</v>
      </c>
      <c r="AK90" s="37" t="s">
        <v>127</v>
      </c>
      <c r="AL90" s="37" t="s">
        <v>127</v>
      </c>
      <c r="AM90" s="37" t="b">
        <v>0</v>
      </c>
      <c r="AN90" s="37" t="s">
        <v>127</v>
      </c>
      <c r="AO90" s="37" t="s">
        <v>127</v>
      </c>
      <c r="AP90" s="37" t="s">
        <v>127</v>
      </c>
      <c r="AQ90" s="37" t="b">
        <v>0</v>
      </c>
      <c r="AR90" s="37" t="s">
        <v>127</v>
      </c>
      <c r="AS90" s="76" t="s">
        <v>137</v>
      </c>
      <c r="AT90" s="37" t="s">
        <v>127</v>
      </c>
      <c r="AU90" s="37" t="s">
        <v>127</v>
      </c>
      <c r="AV90" s="37" t="s">
        <v>137</v>
      </c>
      <c r="AW90" s="37" t="s">
        <v>137</v>
      </c>
      <c r="AX90" s="37" t="s">
        <v>161</v>
      </c>
      <c r="AY90" s="76" t="s">
        <v>127</v>
      </c>
      <c r="AZ90" s="77" t="s">
        <v>127</v>
      </c>
      <c r="BA90" s="37" t="s">
        <v>127</v>
      </c>
      <c r="BB90" s="37" t="s">
        <v>170</v>
      </c>
      <c r="BC90" s="77" t="s">
        <v>127</v>
      </c>
      <c r="BD90" s="76" t="s">
        <v>632</v>
      </c>
      <c r="BE90" s="37" t="s">
        <v>127</v>
      </c>
      <c r="BF90" s="86" t="s">
        <v>633</v>
      </c>
      <c r="BG90" s="39" t="s">
        <v>127</v>
      </c>
      <c r="BH90" s="37" t="s">
        <v>127</v>
      </c>
      <c r="BI90" s="40" t="b">
        <v>1</v>
      </c>
      <c r="BJ90" s="40" t="s">
        <v>137</v>
      </c>
      <c r="BK90" s="37" t="s">
        <v>137</v>
      </c>
      <c r="BL90" s="41">
        <v>1041.9431508615992</v>
      </c>
      <c r="BM90" s="41">
        <v>0</v>
      </c>
      <c r="BN90" s="41">
        <v>0</v>
      </c>
      <c r="BO90" s="41">
        <v>1.4210854715202004E-17</v>
      </c>
      <c r="BP90" s="41">
        <v>3.8588100000000001</v>
      </c>
      <c r="BQ90" s="41">
        <v>762.79304999999988</v>
      </c>
      <c r="BR90" s="41">
        <v>275.29129086159912</v>
      </c>
      <c r="BS90" s="41">
        <v>0</v>
      </c>
      <c r="BT90" s="41">
        <v>0</v>
      </c>
      <c r="BU90" s="41">
        <v>0</v>
      </c>
      <c r="BV90" s="41">
        <v>0</v>
      </c>
      <c r="BW90" s="49">
        <v>1165.77153</v>
      </c>
      <c r="BX90" s="37" t="s">
        <v>127</v>
      </c>
      <c r="BY90" s="37" t="s">
        <v>127</v>
      </c>
      <c r="BZ90" s="37" t="s">
        <v>173</v>
      </c>
      <c r="CA90" s="41">
        <v>0</v>
      </c>
      <c r="CB90" s="41">
        <v>0</v>
      </c>
      <c r="CC90" s="41">
        <v>0</v>
      </c>
      <c r="CD90" s="41">
        <v>0</v>
      </c>
      <c r="CE90" s="41">
        <v>0</v>
      </c>
      <c r="CF90" s="41">
        <v>1041.943150861599</v>
      </c>
      <c r="CG90" s="45">
        <v>0</v>
      </c>
      <c r="CH90" s="45" t="s">
        <v>137</v>
      </c>
      <c r="CI90" s="37" t="s">
        <v>127</v>
      </c>
      <c r="CJ90" s="77" t="s">
        <v>127</v>
      </c>
      <c r="CK90" s="98">
        <v>0</v>
      </c>
      <c r="CL90" s="98">
        <v>1</v>
      </c>
      <c r="CM90" s="100" t="s">
        <v>486</v>
      </c>
    </row>
    <row r="91" spans="1:91" ht="12.75" customHeight="1" x14ac:dyDescent="0.3">
      <c r="A91" s="37">
        <v>89</v>
      </c>
      <c r="B91" s="37" t="s">
        <v>634</v>
      </c>
      <c r="C91" s="124"/>
      <c r="D91" s="124"/>
      <c r="E91" s="37" t="s">
        <v>246</v>
      </c>
      <c r="F91" s="36" t="s">
        <v>635</v>
      </c>
      <c r="G91" s="81" t="s">
        <v>184</v>
      </c>
      <c r="H91" s="37" t="s">
        <v>131</v>
      </c>
      <c r="I91" s="37" t="s">
        <v>127</v>
      </c>
      <c r="J91" s="37" t="s">
        <v>127</v>
      </c>
      <c r="K91" s="37" t="s">
        <v>609</v>
      </c>
      <c r="L91" s="75" t="s">
        <v>636</v>
      </c>
      <c r="M91" s="37" t="s">
        <v>127</v>
      </c>
      <c r="N91" s="37" t="s">
        <v>127</v>
      </c>
      <c r="O91" s="76">
        <v>45377</v>
      </c>
      <c r="P91" s="37" t="s">
        <v>127</v>
      </c>
      <c r="Q91" s="37" t="s">
        <v>127</v>
      </c>
      <c r="R91" s="37" t="s">
        <v>127</v>
      </c>
      <c r="S91" s="37" t="s">
        <v>127</v>
      </c>
      <c r="T91" s="37" t="s">
        <v>248</v>
      </c>
      <c r="U91" s="37" t="s">
        <v>230</v>
      </c>
      <c r="V91" s="37" t="b">
        <v>0</v>
      </c>
      <c r="W91" s="77" t="s">
        <v>127</v>
      </c>
      <c r="X91" s="123"/>
      <c r="Y91" s="37" t="s">
        <v>127</v>
      </c>
      <c r="Z91" s="37" t="s">
        <v>127</v>
      </c>
      <c r="AA91" s="37">
        <v>69</v>
      </c>
      <c r="AB91" s="37" t="s">
        <v>127</v>
      </c>
      <c r="AC91" s="78">
        <v>1.2</v>
      </c>
      <c r="AD91" s="78">
        <v>5981932</v>
      </c>
      <c r="AE91" s="37" t="s">
        <v>637</v>
      </c>
      <c r="AF91" s="37">
        <v>15259</v>
      </c>
      <c r="AG91" s="37" t="s">
        <v>127</v>
      </c>
      <c r="AH91" s="37" t="b">
        <v>1</v>
      </c>
      <c r="AI91" s="76" t="s">
        <v>127</v>
      </c>
      <c r="AJ91" s="77" t="s">
        <v>142</v>
      </c>
      <c r="AK91" s="37" t="s">
        <v>127</v>
      </c>
      <c r="AL91" s="37" t="s">
        <v>127</v>
      </c>
      <c r="AM91" s="37" t="b">
        <v>0</v>
      </c>
      <c r="AN91" s="37" t="s">
        <v>127</v>
      </c>
      <c r="AO91" s="37" t="s">
        <v>127</v>
      </c>
      <c r="AP91" s="37" t="s">
        <v>127</v>
      </c>
      <c r="AQ91" s="37" t="b">
        <v>0</v>
      </c>
      <c r="AR91" s="37" t="s">
        <v>127</v>
      </c>
      <c r="AS91" s="76" t="s">
        <v>137</v>
      </c>
      <c r="AT91" s="37" t="s">
        <v>127</v>
      </c>
      <c r="AU91" s="37" t="s">
        <v>127</v>
      </c>
      <c r="AV91" s="37" t="s">
        <v>137</v>
      </c>
      <c r="AW91" s="37" t="s">
        <v>137</v>
      </c>
      <c r="AX91" s="37" t="s">
        <v>161</v>
      </c>
      <c r="AY91" s="76" t="s">
        <v>127</v>
      </c>
      <c r="AZ91" s="77" t="s">
        <v>127</v>
      </c>
      <c r="BA91" s="37" t="s">
        <v>127</v>
      </c>
      <c r="BB91" s="37" t="s">
        <v>143</v>
      </c>
      <c r="BC91" s="77" t="s">
        <v>127</v>
      </c>
      <c r="BD91" s="76">
        <v>44172</v>
      </c>
      <c r="BE91" s="37" t="s">
        <v>127</v>
      </c>
      <c r="BF91" s="80">
        <v>44501</v>
      </c>
      <c r="BG91" s="39" t="s">
        <v>127</v>
      </c>
      <c r="BH91" s="37" t="s">
        <v>127</v>
      </c>
      <c r="BI91" s="40" t="b">
        <v>0</v>
      </c>
      <c r="BJ91" s="40" t="s">
        <v>137</v>
      </c>
      <c r="BK91" s="37" t="s">
        <v>137</v>
      </c>
      <c r="BL91" s="41">
        <v>3433.348020840001</v>
      </c>
      <c r="BM91" s="41">
        <v>254.32778132400006</v>
      </c>
      <c r="BN91" s="41">
        <v>833.72414292999986</v>
      </c>
      <c r="BO91" s="41">
        <v>2084.9861705420003</v>
      </c>
      <c r="BP91" s="41">
        <v>10.208830000000001</v>
      </c>
      <c r="BQ91" s="41">
        <v>0</v>
      </c>
      <c r="BR91" s="41">
        <v>0</v>
      </c>
      <c r="BS91" s="41">
        <v>0</v>
      </c>
      <c r="BT91" s="41">
        <v>0</v>
      </c>
      <c r="BU91" s="41">
        <v>0</v>
      </c>
      <c r="BV91" s="41">
        <v>0</v>
      </c>
      <c r="BW91" s="49">
        <v>0</v>
      </c>
      <c r="BX91" s="37" t="s">
        <v>127</v>
      </c>
      <c r="BY91" s="37" t="s">
        <v>127</v>
      </c>
      <c r="BZ91" s="37" t="s">
        <v>264</v>
      </c>
      <c r="CA91" s="41">
        <v>0</v>
      </c>
      <c r="CB91" s="41">
        <v>3422.75</v>
      </c>
      <c r="CC91" s="41">
        <v>10.208830000000001</v>
      </c>
      <c r="CD91" s="41">
        <v>0</v>
      </c>
      <c r="CE91" s="41">
        <v>0</v>
      </c>
      <c r="CF91" s="41">
        <v>0</v>
      </c>
      <c r="CG91" s="45">
        <v>0</v>
      </c>
      <c r="CH91" s="45" t="s">
        <v>137</v>
      </c>
      <c r="CI91" s="37" t="s">
        <v>127</v>
      </c>
      <c r="CJ91" s="77" t="s">
        <v>127</v>
      </c>
      <c r="CK91" s="98">
        <v>0</v>
      </c>
      <c r="CL91" s="98">
        <v>1</v>
      </c>
      <c r="CM91" s="100" t="s">
        <v>463</v>
      </c>
    </row>
    <row r="92" spans="1:91" ht="12.75" customHeight="1" x14ac:dyDescent="0.3">
      <c r="A92" s="37">
        <v>90</v>
      </c>
      <c r="B92" s="37" t="s">
        <v>638</v>
      </c>
      <c r="C92" s="124"/>
      <c r="D92" s="124"/>
      <c r="E92" s="37" t="s">
        <v>246</v>
      </c>
      <c r="F92" s="36" t="s">
        <v>639</v>
      </c>
      <c r="G92" s="81" t="s">
        <v>148</v>
      </c>
      <c r="H92" s="37" t="s">
        <v>131</v>
      </c>
      <c r="I92" s="37" t="s">
        <v>127</v>
      </c>
      <c r="J92" s="37" t="s">
        <v>127</v>
      </c>
      <c r="K92" s="37" t="s">
        <v>609</v>
      </c>
      <c r="L92" s="75" t="s">
        <v>636</v>
      </c>
      <c r="M92" s="37" t="s">
        <v>127</v>
      </c>
      <c r="N92" s="37" t="s">
        <v>127</v>
      </c>
      <c r="O92" s="76">
        <v>45405</v>
      </c>
      <c r="P92" s="37">
        <v>52</v>
      </c>
      <c r="Q92" s="37" t="s">
        <v>127</v>
      </c>
      <c r="R92" s="37" t="s">
        <v>127</v>
      </c>
      <c r="S92" s="37" t="s">
        <v>127</v>
      </c>
      <c r="T92" s="37" t="s">
        <v>248</v>
      </c>
      <c r="U92" s="37" t="s">
        <v>230</v>
      </c>
      <c r="V92" s="37" t="b">
        <v>0</v>
      </c>
      <c r="W92" s="77" t="s">
        <v>127</v>
      </c>
      <c r="X92" s="123"/>
      <c r="Y92" s="37" t="s">
        <v>127</v>
      </c>
      <c r="Z92" s="37" t="s">
        <v>127</v>
      </c>
      <c r="AA92" s="37">
        <v>69</v>
      </c>
      <c r="AB92" s="37" t="s">
        <v>127</v>
      </c>
      <c r="AC92" s="78">
        <v>1.2</v>
      </c>
      <c r="AD92" s="78">
        <v>5981935</v>
      </c>
      <c r="AE92" s="37" t="s">
        <v>640</v>
      </c>
      <c r="AF92" s="37">
        <v>15259</v>
      </c>
      <c r="AG92" s="37" t="s">
        <v>127</v>
      </c>
      <c r="AH92" s="37" t="b">
        <v>1</v>
      </c>
      <c r="AI92" s="76" t="s">
        <v>127</v>
      </c>
      <c r="AJ92" s="77" t="s">
        <v>142</v>
      </c>
      <c r="AK92" s="37" t="s">
        <v>127</v>
      </c>
      <c r="AL92" s="37" t="s">
        <v>127</v>
      </c>
      <c r="AM92" s="37" t="b">
        <v>0</v>
      </c>
      <c r="AN92" s="37" t="s">
        <v>127</v>
      </c>
      <c r="AO92" s="37" t="s">
        <v>127</v>
      </c>
      <c r="AP92" s="37" t="s">
        <v>127</v>
      </c>
      <c r="AQ92" s="37" t="b">
        <v>0</v>
      </c>
      <c r="AR92" s="37" t="s">
        <v>127</v>
      </c>
      <c r="AS92" s="76" t="s">
        <v>137</v>
      </c>
      <c r="AT92" s="37" t="s">
        <v>127</v>
      </c>
      <c r="AU92" s="37" t="s">
        <v>127</v>
      </c>
      <c r="AV92" s="37" t="s">
        <v>137</v>
      </c>
      <c r="AW92" s="37" t="s">
        <v>137</v>
      </c>
      <c r="AX92" s="37" t="s">
        <v>161</v>
      </c>
      <c r="AY92" s="76" t="s">
        <v>127</v>
      </c>
      <c r="AZ92" s="77" t="s">
        <v>127</v>
      </c>
      <c r="BA92" s="37" t="s">
        <v>127</v>
      </c>
      <c r="BB92" s="37" t="s">
        <v>143</v>
      </c>
      <c r="BC92" s="77" t="s">
        <v>127</v>
      </c>
      <c r="BD92" s="76">
        <v>44074</v>
      </c>
      <c r="BE92" s="37" t="s">
        <v>127</v>
      </c>
      <c r="BF92" s="80">
        <v>45008</v>
      </c>
      <c r="BG92" s="39" t="s">
        <v>127</v>
      </c>
      <c r="BH92" s="37" t="s">
        <v>127</v>
      </c>
      <c r="BI92" s="40" t="b">
        <v>1</v>
      </c>
      <c r="BJ92" s="40" t="s">
        <v>137</v>
      </c>
      <c r="BK92" s="37" t="s">
        <v>137</v>
      </c>
      <c r="BL92" s="41">
        <v>10286.475578204007</v>
      </c>
      <c r="BM92" s="41">
        <v>1173.6834632319999</v>
      </c>
      <c r="BN92" s="41">
        <v>3353.2362575799984</v>
      </c>
      <c r="BO92" s="41">
        <v>3052.3056793330006</v>
      </c>
      <c r="BP92" s="41">
        <v>1859.5361491649999</v>
      </c>
      <c r="BQ92" s="41">
        <v>840.39814211200019</v>
      </c>
      <c r="BR92" s="41">
        <v>-1.2686099999999998</v>
      </c>
      <c r="BS92" s="41">
        <v>0</v>
      </c>
      <c r="BT92" s="41">
        <v>0</v>
      </c>
      <c r="BU92" s="41">
        <v>0</v>
      </c>
      <c r="BV92" s="41">
        <v>0</v>
      </c>
      <c r="BW92" s="49">
        <v>0</v>
      </c>
      <c r="BX92" s="37" t="s">
        <v>127</v>
      </c>
      <c r="BY92" s="37" t="s">
        <v>127</v>
      </c>
      <c r="BZ92" s="37" t="s">
        <v>198</v>
      </c>
      <c r="CA92" s="41">
        <v>0</v>
      </c>
      <c r="CB92" s="41">
        <v>0</v>
      </c>
      <c r="CC92" s="41">
        <v>0</v>
      </c>
      <c r="CD92" s="41">
        <v>10194.01</v>
      </c>
      <c r="CE92" s="41">
        <v>-1.2686100000000002</v>
      </c>
      <c r="CF92" s="41">
        <v>-1.2686099999999998</v>
      </c>
      <c r="CG92" s="45">
        <v>0</v>
      </c>
      <c r="CH92" s="45" t="s">
        <v>137</v>
      </c>
      <c r="CI92" s="37" t="s">
        <v>127</v>
      </c>
      <c r="CJ92" s="77" t="s">
        <v>127</v>
      </c>
      <c r="CK92" s="98">
        <v>0</v>
      </c>
      <c r="CL92" s="98">
        <v>1</v>
      </c>
      <c r="CM92" s="100" t="s">
        <v>618</v>
      </c>
    </row>
    <row r="93" spans="1:91" ht="12.75" customHeight="1" x14ac:dyDescent="0.3">
      <c r="A93" s="37">
        <v>91</v>
      </c>
      <c r="B93" s="37" t="s">
        <v>641</v>
      </c>
      <c r="C93" s="124"/>
      <c r="D93" s="124"/>
      <c r="E93" s="37" t="s">
        <v>246</v>
      </c>
      <c r="F93" s="36" t="s">
        <v>642</v>
      </c>
      <c r="G93" s="81" t="s">
        <v>148</v>
      </c>
      <c r="H93" s="37" t="s">
        <v>131</v>
      </c>
      <c r="I93" s="37" t="s">
        <v>127</v>
      </c>
      <c r="J93" s="37" t="s">
        <v>127</v>
      </c>
      <c r="K93" s="37" t="s">
        <v>609</v>
      </c>
      <c r="L93" s="75" t="s">
        <v>643</v>
      </c>
      <c r="M93" s="37" t="s">
        <v>127</v>
      </c>
      <c r="N93" s="37" t="s">
        <v>127</v>
      </c>
      <c r="O93" s="76">
        <v>45378</v>
      </c>
      <c r="P93" s="37">
        <v>42</v>
      </c>
      <c r="Q93" s="37" t="s">
        <v>127</v>
      </c>
      <c r="R93" s="37" t="s">
        <v>127</v>
      </c>
      <c r="S93" s="37" t="s">
        <v>127</v>
      </c>
      <c r="T93" s="37" t="s">
        <v>248</v>
      </c>
      <c r="U93" s="37" t="s">
        <v>230</v>
      </c>
      <c r="V93" s="37" t="b">
        <v>0</v>
      </c>
      <c r="W93" s="77" t="s">
        <v>127</v>
      </c>
      <c r="X93" s="123"/>
      <c r="Y93" s="37" t="s">
        <v>127</v>
      </c>
      <c r="Z93" s="37">
        <v>0.34</v>
      </c>
      <c r="AA93" s="37">
        <v>69</v>
      </c>
      <c r="AB93" s="37" t="s">
        <v>127</v>
      </c>
      <c r="AC93" s="78">
        <v>1.2</v>
      </c>
      <c r="AD93" s="78">
        <v>5983124</v>
      </c>
      <c r="AE93" s="37" t="s">
        <v>644</v>
      </c>
      <c r="AF93" s="37">
        <v>15259</v>
      </c>
      <c r="AG93" s="37" t="s">
        <v>127</v>
      </c>
      <c r="AH93" s="37" t="b">
        <v>1</v>
      </c>
      <c r="AI93" s="76" t="s">
        <v>127</v>
      </c>
      <c r="AJ93" s="77" t="s">
        <v>142</v>
      </c>
      <c r="AK93" s="37" t="s">
        <v>127</v>
      </c>
      <c r="AL93" s="37" t="s">
        <v>127</v>
      </c>
      <c r="AM93" s="37" t="b">
        <v>0</v>
      </c>
      <c r="AN93" s="37" t="s">
        <v>127</v>
      </c>
      <c r="AO93" s="37" t="s">
        <v>127</v>
      </c>
      <c r="AP93" s="37" t="s">
        <v>127</v>
      </c>
      <c r="AQ93" s="37" t="b">
        <v>0</v>
      </c>
      <c r="AR93" s="37" t="s">
        <v>127</v>
      </c>
      <c r="AS93" s="76" t="s">
        <v>137</v>
      </c>
      <c r="AT93" s="37" t="s">
        <v>127</v>
      </c>
      <c r="AU93" s="37" t="s">
        <v>127</v>
      </c>
      <c r="AV93" s="37" t="s">
        <v>137</v>
      </c>
      <c r="AW93" s="37" t="s">
        <v>137</v>
      </c>
      <c r="AX93" s="37" t="s">
        <v>161</v>
      </c>
      <c r="AY93" s="76" t="s">
        <v>127</v>
      </c>
      <c r="AZ93" s="77" t="s">
        <v>127</v>
      </c>
      <c r="BA93" s="37" t="s">
        <v>127</v>
      </c>
      <c r="BB93" s="37" t="s">
        <v>143</v>
      </c>
      <c r="BC93" s="77" t="s">
        <v>127</v>
      </c>
      <c r="BD93" s="76" t="s">
        <v>645</v>
      </c>
      <c r="BE93" s="37" t="s">
        <v>127</v>
      </c>
      <c r="BF93" s="86" t="s">
        <v>646</v>
      </c>
      <c r="BG93" s="39" t="s">
        <v>127</v>
      </c>
      <c r="BH93" s="37" t="s">
        <v>127</v>
      </c>
      <c r="BI93" s="40" t="b">
        <v>1</v>
      </c>
      <c r="BJ93" s="40" t="s">
        <v>137</v>
      </c>
      <c r="BK93" s="37" t="s">
        <v>137</v>
      </c>
      <c r="BL93" s="41">
        <v>4404.6426086350002</v>
      </c>
      <c r="BM93" s="41">
        <v>0</v>
      </c>
      <c r="BN93" s="41">
        <v>3.2363399999999998</v>
      </c>
      <c r="BO93" s="41">
        <v>159.99428</v>
      </c>
      <c r="BP93" s="41">
        <v>2247.3690100000008</v>
      </c>
      <c r="BQ93" s="41">
        <v>1727.4986100000006</v>
      </c>
      <c r="BR93" s="41">
        <v>266.54436863499996</v>
      </c>
      <c r="BS93" s="41">
        <v>0</v>
      </c>
      <c r="BT93" s="41">
        <v>0</v>
      </c>
      <c r="BU93" s="41">
        <v>0</v>
      </c>
      <c r="BV93" s="41">
        <v>0</v>
      </c>
      <c r="BW93" s="49">
        <v>0</v>
      </c>
      <c r="BX93" s="37" t="s">
        <v>127</v>
      </c>
      <c r="BY93" s="37" t="s">
        <v>127</v>
      </c>
      <c r="BZ93" s="37" t="s">
        <v>173</v>
      </c>
      <c r="CA93" s="41">
        <v>0</v>
      </c>
      <c r="CB93" s="41">
        <v>0</v>
      </c>
      <c r="CC93" s="41">
        <v>0</v>
      </c>
      <c r="CD93" s="41">
        <v>0</v>
      </c>
      <c r="CE93" s="41">
        <v>4314.03</v>
      </c>
      <c r="CF93" s="41">
        <v>266.54436863499996</v>
      </c>
      <c r="CG93" s="45">
        <v>0</v>
      </c>
      <c r="CH93" s="45" t="s">
        <v>137</v>
      </c>
      <c r="CI93" s="37" t="s">
        <v>127</v>
      </c>
      <c r="CJ93" s="77" t="s">
        <v>127</v>
      </c>
      <c r="CK93" s="98">
        <v>0</v>
      </c>
      <c r="CL93" s="98">
        <v>1</v>
      </c>
      <c r="CM93" s="100" t="s">
        <v>618</v>
      </c>
    </row>
    <row r="94" spans="1:91" ht="12.75" customHeight="1" x14ac:dyDescent="0.3">
      <c r="A94" s="37">
        <v>92</v>
      </c>
      <c r="B94" s="37" t="s">
        <v>647</v>
      </c>
      <c r="C94" s="124"/>
      <c r="D94" s="124"/>
      <c r="E94" s="37" t="s">
        <v>620</v>
      </c>
      <c r="F94" s="36" t="s">
        <v>648</v>
      </c>
      <c r="G94" s="81" t="s">
        <v>148</v>
      </c>
      <c r="H94" s="37" t="s">
        <v>131</v>
      </c>
      <c r="I94" s="37" t="s">
        <v>127</v>
      </c>
      <c r="J94" s="37" t="s">
        <v>127</v>
      </c>
      <c r="K94" s="37" t="s">
        <v>609</v>
      </c>
      <c r="L94" s="75" t="s">
        <v>649</v>
      </c>
      <c r="M94" s="37" t="s">
        <v>127</v>
      </c>
      <c r="N94" s="37" t="s">
        <v>127</v>
      </c>
      <c r="O94" s="76">
        <v>45413</v>
      </c>
      <c r="P94" s="37">
        <v>52</v>
      </c>
      <c r="Q94" s="37" t="s">
        <v>127</v>
      </c>
      <c r="R94" s="37" t="s">
        <v>127</v>
      </c>
      <c r="S94" s="37" t="s">
        <v>127</v>
      </c>
      <c r="T94" s="37" t="s">
        <v>611</v>
      </c>
      <c r="U94" s="37" t="s">
        <v>230</v>
      </c>
      <c r="V94" s="37" t="b">
        <v>0</v>
      </c>
      <c r="W94" s="77" t="s">
        <v>127</v>
      </c>
      <c r="X94" s="123"/>
      <c r="Y94" s="37" t="s">
        <v>127</v>
      </c>
      <c r="Z94" s="37" t="s">
        <v>127</v>
      </c>
      <c r="AA94" s="37">
        <v>69</v>
      </c>
      <c r="AB94" s="37" t="s">
        <v>127</v>
      </c>
      <c r="AC94" s="78">
        <v>1.2</v>
      </c>
      <c r="AD94" s="78">
        <v>5983126</v>
      </c>
      <c r="AE94" s="37" t="s">
        <v>621</v>
      </c>
      <c r="AF94" s="37">
        <v>15259</v>
      </c>
      <c r="AG94" s="37" t="s">
        <v>127</v>
      </c>
      <c r="AH94" s="37" t="b">
        <v>1</v>
      </c>
      <c r="AI94" s="76" t="s">
        <v>127</v>
      </c>
      <c r="AJ94" s="77" t="s">
        <v>142</v>
      </c>
      <c r="AK94" s="37" t="s">
        <v>127</v>
      </c>
      <c r="AL94" s="37" t="s">
        <v>127</v>
      </c>
      <c r="AM94" s="37" t="b">
        <v>0</v>
      </c>
      <c r="AN94" s="37" t="s">
        <v>127</v>
      </c>
      <c r="AO94" s="37" t="s">
        <v>127</v>
      </c>
      <c r="AP94" s="37" t="s">
        <v>127</v>
      </c>
      <c r="AQ94" s="37" t="b">
        <v>0</v>
      </c>
      <c r="AR94" s="37" t="s">
        <v>127</v>
      </c>
      <c r="AS94" s="76" t="s">
        <v>137</v>
      </c>
      <c r="AT94" s="37" t="s">
        <v>127</v>
      </c>
      <c r="AU94" s="37" t="s">
        <v>127</v>
      </c>
      <c r="AV94" s="37" t="s">
        <v>137</v>
      </c>
      <c r="AW94" s="37" t="s">
        <v>137</v>
      </c>
      <c r="AX94" s="37" t="s">
        <v>161</v>
      </c>
      <c r="AY94" s="76" t="s">
        <v>127</v>
      </c>
      <c r="AZ94" s="77" t="s">
        <v>127</v>
      </c>
      <c r="BA94" s="37" t="s">
        <v>127</v>
      </c>
      <c r="BB94" s="37" t="s">
        <v>622</v>
      </c>
      <c r="BC94" s="77" t="s">
        <v>127</v>
      </c>
      <c r="BD94" s="76">
        <v>44760</v>
      </c>
      <c r="BE94" s="37" t="s">
        <v>127</v>
      </c>
      <c r="BF94" s="86">
        <v>46533</v>
      </c>
      <c r="BG94" s="39" t="s">
        <v>127</v>
      </c>
      <c r="BH94" s="37" t="s">
        <v>127</v>
      </c>
      <c r="BI94" s="40" t="b">
        <v>1</v>
      </c>
      <c r="BJ94" s="40" t="s">
        <v>137</v>
      </c>
      <c r="BK94" s="37" t="s">
        <v>137</v>
      </c>
      <c r="BL94" s="41">
        <v>24490.502513851094</v>
      </c>
      <c r="BM94" s="41">
        <v>0</v>
      </c>
      <c r="BN94" s="41">
        <v>748.66042914999991</v>
      </c>
      <c r="BO94" s="41">
        <v>1548.1291707800001</v>
      </c>
      <c r="BP94" s="41">
        <v>5173.875427085999</v>
      </c>
      <c r="BQ94" s="41">
        <v>7582.6363867809987</v>
      </c>
      <c r="BR94" s="41">
        <v>5633.2217715482802</v>
      </c>
      <c r="BS94" s="41">
        <v>3281.2823512323844</v>
      </c>
      <c r="BT94" s="41">
        <v>522.69697727344408</v>
      </c>
      <c r="BU94" s="41">
        <v>0</v>
      </c>
      <c r="BV94" s="41">
        <v>0</v>
      </c>
      <c r="BW94" s="49">
        <v>15980.654640000001</v>
      </c>
      <c r="BX94" s="37" t="s">
        <v>127</v>
      </c>
      <c r="BY94" s="37" t="s">
        <v>127</v>
      </c>
      <c r="BZ94" s="37" t="s">
        <v>173</v>
      </c>
      <c r="CA94" s="41">
        <v>0</v>
      </c>
      <c r="CB94" s="41">
        <v>0</v>
      </c>
      <c r="CC94" s="41">
        <v>0</v>
      </c>
      <c r="CD94" s="41">
        <v>0</v>
      </c>
      <c r="CE94" s="41">
        <v>0</v>
      </c>
      <c r="CF94" s="41">
        <v>4576.1564615482794</v>
      </c>
      <c r="CG94" s="45">
        <v>0</v>
      </c>
      <c r="CH94" s="45" t="s">
        <v>137</v>
      </c>
      <c r="CI94" s="37" t="s">
        <v>127</v>
      </c>
      <c r="CJ94" s="77" t="s">
        <v>127</v>
      </c>
      <c r="CK94" s="98">
        <v>0</v>
      </c>
      <c r="CL94" s="98">
        <v>1</v>
      </c>
      <c r="CM94" s="100" t="s">
        <v>623</v>
      </c>
    </row>
    <row r="95" spans="1:91" ht="12.75" customHeight="1" x14ac:dyDescent="0.3">
      <c r="A95" s="37">
        <v>93</v>
      </c>
      <c r="B95" s="37" t="s">
        <v>650</v>
      </c>
      <c r="C95" s="124"/>
      <c r="D95" s="124"/>
      <c r="E95" s="37" t="s">
        <v>437</v>
      </c>
      <c r="F95" s="36" t="s">
        <v>648</v>
      </c>
      <c r="G95" s="81" t="s">
        <v>148</v>
      </c>
      <c r="H95" s="37" t="s">
        <v>131</v>
      </c>
      <c r="I95" s="37" t="s">
        <v>127</v>
      </c>
      <c r="J95" s="37" t="s">
        <v>127</v>
      </c>
      <c r="K95" s="37" t="s">
        <v>609</v>
      </c>
      <c r="L95" s="75" t="s">
        <v>649</v>
      </c>
      <c r="M95" s="37" t="s">
        <v>127</v>
      </c>
      <c r="N95" s="37" t="s">
        <v>127</v>
      </c>
      <c r="O95" s="76">
        <v>45390</v>
      </c>
      <c r="P95" s="37">
        <v>45</v>
      </c>
      <c r="Q95" s="37" t="s">
        <v>127</v>
      </c>
      <c r="R95" s="37" t="s">
        <v>127</v>
      </c>
      <c r="S95" s="37" t="s">
        <v>127</v>
      </c>
      <c r="T95" s="37" t="s">
        <v>315</v>
      </c>
      <c r="U95" s="37" t="s">
        <v>230</v>
      </c>
      <c r="V95" s="37" t="b">
        <v>0</v>
      </c>
      <c r="W95" s="77" t="s">
        <v>127</v>
      </c>
      <c r="X95" s="123"/>
      <c r="Y95" s="37" t="s">
        <v>127</v>
      </c>
      <c r="Z95" s="37">
        <v>2.17</v>
      </c>
      <c r="AA95" s="37">
        <v>69</v>
      </c>
      <c r="AB95" s="37" t="s">
        <v>127</v>
      </c>
      <c r="AC95" s="78">
        <v>1.2</v>
      </c>
      <c r="AD95" s="78">
        <v>5983127</v>
      </c>
      <c r="AE95" s="37" t="s">
        <v>651</v>
      </c>
      <c r="AF95" s="37">
        <v>15259</v>
      </c>
      <c r="AG95" s="37" t="s">
        <v>127</v>
      </c>
      <c r="AH95" s="37" t="b">
        <v>1</v>
      </c>
      <c r="AI95" s="76" t="s">
        <v>127</v>
      </c>
      <c r="AJ95" s="77" t="s">
        <v>142</v>
      </c>
      <c r="AK95" s="37" t="s">
        <v>127</v>
      </c>
      <c r="AL95" s="37" t="s">
        <v>127</v>
      </c>
      <c r="AM95" s="37" t="b">
        <v>0</v>
      </c>
      <c r="AN95" s="37" t="s">
        <v>127</v>
      </c>
      <c r="AO95" s="37" t="s">
        <v>127</v>
      </c>
      <c r="AP95" s="37" t="s">
        <v>127</v>
      </c>
      <c r="AQ95" s="37" t="b">
        <v>0</v>
      </c>
      <c r="AR95" s="37" t="s">
        <v>127</v>
      </c>
      <c r="AS95" s="76" t="s">
        <v>137</v>
      </c>
      <c r="AT95" s="37" t="s">
        <v>127</v>
      </c>
      <c r="AU95" s="37" t="s">
        <v>127</v>
      </c>
      <c r="AV95" s="37" t="s">
        <v>137</v>
      </c>
      <c r="AW95" s="37" t="s">
        <v>137</v>
      </c>
      <c r="AX95" s="37" t="s">
        <v>161</v>
      </c>
      <c r="AY95" s="76" t="s">
        <v>127</v>
      </c>
      <c r="AZ95" s="77" t="s">
        <v>127</v>
      </c>
      <c r="BA95" s="37" t="s">
        <v>127</v>
      </c>
      <c r="BB95" s="37" t="s">
        <v>443</v>
      </c>
      <c r="BC95" s="77" t="s">
        <v>127</v>
      </c>
      <c r="BD95" s="76">
        <v>45516</v>
      </c>
      <c r="BE95" s="37" t="s">
        <v>127</v>
      </c>
      <c r="BF95" s="86">
        <v>46437</v>
      </c>
      <c r="BG95" s="39" t="s">
        <v>127</v>
      </c>
      <c r="BH95" s="37" t="s">
        <v>127</v>
      </c>
      <c r="BI95" s="40" t="b">
        <v>1</v>
      </c>
      <c r="BJ95" s="40" t="s">
        <v>137</v>
      </c>
      <c r="BK95" s="37" t="s">
        <v>137</v>
      </c>
      <c r="BL95" s="41">
        <v>13012.66300301419</v>
      </c>
      <c r="BM95" s="41">
        <v>0</v>
      </c>
      <c r="BN95" s="41">
        <v>9.8657793750000007</v>
      </c>
      <c r="BO95" s="41">
        <v>590.83497327400005</v>
      </c>
      <c r="BP95" s="41">
        <v>564.19034812500001</v>
      </c>
      <c r="BQ95" s="41">
        <v>1157.412202879</v>
      </c>
      <c r="BR95" s="41">
        <v>5693.4811156744863</v>
      </c>
      <c r="BS95" s="41">
        <v>4500.18201167197</v>
      </c>
      <c r="BT95" s="41">
        <v>496.69657201472523</v>
      </c>
      <c r="BU95" s="41">
        <v>0</v>
      </c>
      <c r="BV95" s="41">
        <v>0</v>
      </c>
      <c r="BW95" s="49">
        <v>2637.8332700000001</v>
      </c>
      <c r="BX95" s="37" t="s">
        <v>127</v>
      </c>
      <c r="BY95" s="37" t="s">
        <v>127</v>
      </c>
      <c r="BZ95" s="37" t="s">
        <v>173</v>
      </c>
      <c r="CA95" s="41">
        <v>0</v>
      </c>
      <c r="CB95" s="41">
        <v>0</v>
      </c>
      <c r="CC95" s="41">
        <v>0</v>
      </c>
      <c r="CD95" s="41">
        <v>0</v>
      </c>
      <c r="CE95" s="41">
        <v>0</v>
      </c>
      <c r="CF95" s="41">
        <v>5495.8567440104889</v>
      </c>
      <c r="CG95" s="45">
        <v>0</v>
      </c>
      <c r="CH95" s="45" t="s">
        <v>137</v>
      </c>
      <c r="CI95" s="37" t="s">
        <v>127</v>
      </c>
      <c r="CJ95" s="77" t="s">
        <v>127</v>
      </c>
      <c r="CK95" s="98">
        <v>0</v>
      </c>
      <c r="CL95" s="98">
        <v>1</v>
      </c>
      <c r="CM95" s="100" t="s">
        <v>618</v>
      </c>
    </row>
    <row r="96" spans="1:91" ht="12.75" customHeight="1" x14ac:dyDescent="0.3">
      <c r="A96" s="37">
        <v>94</v>
      </c>
      <c r="B96" s="37" t="s">
        <v>652</v>
      </c>
      <c r="C96" s="124"/>
      <c r="D96" s="124"/>
      <c r="E96" s="37" t="s">
        <v>246</v>
      </c>
      <c r="F96" s="36" t="s">
        <v>653</v>
      </c>
      <c r="G96" s="81" t="s">
        <v>148</v>
      </c>
      <c r="H96" s="37" t="s">
        <v>131</v>
      </c>
      <c r="I96" s="37" t="s">
        <v>127</v>
      </c>
      <c r="J96" s="37" t="s">
        <v>127</v>
      </c>
      <c r="K96" s="37" t="s">
        <v>609</v>
      </c>
      <c r="L96" s="75" t="s">
        <v>345</v>
      </c>
      <c r="M96" s="37" t="s">
        <v>127</v>
      </c>
      <c r="N96" s="37" t="s">
        <v>127</v>
      </c>
      <c r="O96" s="76">
        <v>45378</v>
      </c>
      <c r="P96" s="37">
        <v>1.2</v>
      </c>
      <c r="Q96" s="37" t="s">
        <v>127</v>
      </c>
      <c r="R96" s="37" t="s">
        <v>127</v>
      </c>
      <c r="S96" s="37" t="s">
        <v>127</v>
      </c>
      <c r="T96" s="37" t="s">
        <v>248</v>
      </c>
      <c r="U96" s="37" t="s">
        <v>230</v>
      </c>
      <c r="V96" s="37" t="b">
        <v>0</v>
      </c>
      <c r="W96" s="77" t="s">
        <v>127</v>
      </c>
      <c r="X96" s="123"/>
      <c r="Y96" s="37" t="s">
        <v>127</v>
      </c>
      <c r="Z96" s="37">
        <v>0.34</v>
      </c>
      <c r="AA96" s="37">
        <v>69</v>
      </c>
      <c r="AB96" s="37" t="s">
        <v>127</v>
      </c>
      <c r="AC96" s="78">
        <v>1.2</v>
      </c>
      <c r="AD96" s="78">
        <v>5984413</v>
      </c>
      <c r="AE96" s="37" t="s">
        <v>654</v>
      </c>
      <c r="AF96" s="37">
        <v>15259</v>
      </c>
      <c r="AG96" s="37" t="s">
        <v>127</v>
      </c>
      <c r="AH96" s="37" t="b">
        <v>1</v>
      </c>
      <c r="AI96" s="76" t="s">
        <v>127</v>
      </c>
      <c r="AJ96" s="77" t="s">
        <v>142</v>
      </c>
      <c r="AK96" s="37" t="s">
        <v>127</v>
      </c>
      <c r="AL96" s="37" t="s">
        <v>127</v>
      </c>
      <c r="AM96" s="37" t="b">
        <v>0</v>
      </c>
      <c r="AN96" s="37" t="s">
        <v>127</v>
      </c>
      <c r="AO96" s="37" t="s">
        <v>127</v>
      </c>
      <c r="AP96" s="37" t="s">
        <v>127</v>
      </c>
      <c r="AQ96" s="37" t="b">
        <v>0</v>
      </c>
      <c r="AR96" s="37" t="s">
        <v>127</v>
      </c>
      <c r="AS96" s="76" t="s">
        <v>137</v>
      </c>
      <c r="AT96" s="37" t="s">
        <v>127</v>
      </c>
      <c r="AU96" s="37" t="s">
        <v>127</v>
      </c>
      <c r="AV96" s="37" t="s">
        <v>137</v>
      </c>
      <c r="AW96" s="37" t="s">
        <v>137</v>
      </c>
      <c r="AX96" s="37" t="s">
        <v>161</v>
      </c>
      <c r="AY96" s="76" t="s">
        <v>127</v>
      </c>
      <c r="AZ96" s="77" t="s">
        <v>127</v>
      </c>
      <c r="BA96" s="37" t="s">
        <v>127</v>
      </c>
      <c r="BB96" s="37" t="s">
        <v>143</v>
      </c>
      <c r="BC96" s="77" t="s">
        <v>127</v>
      </c>
      <c r="BD96" s="76">
        <v>42681</v>
      </c>
      <c r="BE96" s="37" t="s">
        <v>127</v>
      </c>
      <c r="BF96" s="86">
        <v>44377</v>
      </c>
      <c r="BG96" s="39" t="s">
        <v>127</v>
      </c>
      <c r="BH96" s="37" t="s">
        <v>127</v>
      </c>
      <c r="BI96" s="40" t="b">
        <v>0</v>
      </c>
      <c r="BJ96" s="40" t="s">
        <v>137</v>
      </c>
      <c r="BK96" s="37" t="s">
        <v>137</v>
      </c>
      <c r="BL96" s="41">
        <v>5055.0616122189995</v>
      </c>
      <c r="BM96" s="41">
        <v>432.00502512999998</v>
      </c>
      <c r="BN96" s="41">
        <v>369.14777433500001</v>
      </c>
      <c r="BO96" s="41">
        <v>807.06553061600005</v>
      </c>
      <c r="BP96" s="41">
        <v>45.01755</v>
      </c>
      <c r="BQ96" s="41">
        <v>-0.48344000000000004</v>
      </c>
      <c r="BR96" s="41">
        <v>0</v>
      </c>
      <c r="BS96" s="41">
        <v>0</v>
      </c>
      <c r="BT96" s="41">
        <v>0</v>
      </c>
      <c r="BU96" s="41">
        <v>0</v>
      </c>
      <c r="BV96" s="41">
        <v>0</v>
      </c>
      <c r="BW96" s="49">
        <v>0</v>
      </c>
      <c r="BX96" s="37" t="s">
        <v>127</v>
      </c>
      <c r="BY96" s="37" t="s">
        <v>127</v>
      </c>
      <c r="BZ96" s="37" t="s">
        <v>364</v>
      </c>
      <c r="CA96" s="41">
        <v>0</v>
      </c>
      <c r="CB96" s="41">
        <v>0</v>
      </c>
      <c r="CC96" s="41">
        <v>5060.49</v>
      </c>
      <c r="CD96" s="41">
        <v>-0.48</v>
      </c>
      <c r="CE96" s="41">
        <v>0</v>
      </c>
      <c r="CF96" s="41">
        <v>0</v>
      </c>
      <c r="CG96" s="45">
        <v>0</v>
      </c>
      <c r="CH96" s="45" t="s">
        <v>137</v>
      </c>
      <c r="CI96" s="37" t="s">
        <v>127</v>
      </c>
      <c r="CJ96" s="77" t="s">
        <v>127</v>
      </c>
      <c r="CK96" s="98">
        <v>0</v>
      </c>
      <c r="CL96" s="98">
        <v>1</v>
      </c>
      <c r="CM96" s="100" t="s">
        <v>655</v>
      </c>
    </row>
    <row r="97" spans="1:91" ht="12.75" customHeight="1" x14ac:dyDescent="0.3">
      <c r="A97" s="37">
        <v>95</v>
      </c>
      <c r="B97" s="37" t="s">
        <v>656</v>
      </c>
      <c r="C97" s="124"/>
      <c r="D97" s="124"/>
      <c r="E97" s="37" t="s">
        <v>246</v>
      </c>
      <c r="F97" s="36" t="s">
        <v>653</v>
      </c>
      <c r="G97" s="81" t="s">
        <v>148</v>
      </c>
      <c r="H97" s="37" t="s">
        <v>131</v>
      </c>
      <c r="I97" s="37" t="s">
        <v>127</v>
      </c>
      <c r="J97" s="37" t="s">
        <v>127</v>
      </c>
      <c r="K97" s="37" t="s">
        <v>609</v>
      </c>
      <c r="L97" s="75" t="s">
        <v>345</v>
      </c>
      <c r="M97" s="37" t="s">
        <v>127</v>
      </c>
      <c r="N97" s="37" t="s">
        <v>127</v>
      </c>
      <c r="O97" s="76">
        <v>45405</v>
      </c>
      <c r="P97" s="37">
        <v>1.2</v>
      </c>
      <c r="Q97" s="37" t="s">
        <v>127</v>
      </c>
      <c r="R97" s="37" t="s">
        <v>127</v>
      </c>
      <c r="S97" s="37" t="s">
        <v>127</v>
      </c>
      <c r="T97" s="37" t="s">
        <v>315</v>
      </c>
      <c r="U97" s="37" t="s">
        <v>230</v>
      </c>
      <c r="V97" s="37" t="b">
        <v>0</v>
      </c>
      <c r="W97" s="77" t="s">
        <v>127</v>
      </c>
      <c r="X97" s="123"/>
      <c r="Y97" s="37" t="s">
        <v>127</v>
      </c>
      <c r="Z97" s="37">
        <v>1.08</v>
      </c>
      <c r="AA97" s="37">
        <v>69</v>
      </c>
      <c r="AB97" s="37" t="s">
        <v>127</v>
      </c>
      <c r="AC97" s="78">
        <v>1.2</v>
      </c>
      <c r="AD97" s="78">
        <v>5984899</v>
      </c>
      <c r="AE97" s="37" t="s">
        <v>657</v>
      </c>
      <c r="AF97" s="37">
        <v>15259</v>
      </c>
      <c r="AG97" s="37" t="s">
        <v>127</v>
      </c>
      <c r="AH97" s="37" t="b">
        <v>1</v>
      </c>
      <c r="AI97" s="76" t="s">
        <v>127</v>
      </c>
      <c r="AJ97" s="77" t="s">
        <v>142</v>
      </c>
      <c r="AK97" s="37" t="s">
        <v>127</v>
      </c>
      <c r="AL97" s="37" t="s">
        <v>127</v>
      </c>
      <c r="AM97" s="37" t="b">
        <v>0</v>
      </c>
      <c r="AN97" s="37" t="s">
        <v>127</v>
      </c>
      <c r="AO97" s="37" t="s">
        <v>127</v>
      </c>
      <c r="AP97" s="37" t="s">
        <v>127</v>
      </c>
      <c r="AQ97" s="37" t="b">
        <v>0</v>
      </c>
      <c r="AR97" s="37" t="s">
        <v>127</v>
      </c>
      <c r="AS97" s="76" t="s">
        <v>137</v>
      </c>
      <c r="AT97" s="37" t="s">
        <v>127</v>
      </c>
      <c r="AU97" s="37" t="s">
        <v>127</v>
      </c>
      <c r="AV97" s="37" t="s">
        <v>137</v>
      </c>
      <c r="AW97" s="37" t="s">
        <v>137</v>
      </c>
      <c r="AX97" s="37" t="s">
        <v>161</v>
      </c>
      <c r="AY97" s="76" t="s">
        <v>127</v>
      </c>
      <c r="AZ97" s="77" t="s">
        <v>127</v>
      </c>
      <c r="BA97" s="37" t="s">
        <v>127</v>
      </c>
      <c r="BB97" s="37" t="s">
        <v>143</v>
      </c>
      <c r="BC97" s="77" t="s">
        <v>127</v>
      </c>
      <c r="BD97" s="76">
        <v>42682</v>
      </c>
      <c r="BE97" s="37" t="s">
        <v>127</v>
      </c>
      <c r="BF97" s="86">
        <v>44547</v>
      </c>
      <c r="BG97" s="39" t="s">
        <v>127</v>
      </c>
      <c r="BH97" s="37" t="s">
        <v>127</v>
      </c>
      <c r="BI97" s="40" t="b">
        <v>1</v>
      </c>
      <c r="BJ97" s="40" t="s">
        <v>137</v>
      </c>
      <c r="BK97" s="37" t="s">
        <v>137</v>
      </c>
      <c r="BL97" s="41">
        <v>5802.8857724299996</v>
      </c>
      <c r="BM97" s="41">
        <v>428.06337103799996</v>
      </c>
      <c r="BN97" s="41">
        <v>353.78242652499995</v>
      </c>
      <c r="BO97" s="41">
        <v>905.0978806170001</v>
      </c>
      <c r="BP97" s="41">
        <v>770.92818</v>
      </c>
      <c r="BQ97" s="41">
        <v>77.915950000000009</v>
      </c>
      <c r="BR97" s="41">
        <v>4.788999999999987E-2</v>
      </c>
      <c r="BS97" s="41">
        <v>0</v>
      </c>
      <c r="BT97" s="41">
        <v>0</v>
      </c>
      <c r="BU97" s="41">
        <v>0</v>
      </c>
      <c r="BV97" s="41">
        <v>0</v>
      </c>
      <c r="BW97" s="49">
        <v>0</v>
      </c>
      <c r="BX97" s="37" t="s">
        <v>127</v>
      </c>
      <c r="BY97" s="37" t="s">
        <v>127</v>
      </c>
      <c r="BZ97" s="37" t="s">
        <v>198</v>
      </c>
      <c r="CA97" s="41">
        <v>0</v>
      </c>
      <c r="CB97" s="41">
        <v>0</v>
      </c>
      <c r="CC97" s="41">
        <v>0</v>
      </c>
      <c r="CD97" s="41">
        <v>5803.7</v>
      </c>
      <c r="CE97" s="41">
        <v>0.05</v>
      </c>
      <c r="CF97" s="41">
        <v>4.788999999999987E-2</v>
      </c>
      <c r="CG97" s="45">
        <v>0</v>
      </c>
      <c r="CH97" s="45" t="s">
        <v>137</v>
      </c>
      <c r="CI97" s="37" t="s">
        <v>127</v>
      </c>
      <c r="CJ97" s="77" t="s">
        <v>127</v>
      </c>
      <c r="CK97" s="98">
        <v>0</v>
      </c>
      <c r="CL97" s="98">
        <v>1</v>
      </c>
      <c r="CM97" s="100" t="s">
        <v>508</v>
      </c>
    </row>
    <row r="98" spans="1:91" ht="12.75" customHeight="1" x14ac:dyDescent="0.3">
      <c r="A98" s="37">
        <v>96</v>
      </c>
      <c r="B98" s="37" t="s">
        <v>658</v>
      </c>
      <c r="C98" s="125"/>
      <c r="D98" s="125"/>
      <c r="E98" s="77" t="s">
        <v>127</v>
      </c>
      <c r="F98" s="36" t="s">
        <v>659</v>
      </c>
      <c r="G98" s="75" t="s">
        <v>529</v>
      </c>
      <c r="H98" s="37" t="s">
        <v>131</v>
      </c>
      <c r="I98" s="37" t="s">
        <v>127</v>
      </c>
      <c r="J98" s="37" t="s">
        <v>127</v>
      </c>
      <c r="K98" s="37" t="s">
        <v>132</v>
      </c>
      <c r="L98" s="75" t="s">
        <v>523</v>
      </c>
      <c r="M98" s="37" t="s">
        <v>346</v>
      </c>
      <c r="N98" s="37" t="s">
        <v>127</v>
      </c>
      <c r="O98" s="76" t="s">
        <v>127</v>
      </c>
      <c r="P98" s="37" t="s">
        <v>135</v>
      </c>
      <c r="Q98" s="37" t="s">
        <v>239</v>
      </c>
      <c r="R98" s="37" t="s">
        <v>271</v>
      </c>
      <c r="S98" s="37" t="s">
        <v>152</v>
      </c>
      <c r="T98" s="37" t="s">
        <v>127</v>
      </c>
      <c r="U98" s="37" t="s">
        <v>136</v>
      </c>
      <c r="V98" s="37" t="b">
        <v>0</v>
      </c>
      <c r="W98" s="77" t="s">
        <v>127</v>
      </c>
      <c r="X98" s="123"/>
      <c r="Y98" s="37" t="s">
        <v>137</v>
      </c>
      <c r="Z98" s="37" t="s">
        <v>137</v>
      </c>
      <c r="AA98" s="37" t="s">
        <v>138</v>
      </c>
      <c r="AB98" s="37" t="s">
        <v>127</v>
      </c>
      <c r="AC98" s="78">
        <v>4.3</v>
      </c>
      <c r="AD98" s="78" t="s">
        <v>139</v>
      </c>
      <c r="AE98" s="37" t="s">
        <v>140</v>
      </c>
      <c r="AF98" s="37">
        <v>16126</v>
      </c>
      <c r="AG98" s="37" t="s">
        <v>141</v>
      </c>
      <c r="AH98" s="37" t="b">
        <v>1</v>
      </c>
      <c r="AI98" s="76">
        <v>45247</v>
      </c>
      <c r="AJ98" s="77" t="s">
        <v>142</v>
      </c>
      <c r="AK98" s="37" t="s">
        <v>127</v>
      </c>
      <c r="AL98" s="37" t="s">
        <v>127</v>
      </c>
      <c r="AM98" s="37" t="b">
        <v>0</v>
      </c>
      <c r="AN98" s="37" t="s">
        <v>127</v>
      </c>
      <c r="AO98" s="37" t="s">
        <v>127</v>
      </c>
      <c r="AP98" s="37" t="s">
        <v>137</v>
      </c>
      <c r="AQ98" s="37" t="b">
        <v>0</v>
      </c>
      <c r="AR98" s="37" t="s">
        <v>127</v>
      </c>
      <c r="AS98" s="76" t="s">
        <v>137</v>
      </c>
      <c r="AT98" s="37" t="s">
        <v>127</v>
      </c>
      <c r="AU98" s="37" t="s">
        <v>127</v>
      </c>
      <c r="AV98" s="37" t="s">
        <v>137</v>
      </c>
      <c r="AW98" s="37" t="s">
        <v>137</v>
      </c>
      <c r="AX98" s="37" t="s">
        <v>127</v>
      </c>
      <c r="AY98" s="76" t="s">
        <v>127</v>
      </c>
      <c r="AZ98" s="77" t="s">
        <v>127</v>
      </c>
      <c r="BA98" s="37" t="s">
        <v>127</v>
      </c>
      <c r="BB98" s="37" t="s">
        <v>154</v>
      </c>
      <c r="BC98" s="77" t="s">
        <v>127</v>
      </c>
      <c r="BD98" s="76" t="s">
        <v>127</v>
      </c>
      <c r="BE98" s="37" t="s">
        <v>127</v>
      </c>
      <c r="BF98" s="80" t="s">
        <v>127</v>
      </c>
      <c r="BG98" s="39" t="s">
        <v>127</v>
      </c>
      <c r="BH98" s="37" t="s">
        <v>127</v>
      </c>
      <c r="BI98" s="40" t="b">
        <v>1</v>
      </c>
      <c r="BJ98" s="40" t="s">
        <v>137</v>
      </c>
      <c r="BK98" s="37" t="s">
        <v>137</v>
      </c>
      <c r="BL98" s="110">
        <f>60538.4234594605-SUM(BL99:BL104)</f>
        <v>43222.322149460495</v>
      </c>
      <c r="BM98" s="110">
        <f>1231.992032812-SUM(BM99:BM104)</f>
        <v>1057.0604828119999</v>
      </c>
      <c r="BN98" s="110">
        <f>2401.61849784-SUM(BN99:BN104)</f>
        <v>1072.1829678400002</v>
      </c>
      <c r="BO98" s="110">
        <f>7476.31041-SUM(BO99:BO104)</f>
        <v>1834.1769700000004</v>
      </c>
      <c r="BP98" s="110">
        <f>7374.10160999999-SUM(BP99:BP104)</f>
        <v>1920.5099399999899</v>
      </c>
      <c r="BQ98" s="110">
        <f>8060.13736-SUM(BQ99:BQ104)</f>
        <v>3583.5142900000001</v>
      </c>
      <c r="BR98" s="110">
        <f>8005.27636221595-SUM(BR99:BR104)</f>
        <v>7765.89031221595</v>
      </c>
      <c r="BS98" s="110">
        <f>6782.45625633492-SUM(BS99:BS104)</f>
        <v>6782.45625633492</v>
      </c>
      <c r="BT98" s="110">
        <f>8131.8942932014-SUM(BT99:BT104)</f>
        <v>8131.8942932013997</v>
      </c>
      <c r="BU98" s="110">
        <f>8663.52478463814-SUM(BU99:BU104)</f>
        <v>8663.5247846381408</v>
      </c>
      <c r="BV98" s="110">
        <f>0-SUM(BV99:BV104)</f>
        <v>0</v>
      </c>
      <c r="BW98" s="111">
        <f>1325.30792-SUM(BW99:BW104)</f>
        <v>1325.30792</v>
      </c>
      <c r="BX98" s="37" t="s">
        <v>127</v>
      </c>
      <c r="BY98" s="37" t="s">
        <v>127</v>
      </c>
      <c r="BZ98" s="37" t="s">
        <v>660</v>
      </c>
      <c r="CA98" s="41">
        <v>1151.8900000000001</v>
      </c>
      <c r="CB98" s="41">
        <v>0</v>
      </c>
      <c r="CC98" s="41">
        <v>4080.38</v>
      </c>
      <c r="CD98" s="41">
        <v>2592.4299999999998</v>
      </c>
      <c r="CE98" s="41">
        <v>329.92</v>
      </c>
      <c r="CF98" s="110">
        <f>5729.97-SUM(CF99:CF104)</f>
        <v>2833.8144300000004</v>
      </c>
      <c r="CG98" s="45">
        <v>0</v>
      </c>
      <c r="CH98" s="45" t="s">
        <v>137</v>
      </c>
      <c r="CI98" s="37" t="s">
        <v>127</v>
      </c>
      <c r="CJ98" s="77" t="s">
        <v>127</v>
      </c>
      <c r="CK98" s="98">
        <v>0.18140000000000001</v>
      </c>
      <c r="CL98" s="98">
        <v>0.81859999999999999</v>
      </c>
      <c r="CM98" s="100" t="s">
        <v>661</v>
      </c>
    </row>
    <row r="99" spans="1:91" ht="12.75" customHeight="1" x14ac:dyDescent="0.3">
      <c r="A99" s="37">
        <v>97</v>
      </c>
      <c r="B99" s="37" t="s">
        <v>662</v>
      </c>
      <c r="C99" s="124"/>
      <c r="D99" s="124"/>
      <c r="E99" s="37" t="s">
        <v>258</v>
      </c>
      <c r="F99" s="36" t="s">
        <v>663</v>
      </c>
      <c r="G99" s="81" t="s">
        <v>529</v>
      </c>
      <c r="H99" s="38" t="s">
        <v>131</v>
      </c>
      <c r="I99" s="38" t="s">
        <v>127</v>
      </c>
      <c r="J99" s="38" t="s">
        <v>127</v>
      </c>
      <c r="K99" s="38" t="s">
        <v>522</v>
      </c>
      <c r="L99" s="81" t="s">
        <v>523</v>
      </c>
      <c r="M99" s="38" t="s">
        <v>127</v>
      </c>
      <c r="N99" s="38" t="s">
        <v>127</v>
      </c>
      <c r="O99" s="76">
        <v>45383</v>
      </c>
      <c r="P99" s="37" t="s">
        <v>127</v>
      </c>
      <c r="Q99" s="37" t="s">
        <v>127</v>
      </c>
      <c r="R99" s="37" t="s">
        <v>127</v>
      </c>
      <c r="S99" s="37" t="s">
        <v>127</v>
      </c>
      <c r="T99" s="37" t="s">
        <v>127</v>
      </c>
      <c r="U99" s="37" t="s">
        <v>136</v>
      </c>
      <c r="V99" s="37" t="b">
        <v>0</v>
      </c>
      <c r="W99" s="37" t="s">
        <v>127</v>
      </c>
      <c r="X99" s="123"/>
      <c r="Y99" s="37" t="s">
        <v>127</v>
      </c>
      <c r="Z99" s="37">
        <v>1.64</v>
      </c>
      <c r="AA99" s="37" t="s">
        <v>127</v>
      </c>
      <c r="AB99" s="37" t="s">
        <v>127</v>
      </c>
      <c r="AC99" s="78">
        <v>4.3</v>
      </c>
      <c r="AD99" s="78">
        <v>5244048</v>
      </c>
      <c r="AE99" s="37" t="s">
        <v>664</v>
      </c>
      <c r="AF99" s="37">
        <v>16126</v>
      </c>
      <c r="AG99" s="37" t="s">
        <v>127</v>
      </c>
      <c r="AH99" s="37" t="b">
        <v>1</v>
      </c>
      <c r="AI99" s="76" t="s">
        <v>127</v>
      </c>
      <c r="AJ99" s="77" t="s">
        <v>142</v>
      </c>
      <c r="AK99" s="37" t="s">
        <v>127</v>
      </c>
      <c r="AL99" s="37" t="s">
        <v>127</v>
      </c>
      <c r="AM99" s="37" t="b">
        <v>0</v>
      </c>
      <c r="AN99" s="37" t="s">
        <v>127</v>
      </c>
      <c r="AO99" s="37" t="s">
        <v>127</v>
      </c>
      <c r="AP99" s="37" t="s">
        <v>137</v>
      </c>
      <c r="AQ99" s="37" t="b">
        <v>0</v>
      </c>
      <c r="AR99" s="37" t="s">
        <v>127</v>
      </c>
      <c r="AS99" s="76" t="s">
        <v>127</v>
      </c>
      <c r="AT99" s="37" t="s">
        <v>127</v>
      </c>
      <c r="AU99" s="37" t="s">
        <v>127</v>
      </c>
      <c r="AV99" s="37" t="s">
        <v>127</v>
      </c>
      <c r="AW99" s="37" t="s">
        <v>127</v>
      </c>
      <c r="AX99" s="37" t="s">
        <v>161</v>
      </c>
      <c r="AY99" s="37" t="s">
        <v>127</v>
      </c>
      <c r="AZ99" s="37" t="s">
        <v>127</v>
      </c>
      <c r="BA99" s="37" t="s">
        <v>127</v>
      </c>
      <c r="BB99" s="37" t="s">
        <v>143</v>
      </c>
      <c r="BC99" s="77" t="s">
        <v>127</v>
      </c>
      <c r="BD99" s="76" t="s">
        <v>434</v>
      </c>
      <c r="BE99" s="37" t="s">
        <v>127</v>
      </c>
      <c r="BF99" s="86" t="s">
        <v>665</v>
      </c>
      <c r="BG99" s="39" t="s">
        <v>127</v>
      </c>
      <c r="BH99" s="39" t="s">
        <v>127</v>
      </c>
      <c r="BI99" s="40" t="b">
        <v>1</v>
      </c>
      <c r="BJ99" s="40" t="s">
        <v>137</v>
      </c>
      <c r="BK99" s="37" t="s">
        <v>137</v>
      </c>
      <c r="BL99" s="41">
        <v>9124.9231400000008</v>
      </c>
      <c r="BM99" s="41">
        <v>0</v>
      </c>
      <c r="BN99" s="41">
        <v>0</v>
      </c>
      <c r="BO99" s="41">
        <v>5152.3225199999997</v>
      </c>
      <c r="BP99" s="41">
        <v>3045.8477799999996</v>
      </c>
      <c r="BQ99" s="41">
        <v>938.35378000000014</v>
      </c>
      <c r="BR99" s="41">
        <v>-11.600939999999998</v>
      </c>
      <c r="BS99" s="41">
        <v>0</v>
      </c>
      <c r="BT99" s="41">
        <v>0</v>
      </c>
      <c r="BU99" s="41">
        <v>0</v>
      </c>
      <c r="BV99" s="41">
        <v>0</v>
      </c>
      <c r="BW99" s="49">
        <v>0</v>
      </c>
      <c r="BX99" s="37" t="s">
        <v>127</v>
      </c>
      <c r="BY99" s="37" t="s">
        <v>127</v>
      </c>
      <c r="BZ99" s="37" t="s">
        <v>198</v>
      </c>
      <c r="CA99" s="41">
        <v>0</v>
      </c>
      <c r="CB99" s="41">
        <v>0</v>
      </c>
      <c r="CC99" s="41">
        <v>0</v>
      </c>
      <c r="CD99" s="41">
        <v>9136.52</v>
      </c>
      <c r="CE99" s="41">
        <v>-11.600940000000001</v>
      </c>
      <c r="CF99" s="41">
        <v>-11.600939999999998</v>
      </c>
      <c r="CG99" s="45">
        <v>0</v>
      </c>
      <c r="CH99" s="45" t="s">
        <v>137</v>
      </c>
      <c r="CI99" s="37" t="s">
        <v>127</v>
      </c>
      <c r="CJ99" s="77" t="s">
        <v>127</v>
      </c>
      <c r="CK99" s="98">
        <v>0.18140000000000001</v>
      </c>
      <c r="CL99" s="98">
        <v>0.81859999999999999</v>
      </c>
      <c r="CM99" s="99" t="s">
        <v>666</v>
      </c>
    </row>
    <row r="100" spans="1:91" ht="12.75" customHeight="1" x14ac:dyDescent="0.3">
      <c r="A100" s="37">
        <v>98</v>
      </c>
      <c r="B100" s="37" t="s">
        <v>667</v>
      </c>
      <c r="C100" s="124"/>
      <c r="D100" s="124"/>
      <c r="E100" s="37" t="s">
        <v>258</v>
      </c>
      <c r="F100" s="35" t="s">
        <v>668</v>
      </c>
      <c r="G100" s="81" t="s">
        <v>290</v>
      </c>
      <c r="H100" s="77" t="s">
        <v>131</v>
      </c>
      <c r="I100" s="38" t="s">
        <v>130</v>
      </c>
      <c r="J100" s="38" t="s">
        <v>127</v>
      </c>
      <c r="K100" s="38" t="s">
        <v>522</v>
      </c>
      <c r="L100" s="81" t="s">
        <v>523</v>
      </c>
      <c r="M100" s="38" t="s">
        <v>127</v>
      </c>
      <c r="N100" s="38" t="s">
        <v>127</v>
      </c>
      <c r="O100" s="76">
        <v>45422</v>
      </c>
      <c r="P100" s="37" t="s">
        <v>127</v>
      </c>
      <c r="Q100" s="37" t="s">
        <v>150</v>
      </c>
      <c r="R100" s="37" t="s">
        <v>127</v>
      </c>
      <c r="S100" s="37" t="s">
        <v>127</v>
      </c>
      <c r="T100" s="37" t="s">
        <v>127</v>
      </c>
      <c r="U100" s="37" t="s">
        <v>136</v>
      </c>
      <c r="V100" s="37" t="b">
        <v>0</v>
      </c>
      <c r="W100" s="37" t="s">
        <v>127</v>
      </c>
      <c r="X100" s="123"/>
      <c r="Y100" s="37" t="s">
        <v>127</v>
      </c>
      <c r="Z100" s="37">
        <v>0.8</v>
      </c>
      <c r="AA100" s="37">
        <v>69</v>
      </c>
      <c r="AB100" s="37" t="s">
        <v>127</v>
      </c>
      <c r="AC100" s="78">
        <v>4.3</v>
      </c>
      <c r="AD100" s="78">
        <v>5369760</v>
      </c>
      <c r="AE100" s="37" t="s">
        <v>669</v>
      </c>
      <c r="AF100" s="37">
        <v>16126</v>
      </c>
      <c r="AG100" s="37" t="s">
        <v>127</v>
      </c>
      <c r="AH100" s="37" t="b">
        <v>1</v>
      </c>
      <c r="AI100" s="76" t="s">
        <v>127</v>
      </c>
      <c r="AJ100" s="77" t="s">
        <v>142</v>
      </c>
      <c r="AK100" s="37" t="s">
        <v>127</v>
      </c>
      <c r="AL100" s="37" t="s">
        <v>127</v>
      </c>
      <c r="AM100" s="37" t="b">
        <v>0</v>
      </c>
      <c r="AN100" s="37" t="s">
        <v>127</v>
      </c>
      <c r="AO100" s="37" t="s">
        <v>127</v>
      </c>
      <c r="AP100" s="37" t="s">
        <v>137</v>
      </c>
      <c r="AQ100" s="37" t="b">
        <v>0</v>
      </c>
      <c r="AR100" s="37" t="s">
        <v>127</v>
      </c>
      <c r="AS100" s="37" t="s">
        <v>127</v>
      </c>
      <c r="AT100" s="37" t="s">
        <v>127</v>
      </c>
      <c r="AU100" s="37" t="s">
        <v>127</v>
      </c>
      <c r="AV100" s="37" t="s">
        <v>127</v>
      </c>
      <c r="AW100" s="37" t="s">
        <v>127</v>
      </c>
      <c r="AX100" s="37" t="s">
        <v>161</v>
      </c>
      <c r="AY100" s="37" t="s">
        <v>127</v>
      </c>
      <c r="AZ100" s="37" t="s">
        <v>127</v>
      </c>
      <c r="BA100" s="37" t="s">
        <v>127</v>
      </c>
      <c r="BB100" s="37" t="s">
        <v>143</v>
      </c>
      <c r="BC100" s="77" t="s">
        <v>127</v>
      </c>
      <c r="BD100" s="76" t="s">
        <v>670</v>
      </c>
      <c r="BE100" s="37" t="s">
        <v>127</v>
      </c>
      <c r="BF100" s="86" t="s">
        <v>671</v>
      </c>
      <c r="BG100" s="39" t="s">
        <v>127</v>
      </c>
      <c r="BH100" s="39" t="s">
        <v>127</v>
      </c>
      <c r="BI100" s="40" t="b">
        <v>0</v>
      </c>
      <c r="BJ100" s="40" t="s">
        <v>137</v>
      </c>
      <c r="BK100" s="37" t="s">
        <v>137</v>
      </c>
      <c r="BL100" s="41">
        <v>1815.3881400000005</v>
      </c>
      <c r="BM100" s="41">
        <v>0</v>
      </c>
      <c r="BN100" s="41">
        <v>0</v>
      </c>
      <c r="BO100" s="41">
        <v>12.112719999999999</v>
      </c>
      <c r="BP100" s="41">
        <v>677.18741</v>
      </c>
      <c r="BQ100" s="41">
        <v>1126.0880100000002</v>
      </c>
      <c r="BR100" s="41">
        <v>0</v>
      </c>
      <c r="BS100" s="41">
        <v>0</v>
      </c>
      <c r="BT100" s="41">
        <v>0</v>
      </c>
      <c r="BU100" s="41">
        <v>0</v>
      </c>
      <c r="BV100" s="41">
        <v>0</v>
      </c>
      <c r="BW100" s="49">
        <v>0</v>
      </c>
      <c r="BX100" s="37" t="s">
        <v>127</v>
      </c>
      <c r="BY100" s="37" t="s">
        <v>127</v>
      </c>
      <c r="BZ100" s="37" t="s">
        <v>672</v>
      </c>
      <c r="CA100" s="41">
        <v>0</v>
      </c>
      <c r="CB100" s="41">
        <v>0</v>
      </c>
      <c r="CC100" s="41">
        <v>0</v>
      </c>
      <c r="CD100" s="41">
        <v>1812.18</v>
      </c>
      <c r="CE100" s="41">
        <v>0</v>
      </c>
      <c r="CF100" s="41">
        <v>0</v>
      </c>
      <c r="CG100" s="45">
        <v>0</v>
      </c>
      <c r="CH100" s="45">
        <v>0</v>
      </c>
      <c r="CI100" s="37" t="s">
        <v>127</v>
      </c>
      <c r="CJ100" s="77" t="s">
        <v>127</v>
      </c>
      <c r="CK100" s="98">
        <v>0.18140000000000001</v>
      </c>
      <c r="CL100" s="98">
        <v>0.81859999999999999</v>
      </c>
      <c r="CM100" s="100" t="s">
        <v>673</v>
      </c>
    </row>
    <row r="101" spans="1:91" ht="12.75" customHeight="1" x14ac:dyDescent="0.3">
      <c r="A101" s="37">
        <v>99</v>
      </c>
      <c r="B101" s="37" t="s">
        <v>674</v>
      </c>
      <c r="C101" s="124"/>
      <c r="D101" s="124"/>
      <c r="E101" s="37" t="s">
        <v>258</v>
      </c>
      <c r="F101" s="36" t="s">
        <v>675</v>
      </c>
      <c r="G101" s="81" t="s">
        <v>529</v>
      </c>
      <c r="H101" s="37" t="s">
        <v>131</v>
      </c>
      <c r="I101" s="37" t="s">
        <v>227</v>
      </c>
      <c r="J101" s="37" t="s">
        <v>127</v>
      </c>
      <c r="K101" s="37" t="s">
        <v>522</v>
      </c>
      <c r="L101" s="75" t="s">
        <v>523</v>
      </c>
      <c r="M101" s="79" t="s">
        <v>127</v>
      </c>
      <c r="N101" s="37" t="s">
        <v>127</v>
      </c>
      <c r="O101" s="76">
        <v>45414</v>
      </c>
      <c r="P101" s="37" t="s">
        <v>127</v>
      </c>
      <c r="Q101" s="37" t="s">
        <v>127</v>
      </c>
      <c r="R101" s="37" t="s">
        <v>127</v>
      </c>
      <c r="S101" s="37" t="s">
        <v>127</v>
      </c>
      <c r="T101" s="37" t="s">
        <v>127</v>
      </c>
      <c r="U101" s="37" t="s">
        <v>136</v>
      </c>
      <c r="V101" s="37" t="b">
        <v>0</v>
      </c>
      <c r="W101" s="37" t="s">
        <v>127</v>
      </c>
      <c r="X101" s="123"/>
      <c r="Y101" s="37" t="s">
        <v>127</v>
      </c>
      <c r="Z101" s="37">
        <v>0.7</v>
      </c>
      <c r="AA101" s="37" t="s">
        <v>339</v>
      </c>
      <c r="AB101" s="37" t="s">
        <v>306</v>
      </c>
      <c r="AC101" s="78">
        <v>4.3</v>
      </c>
      <c r="AD101" s="78">
        <v>5595936</v>
      </c>
      <c r="AE101" s="37" t="s">
        <v>676</v>
      </c>
      <c r="AF101" s="37">
        <v>16126</v>
      </c>
      <c r="AG101" s="37" t="s">
        <v>127</v>
      </c>
      <c r="AH101" s="37" t="b">
        <v>1</v>
      </c>
      <c r="AI101" s="76" t="s">
        <v>127</v>
      </c>
      <c r="AJ101" s="77" t="s">
        <v>142</v>
      </c>
      <c r="AK101" s="37" t="s">
        <v>127</v>
      </c>
      <c r="AL101" s="37" t="s">
        <v>127</v>
      </c>
      <c r="AM101" s="37" t="b">
        <v>0</v>
      </c>
      <c r="AN101" s="37" t="s">
        <v>127</v>
      </c>
      <c r="AO101" s="37" t="s">
        <v>127</v>
      </c>
      <c r="AP101" s="37" t="s">
        <v>137</v>
      </c>
      <c r="AQ101" s="37" t="b">
        <v>0</v>
      </c>
      <c r="AR101" s="37" t="s">
        <v>127</v>
      </c>
      <c r="AS101" s="76" t="s">
        <v>127</v>
      </c>
      <c r="AT101" s="37" t="s">
        <v>127</v>
      </c>
      <c r="AU101" s="37" t="s">
        <v>127</v>
      </c>
      <c r="AV101" s="37" t="s">
        <v>127</v>
      </c>
      <c r="AW101" s="37" t="s">
        <v>127</v>
      </c>
      <c r="AX101" s="37" t="s">
        <v>161</v>
      </c>
      <c r="AY101" s="37" t="s">
        <v>127</v>
      </c>
      <c r="AZ101" s="37" t="s">
        <v>127</v>
      </c>
      <c r="BA101" s="37" t="s">
        <v>127</v>
      </c>
      <c r="BB101" s="37" t="s">
        <v>143</v>
      </c>
      <c r="BC101" s="77" t="s">
        <v>127</v>
      </c>
      <c r="BD101" s="76" t="s">
        <v>670</v>
      </c>
      <c r="BE101" s="37" t="s">
        <v>127</v>
      </c>
      <c r="BF101" s="86" t="s">
        <v>677</v>
      </c>
      <c r="BG101" s="39" t="s">
        <v>127</v>
      </c>
      <c r="BH101" s="37" t="s">
        <v>127</v>
      </c>
      <c r="BI101" s="40" t="b">
        <v>1</v>
      </c>
      <c r="BJ101" s="40" t="s">
        <v>137</v>
      </c>
      <c r="BK101" s="37" t="s">
        <v>137</v>
      </c>
      <c r="BL101" s="41">
        <v>1373.7867299999998</v>
      </c>
      <c r="BM101" s="41">
        <v>0</v>
      </c>
      <c r="BN101" s="41">
        <v>0</v>
      </c>
      <c r="BO101" s="41">
        <v>0</v>
      </c>
      <c r="BP101" s="41">
        <v>65.425700000000006</v>
      </c>
      <c r="BQ101" s="41">
        <v>1277.4362699999997</v>
      </c>
      <c r="BR101" s="41">
        <v>30.924760000000003</v>
      </c>
      <c r="BS101" s="41">
        <v>0</v>
      </c>
      <c r="BT101" s="41">
        <v>0</v>
      </c>
      <c r="BU101" s="41">
        <v>0</v>
      </c>
      <c r="BV101" s="41">
        <v>0</v>
      </c>
      <c r="BW101" s="49">
        <v>0</v>
      </c>
      <c r="BX101" s="37" t="s">
        <v>127</v>
      </c>
      <c r="BY101" s="37" t="s">
        <v>127</v>
      </c>
      <c r="BZ101" s="37" t="s">
        <v>173</v>
      </c>
      <c r="CA101" s="41">
        <v>0</v>
      </c>
      <c r="CB101" s="41">
        <v>0</v>
      </c>
      <c r="CC101" s="41">
        <v>0</v>
      </c>
      <c r="CD101" s="41">
        <v>0</v>
      </c>
      <c r="CE101" s="41">
        <v>1350.38</v>
      </c>
      <c r="CF101" s="41">
        <v>1350.38804</v>
      </c>
      <c r="CG101" s="45">
        <v>1</v>
      </c>
      <c r="CH101" s="45">
        <v>1</v>
      </c>
      <c r="CI101" s="37" t="s">
        <v>127</v>
      </c>
      <c r="CJ101" s="77" t="s">
        <v>127</v>
      </c>
      <c r="CK101" s="98">
        <v>0.18140000000000001</v>
      </c>
      <c r="CL101" s="98">
        <v>0.81859999999999999</v>
      </c>
      <c r="CM101" s="100" t="s">
        <v>678</v>
      </c>
    </row>
    <row r="102" spans="1:91" ht="12.75" customHeight="1" x14ac:dyDescent="0.3">
      <c r="A102" s="37">
        <v>100</v>
      </c>
      <c r="B102" s="37" t="s">
        <v>679</v>
      </c>
      <c r="C102" s="124"/>
      <c r="D102" s="124"/>
      <c r="E102" s="37" t="s">
        <v>258</v>
      </c>
      <c r="F102" s="36" t="s">
        <v>680</v>
      </c>
      <c r="G102" s="81" t="s">
        <v>529</v>
      </c>
      <c r="H102" s="38" t="s">
        <v>130</v>
      </c>
      <c r="I102" s="38" t="s">
        <v>130</v>
      </c>
      <c r="J102" s="38" t="s">
        <v>127</v>
      </c>
      <c r="K102" s="38" t="s">
        <v>522</v>
      </c>
      <c r="L102" s="81" t="s">
        <v>523</v>
      </c>
      <c r="M102" s="38" t="s">
        <v>127</v>
      </c>
      <c r="N102" s="38" t="s">
        <v>127</v>
      </c>
      <c r="O102" s="76">
        <v>45413</v>
      </c>
      <c r="P102" s="37" t="s">
        <v>127</v>
      </c>
      <c r="Q102" s="37" t="s">
        <v>127</v>
      </c>
      <c r="R102" s="37" t="s">
        <v>127</v>
      </c>
      <c r="S102" s="37" t="s">
        <v>127</v>
      </c>
      <c r="T102" s="37" t="s">
        <v>127</v>
      </c>
      <c r="U102" s="37" t="s">
        <v>136</v>
      </c>
      <c r="V102" s="37" t="b">
        <v>0</v>
      </c>
      <c r="W102" s="37" t="s">
        <v>127</v>
      </c>
      <c r="X102" s="123"/>
      <c r="Y102" s="37" t="s">
        <v>127</v>
      </c>
      <c r="Z102" s="37">
        <v>0.35</v>
      </c>
      <c r="AA102" s="37" t="s">
        <v>127</v>
      </c>
      <c r="AB102" s="37" t="s">
        <v>127</v>
      </c>
      <c r="AC102" s="78">
        <v>4.3</v>
      </c>
      <c r="AD102" s="78">
        <v>5772246</v>
      </c>
      <c r="AE102" s="37" t="s">
        <v>681</v>
      </c>
      <c r="AF102" s="37">
        <v>16126</v>
      </c>
      <c r="AG102" s="37" t="s">
        <v>127</v>
      </c>
      <c r="AH102" s="37" t="b">
        <v>1</v>
      </c>
      <c r="AI102" s="76" t="s">
        <v>127</v>
      </c>
      <c r="AJ102" s="77" t="s">
        <v>142</v>
      </c>
      <c r="AK102" s="37" t="s">
        <v>127</v>
      </c>
      <c r="AL102" s="37" t="s">
        <v>127</v>
      </c>
      <c r="AM102" s="37" t="b">
        <v>0</v>
      </c>
      <c r="AN102" s="37" t="s">
        <v>127</v>
      </c>
      <c r="AO102" s="37" t="s">
        <v>127</v>
      </c>
      <c r="AP102" s="37" t="s">
        <v>137</v>
      </c>
      <c r="AQ102" s="37" t="b">
        <v>0</v>
      </c>
      <c r="AR102" s="37" t="s">
        <v>127</v>
      </c>
      <c r="AS102" s="76" t="s">
        <v>127</v>
      </c>
      <c r="AT102" s="37" t="s">
        <v>127</v>
      </c>
      <c r="AU102" s="37" t="s">
        <v>127</v>
      </c>
      <c r="AV102" s="37" t="s">
        <v>127</v>
      </c>
      <c r="AW102" s="37" t="s">
        <v>127</v>
      </c>
      <c r="AX102" s="37" t="s">
        <v>161</v>
      </c>
      <c r="AY102" s="37" t="s">
        <v>127</v>
      </c>
      <c r="AZ102" s="37" t="s">
        <v>127</v>
      </c>
      <c r="BA102" s="37" t="s">
        <v>127</v>
      </c>
      <c r="BB102" s="37" t="s">
        <v>143</v>
      </c>
      <c r="BC102" s="77" t="s">
        <v>127</v>
      </c>
      <c r="BD102" s="76" t="s">
        <v>682</v>
      </c>
      <c r="BE102" s="76">
        <v>44712</v>
      </c>
      <c r="BF102" s="86" t="s">
        <v>683</v>
      </c>
      <c r="BG102" s="39" t="s">
        <v>127</v>
      </c>
      <c r="BH102" s="39" t="s">
        <v>127</v>
      </c>
      <c r="BI102" s="40" t="b">
        <v>1</v>
      </c>
      <c r="BJ102" s="40" t="s">
        <v>137</v>
      </c>
      <c r="BK102" s="37" t="s">
        <v>137</v>
      </c>
      <c r="BL102" s="41">
        <v>1508.5962799999998</v>
      </c>
      <c r="BM102" s="41">
        <v>0</v>
      </c>
      <c r="BN102" s="41">
        <v>0</v>
      </c>
      <c r="BO102" s="41">
        <v>134.78760000000003</v>
      </c>
      <c r="BP102" s="41">
        <v>1303.5158199999998</v>
      </c>
      <c r="BQ102" s="41">
        <v>70.081850000000003</v>
      </c>
      <c r="BR102" s="41">
        <v>0.21101</v>
      </c>
      <c r="BS102" s="41">
        <v>0</v>
      </c>
      <c r="BT102" s="41">
        <v>0</v>
      </c>
      <c r="BU102" s="41">
        <v>0</v>
      </c>
      <c r="BV102" s="41">
        <v>0</v>
      </c>
      <c r="BW102" s="49">
        <v>0</v>
      </c>
      <c r="BX102" s="37" t="s">
        <v>127</v>
      </c>
      <c r="BY102" s="37" t="s">
        <v>127</v>
      </c>
      <c r="BZ102" s="37" t="s">
        <v>198</v>
      </c>
      <c r="CA102" s="41">
        <v>0</v>
      </c>
      <c r="CB102" s="41">
        <v>0</v>
      </c>
      <c r="CC102" s="41">
        <v>0</v>
      </c>
      <c r="CD102" s="41">
        <v>1433.43</v>
      </c>
      <c r="CE102" s="41">
        <v>0.21</v>
      </c>
      <c r="CF102" s="41">
        <v>0.21101</v>
      </c>
      <c r="CG102" s="45">
        <v>0</v>
      </c>
      <c r="CH102" s="45" t="s">
        <v>137</v>
      </c>
      <c r="CI102" s="37" t="s">
        <v>127</v>
      </c>
      <c r="CJ102" s="77" t="s">
        <v>127</v>
      </c>
      <c r="CK102" s="98">
        <v>0.18140000000000001</v>
      </c>
      <c r="CL102" s="98">
        <v>0.81859999999999999</v>
      </c>
      <c r="CM102" s="100" t="s">
        <v>678</v>
      </c>
    </row>
    <row r="103" spans="1:91" ht="12.75" customHeight="1" x14ac:dyDescent="0.3">
      <c r="A103" s="37">
        <v>101</v>
      </c>
      <c r="B103" s="37" t="s">
        <v>684</v>
      </c>
      <c r="C103" s="124"/>
      <c r="D103" s="124"/>
      <c r="E103" s="37" t="s">
        <v>685</v>
      </c>
      <c r="F103" s="36" t="s">
        <v>686</v>
      </c>
      <c r="G103" s="81" t="s">
        <v>529</v>
      </c>
      <c r="H103" s="38" t="s">
        <v>130</v>
      </c>
      <c r="I103" s="38" t="s">
        <v>131</v>
      </c>
      <c r="J103" s="38" t="s">
        <v>127</v>
      </c>
      <c r="K103" s="38" t="s">
        <v>522</v>
      </c>
      <c r="L103" s="81" t="s">
        <v>523</v>
      </c>
      <c r="M103" s="38" t="s">
        <v>127</v>
      </c>
      <c r="N103" s="38" t="s">
        <v>127</v>
      </c>
      <c r="O103" s="76">
        <v>45397</v>
      </c>
      <c r="P103" s="37" t="s">
        <v>127</v>
      </c>
      <c r="Q103" s="37" t="s">
        <v>150</v>
      </c>
      <c r="R103" s="37" t="s">
        <v>127</v>
      </c>
      <c r="S103" s="37" t="s">
        <v>127</v>
      </c>
      <c r="T103" s="37" t="s">
        <v>127</v>
      </c>
      <c r="U103" s="37" t="s">
        <v>136</v>
      </c>
      <c r="V103" s="37" t="b">
        <v>0</v>
      </c>
      <c r="W103" s="37" t="s">
        <v>127</v>
      </c>
      <c r="X103" s="123"/>
      <c r="Y103" s="37" t="s">
        <v>127</v>
      </c>
      <c r="Z103" s="37">
        <v>1.59</v>
      </c>
      <c r="AA103" s="37">
        <v>69</v>
      </c>
      <c r="AB103" s="37">
        <v>69</v>
      </c>
      <c r="AC103" s="78">
        <v>4.3</v>
      </c>
      <c r="AD103" s="78">
        <v>5911905</v>
      </c>
      <c r="AE103" s="37" t="s">
        <v>687</v>
      </c>
      <c r="AF103" s="37">
        <v>16126</v>
      </c>
      <c r="AG103" s="37" t="s">
        <v>127</v>
      </c>
      <c r="AH103" s="37" t="b">
        <v>1</v>
      </c>
      <c r="AI103" s="76" t="s">
        <v>127</v>
      </c>
      <c r="AJ103" s="77" t="s">
        <v>142</v>
      </c>
      <c r="AK103" s="37" t="s">
        <v>127</v>
      </c>
      <c r="AL103" s="37" t="s">
        <v>127</v>
      </c>
      <c r="AM103" s="37" t="b">
        <v>0</v>
      </c>
      <c r="AN103" s="37" t="s">
        <v>127</v>
      </c>
      <c r="AO103" s="37" t="s">
        <v>127</v>
      </c>
      <c r="AP103" s="37" t="s">
        <v>137</v>
      </c>
      <c r="AQ103" s="37" t="b">
        <v>0</v>
      </c>
      <c r="AR103" s="37" t="s">
        <v>127</v>
      </c>
      <c r="AS103" s="76" t="s">
        <v>127</v>
      </c>
      <c r="AT103" s="37" t="s">
        <v>127</v>
      </c>
      <c r="AU103" s="37" t="s">
        <v>127</v>
      </c>
      <c r="AV103" s="37" t="s">
        <v>127</v>
      </c>
      <c r="AW103" s="37" t="s">
        <v>127</v>
      </c>
      <c r="AX103" s="37" t="s">
        <v>161</v>
      </c>
      <c r="AY103" s="37" t="s">
        <v>127</v>
      </c>
      <c r="AZ103" s="37" t="s">
        <v>127</v>
      </c>
      <c r="BA103" s="37" t="s">
        <v>127</v>
      </c>
      <c r="BB103" s="37" t="s">
        <v>143</v>
      </c>
      <c r="BC103" s="77" t="s">
        <v>127</v>
      </c>
      <c r="BD103" s="76" t="s">
        <v>688</v>
      </c>
      <c r="BE103" s="76">
        <v>45357</v>
      </c>
      <c r="BF103" s="86" t="s">
        <v>689</v>
      </c>
      <c r="BG103" s="39" t="s">
        <v>127</v>
      </c>
      <c r="BH103" s="39" t="s">
        <v>127</v>
      </c>
      <c r="BI103" s="40" t="b">
        <v>1</v>
      </c>
      <c r="BJ103" s="40" t="s">
        <v>137</v>
      </c>
      <c r="BK103" s="37" t="s">
        <v>137</v>
      </c>
      <c r="BL103" s="41">
        <v>1626.5662299999997</v>
      </c>
      <c r="BM103" s="41">
        <v>0</v>
      </c>
      <c r="BN103" s="41">
        <v>0</v>
      </c>
      <c r="BO103" s="41">
        <v>73.80374999999998</v>
      </c>
      <c r="BP103" s="41">
        <v>293.51118000000002</v>
      </c>
      <c r="BQ103" s="41">
        <v>1039.4000799999999</v>
      </c>
      <c r="BR103" s="41">
        <v>219.85121999999998</v>
      </c>
      <c r="BS103" s="41">
        <v>0</v>
      </c>
      <c r="BT103" s="41">
        <v>0</v>
      </c>
      <c r="BU103" s="41">
        <v>0</v>
      </c>
      <c r="BV103" s="41">
        <v>0</v>
      </c>
      <c r="BW103" s="49">
        <v>0</v>
      </c>
      <c r="BX103" s="37" t="s">
        <v>127</v>
      </c>
      <c r="BY103" s="37" t="s">
        <v>127</v>
      </c>
      <c r="BZ103" s="37" t="s">
        <v>173</v>
      </c>
      <c r="CA103" s="41">
        <v>0</v>
      </c>
      <c r="CB103" s="41">
        <v>0</v>
      </c>
      <c r="CC103" s="41">
        <v>0</v>
      </c>
      <c r="CD103" s="41">
        <v>0</v>
      </c>
      <c r="CE103" s="41">
        <v>1561.08887</v>
      </c>
      <c r="CF103" s="41">
        <v>1557.1574599999999</v>
      </c>
      <c r="CG103" s="45">
        <v>0</v>
      </c>
      <c r="CH103" s="45" t="s">
        <v>137</v>
      </c>
      <c r="CI103" s="37" t="s">
        <v>127</v>
      </c>
      <c r="CJ103" s="77" t="s">
        <v>127</v>
      </c>
      <c r="CK103" s="98">
        <v>0.18140000000000001</v>
      </c>
      <c r="CL103" s="98">
        <v>0.81859999999999999</v>
      </c>
      <c r="CM103" s="100" t="s">
        <v>678</v>
      </c>
    </row>
    <row r="104" spans="1:91" ht="12.75" customHeight="1" x14ac:dyDescent="0.3">
      <c r="A104" s="37">
        <v>102</v>
      </c>
      <c r="B104" s="37" t="s">
        <v>690</v>
      </c>
      <c r="C104" s="125"/>
      <c r="D104" s="125"/>
      <c r="E104" s="37" t="s">
        <v>246</v>
      </c>
      <c r="F104" s="36" t="s">
        <v>691</v>
      </c>
      <c r="G104" s="81" t="s">
        <v>148</v>
      </c>
      <c r="H104" s="38" t="s">
        <v>152</v>
      </c>
      <c r="I104" s="38" t="s">
        <v>127</v>
      </c>
      <c r="J104" s="38" t="s">
        <v>127</v>
      </c>
      <c r="K104" s="38" t="s">
        <v>522</v>
      </c>
      <c r="L104" s="81" t="s">
        <v>523</v>
      </c>
      <c r="M104" s="38" t="s">
        <v>127</v>
      </c>
      <c r="N104" s="38" t="s">
        <v>127</v>
      </c>
      <c r="O104" s="76" t="s">
        <v>127</v>
      </c>
      <c r="P104" s="37" t="s">
        <v>127</v>
      </c>
      <c r="Q104" s="37" t="s">
        <v>127</v>
      </c>
      <c r="R104" s="37" t="s">
        <v>127</v>
      </c>
      <c r="S104" s="37" t="s">
        <v>127</v>
      </c>
      <c r="T104" s="37" t="s">
        <v>127</v>
      </c>
      <c r="U104" s="77" t="s">
        <v>136</v>
      </c>
      <c r="V104" s="37" t="b">
        <v>0</v>
      </c>
      <c r="W104" s="37" t="s">
        <v>127</v>
      </c>
      <c r="X104" s="123"/>
      <c r="Y104" s="37" t="s">
        <v>127</v>
      </c>
      <c r="Z104" s="37" t="s">
        <v>137</v>
      </c>
      <c r="AA104" s="37" t="s">
        <v>127</v>
      </c>
      <c r="AB104" s="37" t="s">
        <v>127</v>
      </c>
      <c r="AC104" s="78">
        <v>4.3</v>
      </c>
      <c r="AD104" s="78">
        <v>5981481</v>
      </c>
      <c r="AE104" s="37" t="s">
        <v>127</v>
      </c>
      <c r="AF104" s="37">
        <v>16126</v>
      </c>
      <c r="AG104" s="37" t="s">
        <v>127</v>
      </c>
      <c r="AH104" s="37" t="b">
        <v>0</v>
      </c>
      <c r="AI104" s="76" t="s">
        <v>127</v>
      </c>
      <c r="AJ104" s="77" t="s">
        <v>142</v>
      </c>
      <c r="AK104" s="37" t="s">
        <v>127</v>
      </c>
      <c r="AL104" s="37" t="s">
        <v>127</v>
      </c>
      <c r="AM104" s="37" t="b">
        <v>0</v>
      </c>
      <c r="AN104" s="37" t="s">
        <v>127</v>
      </c>
      <c r="AO104" s="37" t="s">
        <v>127</v>
      </c>
      <c r="AP104" s="37" t="s">
        <v>137</v>
      </c>
      <c r="AQ104" s="37" t="b">
        <v>0</v>
      </c>
      <c r="AR104" s="37" t="s">
        <v>127</v>
      </c>
      <c r="AS104" s="76" t="s">
        <v>127</v>
      </c>
      <c r="AT104" s="37" t="s">
        <v>127</v>
      </c>
      <c r="AU104" s="37" t="s">
        <v>127</v>
      </c>
      <c r="AV104" s="37" t="s">
        <v>127</v>
      </c>
      <c r="AW104" s="37" t="s">
        <v>127</v>
      </c>
      <c r="AX104" s="77" t="s">
        <v>161</v>
      </c>
      <c r="AY104" s="76" t="s">
        <v>127</v>
      </c>
      <c r="AZ104" s="77" t="s">
        <v>127</v>
      </c>
      <c r="BA104" s="37" t="s">
        <v>127</v>
      </c>
      <c r="BB104" s="37" t="s">
        <v>597</v>
      </c>
      <c r="BC104" s="77" t="s">
        <v>127</v>
      </c>
      <c r="BD104" s="76">
        <v>43678</v>
      </c>
      <c r="BE104" s="37" t="s">
        <v>127</v>
      </c>
      <c r="BF104" s="80">
        <v>44234</v>
      </c>
      <c r="BG104" s="39" t="s">
        <v>127</v>
      </c>
      <c r="BH104" s="39" t="s">
        <v>127</v>
      </c>
      <c r="BI104" s="40" t="b">
        <v>0</v>
      </c>
      <c r="BJ104" s="40" t="s">
        <v>137</v>
      </c>
      <c r="BK104" s="37" t="s">
        <v>137</v>
      </c>
      <c r="BL104" s="41">
        <v>1866.84079</v>
      </c>
      <c r="BM104" s="41">
        <v>174.93154999999999</v>
      </c>
      <c r="BN104" s="41">
        <v>1329.43553</v>
      </c>
      <c r="BO104" s="41">
        <v>269.10685000000007</v>
      </c>
      <c r="BP104" s="41">
        <v>68.103780000000015</v>
      </c>
      <c r="BQ104" s="41">
        <v>25.263079999999999</v>
      </c>
      <c r="BR104" s="41">
        <v>0</v>
      </c>
      <c r="BS104" s="41">
        <v>0</v>
      </c>
      <c r="BT104" s="41">
        <v>0</v>
      </c>
      <c r="BU104" s="41">
        <v>0</v>
      </c>
      <c r="BV104" s="41">
        <v>0</v>
      </c>
      <c r="BW104" s="49">
        <v>0</v>
      </c>
      <c r="BX104" s="37" t="s">
        <v>127</v>
      </c>
      <c r="BY104" s="37" t="s">
        <v>127</v>
      </c>
      <c r="BZ104" s="37" t="s">
        <v>203</v>
      </c>
      <c r="CA104" s="41">
        <v>1504.36708</v>
      </c>
      <c r="CB104" s="41">
        <v>269.11</v>
      </c>
      <c r="CC104" s="41">
        <v>68.099999999999994</v>
      </c>
      <c r="CD104" s="41">
        <v>25.26</v>
      </c>
      <c r="CE104" s="41">
        <v>0</v>
      </c>
      <c r="CF104" s="41">
        <v>0</v>
      </c>
      <c r="CG104" s="45">
        <v>0</v>
      </c>
      <c r="CH104" s="45" t="s">
        <v>137</v>
      </c>
      <c r="CI104" s="37" t="s">
        <v>127</v>
      </c>
      <c r="CJ104" s="77" t="s">
        <v>127</v>
      </c>
      <c r="CK104" s="98">
        <v>0.18140000000000001</v>
      </c>
      <c r="CL104" s="98">
        <v>0.81859999999999999</v>
      </c>
      <c r="CM104" s="100" t="s">
        <v>692</v>
      </c>
    </row>
    <row r="105" spans="1:91" ht="12.75" customHeight="1" x14ac:dyDescent="0.3">
      <c r="A105" s="37">
        <v>103</v>
      </c>
      <c r="B105" s="37" t="s">
        <v>693</v>
      </c>
      <c r="C105" s="125"/>
      <c r="D105" s="125"/>
      <c r="E105" s="77" t="s">
        <v>127</v>
      </c>
      <c r="F105" s="36" t="s">
        <v>694</v>
      </c>
      <c r="G105" s="75" t="s">
        <v>148</v>
      </c>
      <c r="H105" s="37" t="s">
        <v>131</v>
      </c>
      <c r="I105" s="37" t="s">
        <v>127</v>
      </c>
      <c r="J105" s="37" t="s">
        <v>127</v>
      </c>
      <c r="K105" s="37" t="s">
        <v>132</v>
      </c>
      <c r="L105" s="75" t="s">
        <v>179</v>
      </c>
      <c r="M105" s="37" t="s">
        <v>127</v>
      </c>
      <c r="N105" s="37" t="s">
        <v>127</v>
      </c>
      <c r="O105" s="76" t="s">
        <v>127</v>
      </c>
      <c r="P105" s="37" t="s">
        <v>135</v>
      </c>
      <c r="Q105" s="37" t="s">
        <v>239</v>
      </c>
      <c r="R105" s="37" t="s">
        <v>127</v>
      </c>
      <c r="S105" s="37" t="s">
        <v>127</v>
      </c>
      <c r="T105" s="37" t="s">
        <v>127</v>
      </c>
      <c r="U105" s="37" t="s">
        <v>136</v>
      </c>
      <c r="V105" s="37" t="b">
        <v>0</v>
      </c>
      <c r="W105" s="77" t="s">
        <v>127</v>
      </c>
      <c r="X105" s="123"/>
      <c r="Y105" s="37" t="s">
        <v>137</v>
      </c>
      <c r="Z105" s="37" t="s">
        <v>137</v>
      </c>
      <c r="AA105" s="37" t="s">
        <v>127</v>
      </c>
      <c r="AB105" s="37" t="s">
        <v>348</v>
      </c>
      <c r="AC105" s="78">
        <v>4.3</v>
      </c>
      <c r="AD105" s="78" t="s">
        <v>139</v>
      </c>
      <c r="AE105" s="37" t="s">
        <v>140</v>
      </c>
      <c r="AF105" s="37">
        <v>16138</v>
      </c>
      <c r="AG105" s="37" t="s">
        <v>141</v>
      </c>
      <c r="AH105" s="37" t="b">
        <v>1</v>
      </c>
      <c r="AI105" s="76" t="s">
        <v>127</v>
      </c>
      <c r="AJ105" s="77" t="s">
        <v>142</v>
      </c>
      <c r="AK105" s="37" t="s">
        <v>127</v>
      </c>
      <c r="AL105" s="37" t="s">
        <v>127</v>
      </c>
      <c r="AM105" s="37" t="b">
        <v>0</v>
      </c>
      <c r="AN105" s="37" t="s">
        <v>127</v>
      </c>
      <c r="AO105" s="37" t="s">
        <v>127</v>
      </c>
      <c r="AP105" s="37" t="s">
        <v>137</v>
      </c>
      <c r="AQ105" s="37" t="b">
        <v>0</v>
      </c>
      <c r="AR105" s="37" t="s">
        <v>127</v>
      </c>
      <c r="AS105" s="76" t="s">
        <v>137</v>
      </c>
      <c r="AT105" s="37" t="s">
        <v>127</v>
      </c>
      <c r="AU105" s="37" t="s">
        <v>127</v>
      </c>
      <c r="AV105" s="37" t="s">
        <v>137</v>
      </c>
      <c r="AW105" s="37" t="s">
        <v>137</v>
      </c>
      <c r="AX105" s="37" t="s">
        <v>161</v>
      </c>
      <c r="AY105" s="76" t="s">
        <v>127</v>
      </c>
      <c r="AZ105" s="77" t="s">
        <v>127</v>
      </c>
      <c r="BA105" s="37" t="s">
        <v>127</v>
      </c>
      <c r="BB105" s="37" t="s">
        <v>143</v>
      </c>
      <c r="BC105" s="77" t="s">
        <v>127</v>
      </c>
      <c r="BD105" s="76" t="s">
        <v>127</v>
      </c>
      <c r="BE105" s="37" t="s">
        <v>127</v>
      </c>
      <c r="BF105" s="80" t="s">
        <v>127</v>
      </c>
      <c r="BG105" s="39" t="s">
        <v>127</v>
      </c>
      <c r="BH105" s="37" t="s">
        <v>127</v>
      </c>
      <c r="BI105" s="40" t="b">
        <v>1</v>
      </c>
      <c r="BJ105" s="40" t="s">
        <v>137</v>
      </c>
      <c r="BK105" s="37" t="s">
        <v>137</v>
      </c>
      <c r="BL105" s="110">
        <f>63199.5093987379-SUM(BL106:BL112)</f>
        <v>44883.663613031844</v>
      </c>
      <c r="BM105" s="110">
        <f>6004.47865479-SUM(BM106:BM112)</f>
        <v>2313.8738853860009</v>
      </c>
      <c r="BN105" s="110">
        <f>5482.596761975-SUM(BN106:BN112)</f>
        <v>1984.8438336200002</v>
      </c>
      <c r="BO105" s="110">
        <f>6414.599842714-SUM(BO106:BO112)</f>
        <v>3528.1669487390004</v>
      </c>
      <c r="BP105" s="110">
        <f>5431.663243888-SUM(BP106:BP112)</f>
        <v>2598.953263888</v>
      </c>
      <c r="BQ105" s="110">
        <f>4333.037293587-SUM(BQ106:BQ112)</f>
        <v>3607.1452535870003</v>
      </c>
      <c r="BR105" s="110">
        <f>6172.02329377266-SUM(BR106:BR112)</f>
        <v>3923.1066629458637</v>
      </c>
      <c r="BS105" s="110">
        <f>4487.01178440369-SUM(BS106:BS112)</f>
        <v>4345.5357662524257</v>
      </c>
      <c r="BT105" s="110">
        <f>4615.97519070703-SUM(BT106:BT112)</f>
        <v>4615.9751907070304</v>
      </c>
      <c r="BU105" s="110">
        <f>4642.56702352414-SUM(BU106:BU112)</f>
        <v>4642.5670235241396</v>
      </c>
      <c r="BV105" s="110">
        <f>3243.63770227136-SUM(BV106:BV112)</f>
        <v>3243.63770227136</v>
      </c>
      <c r="BW105" s="111">
        <f>5788.79369-SUM(BW106:BW112)</f>
        <v>4088.5576500000006</v>
      </c>
      <c r="BX105" s="37" t="s">
        <v>127</v>
      </c>
      <c r="BY105" s="37" t="s">
        <v>127</v>
      </c>
      <c r="BZ105" s="37" t="s">
        <v>155</v>
      </c>
      <c r="CA105" s="41">
        <v>1686.126</v>
      </c>
      <c r="CB105" s="41">
        <v>2639.99</v>
      </c>
      <c r="CC105" s="41">
        <v>3397.86</v>
      </c>
      <c r="CD105" s="41">
        <v>1267.2</v>
      </c>
      <c r="CE105" s="41">
        <v>1202.4100000000001</v>
      </c>
      <c r="CF105" s="110">
        <f>7420.81378531604-SUM(CF106:CF112)</f>
        <v>4406.8060744892437</v>
      </c>
      <c r="CG105" s="45">
        <v>0</v>
      </c>
      <c r="CH105" s="45" t="s">
        <v>137</v>
      </c>
      <c r="CI105" s="37" t="s">
        <v>127</v>
      </c>
      <c r="CJ105" s="77" t="s">
        <v>127</v>
      </c>
      <c r="CK105" s="98">
        <v>0.18140000000000001</v>
      </c>
      <c r="CL105" s="98">
        <v>0.81859999999999999</v>
      </c>
      <c r="CM105" s="100" t="s">
        <v>695</v>
      </c>
    </row>
    <row r="106" spans="1:91" ht="12.75" customHeight="1" x14ac:dyDescent="0.3">
      <c r="A106" s="37">
        <v>104</v>
      </c>
      <c r="B106" s="37" t="s">
        <v>696</v>
      </c>
      <c r="C106" s="125"/>
      <c r="D106" s="125"/>
      <c r="E106" s="37" t="s">
        <v>246</v>
      </c>
      <c r="F106" s="36" t="s">
        <v>697</v>
      </c>
      <c r="G106" s="81" t="s">
        <v>159</v>
      </c>
      <c r="H106" s="37" t="s">
        <v>131</v>
      </c>
      <c r="I106" s="37" t="s">
        <v>127</v>
      </c>
      <c r="J106" s="37" t="s">
        <v>127</v>
      </c>
      <c r="K106" s="37" t="s">
        <v>132</v>
      </c>
      <c r="L106" s="75" t="s">
        <v>179</v>
      </c>
      <c r="M106" s="37" t="s">
        <v>127</v>
      </c>
      <c r="N106" s="37" t="s">
        <v>127</v>
      </c>
      <c r="O106" s="76" t="s">
        <v>127</v>
      </c>
      <c r="P106" s="37" t="s">
        <v>135</v>
      </c>
      <c r="Q106" s="37" t="s">
        <v>127</v>
      </c>
      <c r="R106" s="37" t="s">
        <v>127</v>
      </c>
      <c r="S106" s="37" t="s">
        <v>127</v>
      </c>
      <c r="T106" s="37" t="s">
        <v>127</v>
      </c>
      <c r="U106" s="37" t="s">
        <v>136</v>
      </c>
      <c r="V106" s="37" t="b">
        <v>0</v>
      </c>
      <c r="W106" s="77" t="s">
        <v>127</v>
      </c>
      <c r="X106" s="123"/>
      <c r="Y106" s="37" t="s">
        <v>127</v>
      </c>
      <c r="Z106" s="37" t="s">
        <v>127</v>
      </c>
      <c r="AA106" s="37" t="s">
        <v>127</v>
      </c>
      <c r="AB106" s="37" t="s">
        <v>127</v>
      </c>
      <c r="AC106" s="78">
        <v>4.3</v>
      </c>
      <c r="AD106" s="78">
        <v>5171721</v>
      </c>
      <c r="AE106" s="37" t="s">
        <v>140</v>
      </c>
      <c r="AF106" s="37">
        <v>16138</v>
      </c>
      <c r="AG106" s="37" t="s">
        <v>127</v>
      </c>
      <c r="AH106" s="37" t="b">
        <v>1</v>
      </c>
      <c r="AI106" s="76" t="s">
        <v>127</v>
      </c>
      <c r="AJ106" s="77" t="s">
        <v>142</v>
      </c>
      <c r="AK106" s="37" t="s">
        <v>127</v>
      </c>
      <c r="AL106" s="37" t="s">
        <v>127</v>
      </c>
      <c r="AM106" s="37" t="b">
        <v>0</v>
      </c>
      <c r="AN106" s="37" t="s">
        <v>127</v>
      </c>
      <c r="AO106" s="37" t="s">
        <v>127</v>
      </c>
      <c r="AP106" s="37" t="s">
        <v>127</v>
      </c>
      <c r="AQ106" s="37" t="b">
        <v>0</v>
      </c>
      <c r="AR106" s="37" t="s">
        <v>127</v>
      </c>
      <c r="AS106" s="76" t="s">
        <v>137</v>
      </c>
      <c r="AT106" s="37" t="s">
        <v>127</v>
      </c>
      <c r="AU106" s="37" t="s">
        <v>127</v>
      </c>
      <c r="AV106" s="37" t="s">
        <v>137</v>
      </c>
      <c r="AW106" s="37" t="s">
        <v>137</v>
      </c>
      <c r="AX106" s="37" t="s">
        <v>161</v>
      </c>
      <c r="AY106" s="76" t="s">
        <v>127</v>
      </c>
      <c r="AZ106" s="77" t="s">
        <v>127</v>
      </c>
      <c r="BA106" s="37" t="s">
        <v>127</v>
      </c>
      <c r="BB106" s="37" t="s">
        <v>143</v>
      </c>
      <c r="BC106" s="77" t="s">
        <v>127</v>
      </c>
      <c r="BD106" s="80" t="s">
        <v>127</v>
      </c>
      <c r="BE106" s="37" t="s">
        <v>127</v>
      </c>
      <c r="BF106" s="80" t="s">
        <v>127</v>
      </c>
      <c r="BG106" s="39" t="s">
        <v>127</v>
      </c>
      <c r="BH106" s="37" t="s">
        <v>127</v>
      </c>
      <c r="BI106" s="40" t="b">
        <v>1</v>
      </c>
      <c r="BJ106" s="40" t="s">
        <v>137</v>
      </c>
      <c r="BK106" s="37" t="s">
        <v>137</v>
      </c>
      <c r="BL106" s="41">
        <v>3112.0325641365912</v>
      </c>
      <c r="BM106" s="41">
        <v>0</v>
      </c>
      <c r="BN106" s="41">
        <v>0</v>
      </c>
      <c r="BO106" s="41">
        <v>25.732509999999998</v>
      </c>
      <c r="BP106" s="41">
        <v>1520.8642099999997</v>
      </c>
      <c r="BQ106" s="41">
        <v>473.11374999999992</v>
      </c>
      <c r="BR106" s="41">
        <v>950.84607598532727</v>
      </c>
      <c r="BS106" s="41">
        <v>141.4760181512645</v>
      </c>
      <c r="BT106" s="41">
        <v>0</v>
      </c>
      <c r="BU106" s="41">
        <v>0</v>
      </c>
      <c r="BV106" s="41">
        <v>0</v>
      </c>
      <c r="BW106" s="49">
        <v>0</v>
      </c>
      <c r="BX106" s="37" t="s">
        <v>127</v>
      </c>
      <c r="BY106" s="37" t="s">
        <v>127</v>
      </c>
      <c r="BZ106" s="37" t="s">
        <v>198</v>
      </c>
      <c r="CA106" s="41">
        <v>0</v>
      </c>
      <c r="CB106" s="41">
        <v>0</v>
      </c>
      <c r="CC106" s="41">
        <v>0</v>
      </c>
      <c r="CD106" s="41">
        <v>2019.71</v>
      </c>
      <c r="CE106" s="41">
        <v>9.4700000000000006</v>
      </c>
      <c r="CF106" s="41">
        <v>950.8460759853275</v>
      </c>
      <c r="CG106" s="45">
        <v>0</v>
      </c>
      <c r="CH106" s="45" t="s">
        <v>137</v>
      </c>
      <c r="CI106" s="37" t="s">
        <v>127</v>
      </c>
      <c r="CJ106" s="77" t="s">
        <v>127</v>
      </c>
      <c r="CK106" s="98">
        <v>0.18140000000000001</v>
      </c>
      <c r="CL106" s="98">
        <v>0.81859999999999999</v>
      </c>
      <c r="CM106" s="100" t="s">
        <v>359</v>
      </c>
    </row>
    <row r="107" spans="1:91" ht="12.75" customHeight="1" x14ac:dyDescent="0.3">
      <c r="A107" s="37">
        <v>105</v>
      </c>
      <c r="B107" s="37" t="s">
        <v>698</v>
      </c>
      <c r="C107" s="125"/>
      <c r="D107" s="125"/>
      <c r="E107" s="37" t="s">
        <v>246</v>
      </c>
      <c r="F107" s="36" t="s">
        <v>697</v>
      </c>
      <c r="G107" s="81" t="s">
        <v>159</v>
      </c>
      <c r="H107" s="37" t="s">
        <v>131</v>
      </c>
      <c r="I107" s="37" t="s">
        <v>127</v>
      </c>
      <c r="J107" s="37" t="s">
        <v>127</v>
      </c>
      <c r="K107" s="37" t="s">
        <v>132</v>
      </c>
      <c r="L107" s="75" t="s">
        <v>179</v>
      </c>
      <c r="M107" s="37" t="s">
        <v>127</v>
      </c>
      <c r="N107" s="37" t="s">
        <v>127</v>
      </c>
      <c r="O107" s="76" t="s">
        <v>127</v>
      </c>
      <c r="P107" s="37" t="s">
        <v>135</v>
      </c>
      <c r="Q107" s="37" t="s">
        <v>127</v>
      </c>
      <c r="R107" s="37" t="s">
        <v>127</v>
      </c>
      <c r="S107" s="37" t="s">
        <v>127</v>
      </c>
      <c r="T107" s="37" t="s">
        <v>127</v>
      </c>
      <c r="U107" s="37" t="s">
        <v>136</v>
      </c>
      <c r="V107" s="37" t="b">
        <v>0</v>
      </c>
      <c r="W107" s="77" t="s">
        <v>127</v>
      </c>
      <c r="X107" s="123"/>
      <c r="Y107" s="37" t="s">
        <v>127</v>
      </c>
      <c r="Z107" s="37" t="s">
        <v>127</v>
      </c>
      <c r="AA107" s="37" t="s">
        <v>127</v>
      </c>
      <c r="AB107" s="37" t="s">
        <v>127</v>
      </c>
      <c r="AC107" s="78">
        <v>4.3</v>
      </c>
      <c r="AD107" s="78">
        <v>5981399</v>
      </c>
      <c r="AE107" s="37" t="s">
        <v>140</v>
      </c>
      <c r="AF107" s="37">
        <v>16138</v>
      </c>
      <c r="AG107" s="37" t="s">
        <v>127</v>
      </c>
      <c r="AH107" s="37" t="b">
        <v>1</v>
      </c>
      <c r="AI107" s="76" t="s">
        <v>127</v>
      </c>
      <c r="AJ107" s="77" t="s">
        <v>142</v>
      </c>
      <c r="AK107" s="37" t="s">
        <v>127</v>
      </c>
      <c r="AL107" s="37" t="s">
        <v>127</v>
      </c>
      <c r="AM107" s="37" t="b">
        <v>0</v>
      </c>
      <c r="AN107" s="37" t="s">
        <v>127</v>
      </c>
      <c r="AO107" s="37" t="s">
        <v>127</v>
      </c>
      <c r="AP107" s="37" t="s">
        <v>127</v>
      </c>
      <c r="AQ107" s="37" t="b">
        <v>0</v>
      </c>
      <c r="AR107" s="37" t="s">
        <v>127</v>
      </c>
      <c r="AS107" s="76" t="s">
        <v>137</v>
      </c>
      <c r="AT107" s="37" t="s">
        <v>127</v>
      </c>
      <c r="AU107" s="37" t="s">
        <v>127</v>
      </c>
      <c r="AV107" s="37" t="s">
        <v>137</v>
      </c>
      <c r="AW107" s="37" t="s">
        <v>137</v>
      </c>
      <c r="AX107" s="37" t="s">
        <v>161</v>
      </c>
      <c r="AY107" s="76" t="s">
        <v>127</v>
      </c>
      <c r="AZ107" s="77" t="s">
        <v>127</v>
      </c>
      <c r="BA107" s="37" t="s">
        <v>127</v>
      </c>
      <c r="BB107" s="37" t="s">
        <v>143</v>
      </c>
      <c r="BC107" s="77" t="s">
        <v>127</v>
      </c>
      <c r="BD107" s="80" t="s">
        <v>127</v>
      </c>
      <c r="BE107" s="37" t="s">
        <v>127</v>
      </c>
      <c r="BF107" s="80" t="s">
        <v>127</v>
      </c>
      <c r="BG107" s="39" t="s">
        <v>127</v>
      </c>
      <c r="BH107" s="37" t="s">
        <v>127</v>
      </c>
      <c r="BI107" s="40" t="b">
        <v>0</v>
      </c>
      <c r="BJ107" s="40" t="s">
        <v>137</v>
      </c>
      <c r="BK107" s="37" t="s">
        <v>137</v>
      </c>
      <c r="BL107" s="41">
        <v>5577.3721215159994</v>
      </c>
      <c r="BM107" s="41">
        <v>2915.6101969759993</v>
      </c>
      <c r="BN107" s="41">
        <v>382.86664442999989</v>
      </c>
      <c r="BO107" s="41">
        <v>29.741759999999999</v>
      </c>
      <c r="BP107" s="41">
        <v>0</v>
      </c>
      <c r="BQ107" s="41">
        <v>0</v>
      </c>
      <c r="BR107" s="41">
        <v>0</v>
      </c>
      <c r="BS107" s="41">
        <v>0</v>
      </c>
      <c r="BT107" s="41">
        <v>0</v>
      </c>
      <c r="BU107" s="41">
        <v>0</v>
      </c>
      <c r="BV107" s="41">
        <v>0</v>
      </c>
      <c r="BW107" s="49">
        <v>0</v>
      </c>
      <c r="BX107" s="37" t="s">
        <v>127</v>
      </c>
      <c r="BY107" s="37" t="s">
        <v>127</v>
      </c>
      <c r="BZ107" s="37" t="s">
        <v>207</v>
      </c>
      <c r="CA107" s="41">
        <v>5333.4070000000002</v>
      </c>
      <c r="CB107" s="41">
        <v>29.74</v>
      </c>
      <c r="CC107" s="41">
        <v>0</v>
      </c>
      <c r="CD107" s="41">
        <v>0</v>
      </c>
      <c r="CE107" s="41">
        <v>0</v>
      </c>
      <c r="CF107" s="41">
        <v>0</v>
      </c>
      <c r="CG107" s="45">
        <v>0</v>
      </c>
      <c r="CH107" s="45" t="s">
        <v>137</v>
      </c>
      <c r="CI107" s="37" t="s">
        <v>127</v>
      </c>
      <c r="CJ107" s="77" t="s">
        <v>127</v>
      </c>
      <c r="CK107" s="98">
        <v>0.18140000000000001</v>
      </c>
      <c r="CL107" s="98">
        <v>0.81859999999999999</v>
      </c>
      <c r="CM107" s="100" t="s">
        <v>359</v>
      </c>
    </row>
    <row r="108" spans="1:91" ht="12.75" customHeight="1" x14ac:dyDescent="0.3">
      <c r="A108" s="37">
        <v>106</v>
      </c>
      <c r="B108" s="37" t="s">
        <v>699</v>
      </c>
      <c r="C108" s="125"/>
      <c r="D108" s="125"/>
      <c r="E108" s="37" t="s">
        <v>246</v>
      </c>
      <c r="F108" s="36" t="s">
        <v>697</v>
      </c>
      <c r="G108" s="81" t="s">
        <v>159</v>
      </c>
      <c r="H108" s="37" t="s">
        <v>131</v>
      </c>
      <c r="I108" s="37" t="s">
        <v>127</v>
      </c>
      <c r="J108" s="37" t="s">
        <v>127</v>
      </c>
      <c r="K108" s="37" t="s">
        <v>132</v>
      </c>
      <c r="L108" s="75" t="s">
        <v>179</v>
      </c>
      <c r="M108" s="37" t="s">
        <v>127</v>
      </c>
      <c r="N108" s="37" t="s">
        <v>127</v>
      </c>
      <c r="O108" s="76" t="s">
        <v>127</v>
      </c>
      <c r="P108" s="37" t="s">
        <v>135</v>
      </c>
      <c r="Q108" s="37" t="s">
        <v>127</v>
      </c>
      <c r="R108" s="37" t="s">
        <v>127</v>
      </c>
      <c r="S108" s="37" t="s">
        <v>127</v>
      </c>
      <c r="T108" s="37" t="s">
        <v>127</v>
      </c>
      <c r="U108" s="37" t="s">
        <v>136</v>
      </c>
      <c r="V108" s="37" t="b">
        <v>0</v>
      </c>
      <c r="W108" s="77" t="s">
        <v>127</v>
      </c>
      <c r="X108" s="123"/>
      <c r="Y108" s="37" t="s">
        <v>127</v>
      </c>
      <c r="Z108" s="37" t="s">
        <v>127</v>
      </c>
      <c r="AA108" s="37" t="s">
        <v>127</v>
      </c>
      <c r="AB108" s="37" t="s">
        <v>127</v>
      </c>
      <c r="AC108" s="78">
        <v>4.3</v>
      </c>
      <c r="AD108" s="78">
        <v>5983220</v>
      </c>
      <c r="AE108" s="37" t="s">
        <v>140</v>
      </c>
      <c r="AF108" s="37">
        <v>16138</v>
      </c>
      <c r="AG108" s="37" t="s">
        <v>127</v>
      </c>
      <c r="AH108" s="37" t="b">
        <v>1</v>
      </c>
      <c r="AI108" s="76" t="s">
        <v>127</v>
      </c>
      <c r="AJ108" s="77" t="s">
        <v>142</v>
      </c>
      <c r="AK108" s="37" t="s">
        <v>127</v>
      </c>
      <c r="AL108" s="37" t="s">
        <v>127</v>
      </c>
      <c r="AM108" s="37" t="b">
        <v>0</v>
      </c>
      <c r="AN108" s="37" t="s">
        <v>127</v>
      </c>
      <c r="AO108" s="37" t="s">
        <v>127</v>
      </c>
      <c r="AP108" s="37" t="s">
        <v>127</v>
      </c>
      <c r="AQ108" s="37" t="b">
        <v>0</v>
      </c>
      <c r="AR108" s="37" t="s">
        <v>127</v>
      </c>
      <c r="AS108" s="76" t="s">
        <v>137</v>
      </c>
      <c r="AT108" s="37" t="s">
        <v>127</v>
      </c>
      <c r="AU108" s="37" t="s">
        <v>127</v>
      </c>
      <c r="AV108" s="37" t="s">
        <v>137</v>
      </c>
      <c r="AW108" s="37" t="s">
        <v>137</v>
      </c>
      <c r="AX108" s="37" t="s">
        <v>161</v>
      </c>
      <c r="AY108" s="76" t="s">
        <v>127</v>
      </c>
      <c r="AZ108" s="77" t="s">
        <v>127</v>
      </c>
      <c r="BA108" s="37" t="s">
        <v>127</v>
      </c>
      <c r="BB108" s="37" t="s">
        <v>143</v>
      </c>
      <c r="BC108" s="77" t="s">
        <v>127</v>
      </c>
      <c r="BD108" s="80" t="s">
        <v>127</v>
      </c>
      <c r="BE108" s="37" t="s">
        <v>127</v>
      </c>
      <c r="BF108" s="80" t="s">
        <v>127</v>
      </c>
      <c r="BG108" s="39" t="s">
        <v>127</v>
      </c>
      <c r="BH108" s="37" t="s">
        <v>127</v>
      </c>
      <c r="BI108" s="40" t="b">
        <v>0</v>
      </c>
      <c r="BJ108" s="40" t="s">
        <v>137</v>
      </c>
      <c r="BK108" s="37" t="s">
        <v>137</v>
      </c>
      <c r="BL108" s="41">
        <v>2987.4920399999996</v>
      </c>
      <c r="BM108" s="41">
        <v>0</v>
      </c>
      <c r="BN108" s="41">
        <v>2699.6087900000002</v>
      </c>
      <c r="BO108" s="41">
        <v>287.88325000000003</v>
      </c>
      <c r="BP108" s="41">
        <v>0</v>
      </c>
      <c r="BQ108" s="41">
        <v>0</v>
      </c>
      <c r="BR108" s="41">
        <v>0</v>
      </c>
      <c r="BS108" s="41">
        <v>0</v>
      </c>
      <c r="BT108" s="41">
        <v>0</v>
      </c>
      <c r="BU108" s="41">
        <v>0</v>
      </c>
      <c r="BV108" s="41">
        <v>0</v>
      </c>
      <c r="BW108" s="49">
        <v>0</v>
      </c>
      <c r="BX108" s="37" t="s">
        <v>127</v>
      </c>
      <c r="BY108" s="37" t="s">
        <v>127</v>
      </c>
      <c r="BZ108" s="37" t="s">
        <v>244</v>
      </c>
      <c r="CA108" s="41">
        <v>0</v>
      </c>
      <c r="CB108" s="41">
        <v>2987.49</v>
      </c>
      <c r="CC108" s="41">
        <v>0</v>
      </c>
      <c r="CD108" s="41">
        <v>0</v>
      </c>
      <c r="CE108" s="41">
        <v>0</v>
      </c>
      <c r="CF108" s="41">
        <v>0</v>
      </c>
      <c r="CG108" s="45">
        <v>0</v>
      </c>
      <c r="CH108" s="45" t="s">
        <v>137</v>
      </c>
      <c r="CI108" s="37" t="s">
        <v>127</v>
      </c>
      <c r="CJ108" s="77" t="s">
        <v>127</v>
      </c>
      <c r="CK108" s="98">
        <v>0.18140000000000001</v>
      </c>
      <c r="CL108" s="98">
        <v>0.81859999999999999</v>
      </c>
      <c r="CM108" s="100" t="s">
        <v>359</v>
      </c>
    </row>
    <row r="109" spans="1:91" ht="12.75" customHeight="1" x14ac:dyDescent="0.3">
      <c r="A109" s="37">
        <v>107</v>
      </c>
      <c r="B109" s="37" t="s">
        <v>700</v>
      </c>
      <c r="C109" s="124"/>
      <c r="D109" s="124"/>
      <c r="E109" s="37" t="s">
        <v>457</v>
      </c>
      <c r="F109" s="36" t="s">
        <v>701</v>
      </c>
      <c r="G109" s="81" t="s">
        <v>159</v>
      </c>
      <c r="H109" s="37" t="s">
        <v>131</v>
      </c>
      <c r="I109" s="37" t="s">
        <v>127</v>
      </c>
      <c r="J109" s="37" t="s">
        <v>127</v>
      </c>
      <c r="K109" s="37" t="s">
        <v>132</v>
      </c>
      <c r="L109" s="75" t="s">
        <v>179</v>
      </c>
      <c r="M109" s="37" t="s">
        <v>127</v>
      </c>
      <c r="N109" s="37" t="s">
        <v>127</v>
      </c>
      <c r="O109" s="76">
        <v>45397</v>
      </c>
      <c r="P109" s="37" t="s">
        <v>135</v>
      </c>
      <c r="Q109" s="37" t="s">
        <v>127</v>
      </c>
      <c r="R109" s="37" t="s">
        <v>127</v>
      </c>
      <c r="S109" s="37" t="s">
        <v>127</v>
      </c>
      <c r="T109" s="37" t="s">
        <v>127</v>
      </c>
      <c r="U109" s="37" t="s">
        <v>136</v>
      </c>
      <c r="V109" s="37" t="b">
        <v>0</v>
      </c>
      <c r="W109" s="77" t="s">
        <v>127</v>
      </c>
      <c r="X109" s="123"/>
      <c r="Y109" s="37" t="s">
        <v>127</v>
      </c>
      <c r="Z109" s="37" t="s">
        <v>127</v>
      </c>
      <c r="AA109" s="37" t="s">
        <v>127</v>
      </c>
      <c r="AB109" s="37" t="s">
        <v>127</v>
      </c>
      <c r="AC109" s="78">
        <v>4.3</v>
      </c>
      <c r="AD109" s="78">
        <v>5984930</v>
      </c>
      <c r="AE109" s="37" t="s">
        <v>702</v>
      </c>
      <c r="AF109" s="37">
        <v>16138</v>
      </c>
      <c r="AG109" s="37" t="s">
        <v>127</v>
      </c>
      <c r="AH109" s="37" t="b">
        <v>1</v>
      </c>
      <c r="AI109" s="76" t="s">
        <v>127</v>
      </c>
      <c r="AJ109" s="77" t="s">
        <v>142</v>
      </c>
      <c r="AK109" s="37" t="s">
        <v>127</v>
      </c>
      <c r="AL109" s="37" t="s">
        <v>127</v>
      </c>
      <c r="AM109" s="37" t="b">
        <v>0</v>
      </c>
      <c r="AN109" s="37" t="s">
        <v>127</v>
      </c>
      <c r="AO109" s="37" t="s">
        <v>127</v>
      </c>
      <c r="AP109" s="37" t="s">
        <v>127</v>
      </c>
      <c r="AQ109" s="37" t="b">
        <v>0</v>
      </c>
      <c r="AR109" s="37" t="s">
        <v>127</v>
      </c>
      <c r="AS109" s="76" t="s">
        <v>137</v>
      </c>
      <c r="AT109" s="37" t="s">
        <v>127</v>
      </c>
      <c r="AU109" s="37" t="s">
        <v>127</v>
      </c>
      <c r="AV109" s="37" t="s">
        <v>137</v>
      </c>
      <c r="AW109" s="37" t="s">
        <v>137</v>
      </c>
      <c r="AX109" s="37" t="s">
        <v>161</v>
      </c>
      <c r="AY109" s="76" t="s">
        <v>127</v>
      </c>
      <c r="AZ109" s="77" t="s">
        <v>127</v>
      </c>
      <c r="BA109" s="37" t="s">
        <v>127</v>
      </c>
      <c r="BB109" s="37" t="s">
        <v>143</v>
      </c>
      <c r="BC109" s="77" t="s">
        <v>127</v>
      </c>
      <c r="BD109" s="80">
        <v>44564</v>
      </c>
      <c r="BE109" s="37" t="s">
        <v>127</v>
      </c>
      <c r="BF109" s="80">
        <v>44631</v>
      </c>
      <c r="BG109" s="39" t="s">
        <v>127</v>
      </c>
      <c r="BH109" s="37" t="s">
        <v>127</v>
      </c>
      <c r="BI109" s="40" t="b">
        <v>0</v>
      </c>
      <c r="BJ109" s="40" t="s">
        <v>137</v>
      </c>
      <c r="BK109" s="37" t="s">
        <v>137</v>
      </c>
      <c r="BL109" s="41">
        <v>1083.769808362</v>
      </c>
      <c r="BM109" s="41">
        <v>774.99457242800008</v>
      </c>
      <c r="BN109" s="41">
        <v>265.86823104999996</v>
      </c>
      <c r="BO109" s="41">
        <v>0</v>
      </c>
      <c r="BP109" s="41">
        <v>0</v>
      </c>
      <c r="BQ109" s="41">
        <v>0</v>
      </c>
      <c r="BR109" s="41">
        <v>0</v>
      </c>
      <c r="BS109" s="41">
        <v>0</v>
      </c>
      <c r="BT109" s="41">
        <v>0</v>
      </c>
      <c r="BU109" s="41">
        <v>0</v>
      </c>
      <c r="BV109" s="41">
        <v>0</v>
      </c>
      <c r="BW109" s="49">
        <v>0</v>
      </c>
      <c r="BX109" s="37" t="s">
        <v>127</v>
      </c>
      <c r="BY109" s="37" t="s">
        <v>127</v>
      </c>
      <c r="BZ109" s="37" t="s">
        <v>180</v>
      </c>
      <c r="CA109" s="41">
        <v>1082.885</v>
      </c>
      <c r="CB109" s="41">
        <v>0</v>
      </c>
      <c r="CC109" s="41">
        <v>0</v>
      </c>
      <c r="CD109" s="41">
        <v>0</v>
      </c>
      <c r="CE109" s="41">
        <v>0</v>
      </c>
      <c r="CF109" s="41">
        <v>0</v>
      </c>
      <c r="CG109" s="45">
        <v>0</v>
      </c>
      <c r="CH109" s="45" t="s">
        <v>137</v>
      </c>
      <c r="CI109" s="37" t="s">
        <v>127</v>
      </c>
      <c r="CJ109" s="77" t="s">
        <v>127</v>
      </c>
      <c r="CK109" s="98">
        <v>0.18140000000000001</v>
      </c>
      <c r="CL109" s="98">
        <v>0.81859999999999999</v>
      </c>
      <c r="CM109" s="100" t="s">
        <v>486</v>
      </c>
    </row>
    <row r="110" spans="1:91" ht="12.75" customHeight="1" x14ac:dyDescent="0.3">
      <c r="A110" s="37">
        <v>108</v>
      </c>
      <c r="B110" s="37" t="s">
        <v>703</v>
      </c>
      <c r="C110" s="124"/>
      <c r="D110" s="124"/>
      <c r="E110" s="37" t="s">
        <v>258</v>
      </c>
      <c r="F110" s="36" t="s">
        <v>704</v>
      </c>
      <c r="G110" s="81" t="s">
        <v>159</v>
      </c>
      <c r="H110" s="37" t="s">
        <v>131</v>
      </c>
      <c r="I110" s="37" t="s">
        <v>127</v>
      </c>
      <c r="J110" s="37" t="s">
        <v>127</v>
      </c>
      <c r="K110" s="37" t="s">
        <v>132</v>
      </c>
      <c r="L110" s="75" t="s">
        <v>179</v>
      </c>
      <c r="M110" s="37" t="s">
        <v>127</v>
      </c>
      <c r="N110" s="37" t="s">
        <v>127</v>
      </c>
      <c r="O110" s="76">
        <v>45392</v>
      </c>
      <c r="P110" s="37" t="s">
        <v>135</v>
      </c>
      <c r="Q110" s="37" t="s">
        <v>127</v>
      </c>
      <c r="R110" s="37" t="s">
        <v>127</v>
      </c>
      <c r="S110" s="37" t="s">
        <v>127</v>
      </c>
      <c r="T110" s="37" t="s">
        <v>127</v>
      </c>
      <c r="U110" s="37" t="s">
        <v>136</v>
      </c>
      <c r="V110" s="37" t="b">
        <v>0</v>
      </c>
      <c r="W110" s="77" t="s">
        <v>127</v>
      </c>
      <c r="X110" s="123"/>
      <c r="Y110" s="37" t="s">
        <v>127</v>
      </c>
      <c r="Z110" s="37" t="s">
        <v>127</v>
      </c>
      <c r="AA110" s="37" t="s">
        <v>127</v>
      </c>
      <c r="AB110" s="37" t="s">
        <v>127</v>
      </c>
      <c r="AC110" s="78">
        <v>4.3</v>
      </c>
      <c r="AD110" s="78">
        <v>5986294</v>
      </c>
      <c r="AE110" s="37" t="s">
        <v>705</v>
      </c>
      <c r="AF110" s="37">
        <v>16138</v>
      </c>
      <c r="AG110" s="37" t="s">
        <v>127</v>
      </c>
      <c r="AH110" s="37" t="b">
        <v>1</v>
      </c>
      <c r="AI110" s="76" t="s">
        <v>127</v>
      </c>
      <c r="AJ110" s="77" t="s">
        <v>142</v>
      </c>
      <c r="AK110" s="37" t="s">
        <v>127</v>
      </c>
      <c r="AL110" s="37" t="s">
        <v>127</v>
      </c>
      <c r="AM110" s="37" t="b">
        <v>0</v>
      </c>
      <c r="AN110" s="37" t="s">
        <v>127</v>
      </c>
      <c r="AO110" s="37" t="s">
        <v>127</v>
      </c>
      <c r="AP110" s="37" t="s">
        <v>127</v>
      </c>
      <c r="AQ110" s="37" t="b">
        <v>0</v>
      </c>
      <c r="AR110" s="37" t="s">
        <v>127</v>
      </c>
      <c r="AS110" s="76" t="s">
        <v>137</v>
      </c>
      <c r="AT110" s="37" t="s">
        <v>127</v>
      </c>
      <c r="AU110" s="37" t="s">
        <v>127</v>
      </c>
      <c r="AV110" s="37" t="s">
        <v>137</v>
      </c>
      <c r="AW110" s="37" t="s">
        <v>137</v>
      </c>
      <c r="AX110" s="37" t="s">
        <v>161</v>
      </c>
      <c r="AY110" s="76" t="s">
        <v>127</v>
      </c>
      <c r="AZ110" s="77" t="s">
        <v>127</v>
      </c>
      <c r="BA110" s="37" t="s">
        <v>127</v>
      </c>
      <c r="BB110" s="37" t="s">
        <v>143</v>
      </c>
      <c r="BC110" s="77" t="s">
        <v>127</v>
      </c>
      <c r="BD110" s="76">
        <v>44502</v>
      </c>
      <c r="BE110" s="37" t="s">
        <v>127</v>
      </c>
      <c r="BF110" s="80">
        <v>44729</v>
      </c>
      <c r="BG110" s="39" t="s">
        <v>127</v>
      </c>
      <c r="BH110" s="37" t="s">
        <v>127</v>
      </c>
      <c r="BI110" s="40" t="b">
        <v>1</v>
      </c>
      <c r="BJ110" s="40" t="s">
        <v>137</v>
      </c>
      <c r="BK110" s="37" t="s">
        <v>137</v>
      </c>
      <c r="BL110" s="41">
        <v>1547.6539636159996</v>
      </c>
      <c r="BM110" s="41">
        <v>0</v>
      </c>
      <c r="BN110" s="41">
        <v>114.11783896000001</v>
      </c>
      <c r="BO110" s="41">
        <v>541.25222465600018</v>
      </c>
      <c r="BP110" s="41">
        <v>876.38975999999991</v>
      </c>
      <c r="BQ110" s="41">
        <v>15.675280000000006</v>
      </c>
      <c r="BR110" s="41">
        <v>0.21886</v>
      </c>
      <c r="BS110" s="41">
        <v>0</v>
      </c>
      <c r="BT110" s="41">
        <v>0</v>
      </c>
      <c r="BU110" s="41">
        <v>0</v>
      </c>
      <c r="BV110" s="41">
        <v>0</v>
      </c>
      <c r="BW110" s="49">
        <v>0</v>
      </c>
      <c r="BX110" s="37" t="s">
        <v>127</v>
      </c>
      <c r="BY110" s="37" t="s">
        <v>127</v>
      </c>
      <c r="BZ110" s="37" t="s">
        <v>162</v>
      </c>
      <c r="CA110" s="41">
        <v>0</v>
      </c>
      <c r="CB110" s="41">
        <v>0</v>
      </c>
      <c r="CC110" s="41">
        <v>1465.94767</v>
      </c>
      <c r="CD110" s="41">
        <v>12.32</v>
      </c>
      <c r="CE110" s="41">
        <v>0.21</v>
      </c>
      <c r="CF110" s="41">
        <v>0.21446000000000001</v>
      </c>
      <c r="CG110" s="45">
        <v>0</v>
      </c>
      <c r="CH110" s="45" t="s">
        <v>137</v>
      </c>
      <c r="CI110" s="37" t="s">
        <v>127</v>
      </c>
      <c r="CJ110" s="77" t="s">
        <v>127</v>
      </c>
      <c r="CK110" s="98">
        <v>0.18140000000000001</v>
      </c>
      <c r="CL110" s="98">
        <v>0.81859999999999999</v>
      </c>
      <c r="CM110" s="100" t="s">
        <v>486</v>
      </c>
    </row>
    <row r="111" spans="1:91" ht="12.75" customHeight="1" x14ac:dyDescent="0.3">
      <c r="A111" s="37">
        <v>109</v>
      </c>
      <c r="B111" s="37" t="s">
        <v>706</v>
      </c>
      <c r="C111" s="124"/>
      <c r="D111" s="124"/>
      <c r="E111" s="37" t="s">
        <v>258</v>
      </c>
      <c r="F111" s="36" t="s">
        <v>707</v>
      </c>
      <c r="G111" s="81" t="s">
        <v>352</v>
      </c>
      <c r="H111" s="37" t="s">
        <v>131</v>
      </c>
      <c r="I111" s="37" t="s">
        <v>127</v>
      </c>
      <c r="J111" s="37" t="s">
        <v>127</v>
      </c>
      <c r="K111" s="37" t="s">
        <v>132</v>
      </c>
      <c r="L111" s="75" t="s">
        <v>179</v>
      </c>
      <c r="M111" s="37" t="s">
        <v>127</v>
      </c>
      <c r="N111" s="37" t="s">
        <v>127</v>
      </c>
      <c r="O111" s="76">
        <v>45420</v>
      </c>
      <c r="P111" s="37" t="s">
        <v>135</v>
      </c>
      <c r="Q111" s="37" t="s">
        <v>127</v>
      </c>
      <c r="R111" s="37" t="s">
        <v>127</v>
      </c>
      <c r="S111" s="37" t="s">
        <v>127</v>
      </c>
      <c r="T111" s="37" t="s">
        <v>127</v>
      </c>
      <c r="U111" s="37" t="s">
        <v>136</v>
      </c>
      <c r="V111" s="37" t="b">
        <v>0</v>
      </c>
      <c r="W111" s="77" t="s">
        <v>127</v>
      </c>
      <c r="X111" s="123"/>
      <c r="Y111" s="37" t="s">
        <v>127</v>
      </c>
      <c r="Z111" s="37">
        <v>0.76</v>
      </c>
      <c r="AA111" s="37" t="s">
        <v>127</v>
      </c>
      <c r="AB111" s="37" t="s">
        <v>127</v>
      </c>
      <c r="AC111" s="78">
        <v>4.3</v>
      </c>
      <c r="AD111" s="78">
        <v>5986295</v>
      </c>
      <c r="AE111" s="37" t="s">
        <v>708</v>
      </c>
      <c r="AF111" s="37">
        <v>16138</v>
      </c>
      <c r="AG111" s="37" t="s">
        <v>127</v>
      </c>
      <c r="AH111" s="37" t="b">
        <v>1</v>
      </c>
      <c r="AI111" s="76" t="s">
        <v>127</v>
      </c>
      <c r="AJ111" s="77" t="s">
        <v>142</v>
      </c>
      <c r="AK111" s="37" t="s">
        <v>127</v>
      </c>
      <c r="AL111" s="37" t="s">
        <v>127</v>
      </c>
      <c r="AM111" s="37" t="b">
        <v>0</v>
      </c>
      <c r="AN111" s="37" t="s">
        <v>127</v>
      </c>
      <c r="AO111" s="37" t="s">
        <v>127</v>
      </c>
      <c r="AP111" s="37" t="s">
        <v>127</v>
      </c>
      <c r="AQ111" s="37" t="b">
        <v>0</v>
      </c>
      <c r="AR111" s="37" t="s">
        <v>127</v>
      </c>
      <c r="AS111" s="76" t="s">
        <v>137</v>
      </c>
      <c r="AT111" s="37" t="s">
        <v>127</v>
      </c>
      <c r="AU111" s="37" t="s">
        <v>127</v>
      </c>
      <c r="AV111" s="37" t="s">
        <v>137</v>
      </c>
      <c r="AW111" s="37" t="s">
        <v>137</v>
      </c>
      <c r="AX111" s="37" t="s">
        <v>161</v>
      </c>
      <c r="AY111" s="76" t="s">
        <v>127</v>
      </c>
      <c r="AZ111" s="77" t="s">
        <v>127</v>
      </c>
      <c r="BA111" s="37" t="s">
        <v>127</v>
      </c>
      <c r="BB111" s="37" t="s">
        <v>396</v>
      </c>
      <c r="BC111" s="77" t="s">
        <v>127</v>
      </c>
      <c r="BD111" s="76" t="s">
        <v>709</v>
      </c>
      <c r="BE111" s="37" t="s">
        <v>127</v>
      </c>
      <c r="BF111" s="86" t="s">
        <v>710</v>
      </c>
      <c r="BG111" s="39" t="s">
        <v>127</v>
      </c>
      <c r="BH111" s="37" t="s">
        <v>127</v>
      </c>
      <c r="BI111" s="40" t="b">
        <v>1</v>
      </c>
      <c r="BJ111" s="40" t="s">
        <v>137</v>
      </c>
      <c r="BK111" s="37" t="s">
        <v>137</v>
      </c>
      <c r="BL111" s="41">
        <v>2077.0493080754686</v>
      </c>
      <c r="BM111" s="41">
        <v>0</v>
      </c>
      <c r="BN111" s="41">
        <v>35.29142391500001</v>
      </c>
      <c r="BO111" s="41">
        <v>125.47938931899998</v>
      </c>
      <c r="BP111" s="41">
        <v>381.32379000000009</v>
      </c>
      <c r="BQ111" s="41">
        <v>237.10301000000001</v>
      </c>
      <c r="BR111" s="41">
        <v>1297.8516948414685</v>
      </c>
      <c r="BS111" s="41">
        <v>0</v>
      </c>
      <c r="BT111" s="41">
        <v>0</v>
      </c>
      <c r="BU111" s="41">
        <v>0</v>
      </c>
      <c r="BV111" s="41">
        <v>0</v>
      </c>
      <c r="BW111" s="49">
        <v>1700.23604</v>
      </c>
      <c r="BX111" s="37" t="s">
        <v>127</v>
      </c>
      <c r="BY111" s="37" t="s">
        <v>127</v>
      </c>
      <c r="BZ111" s="37" t="s">
        <v>173</v>
      </c>
      <c r="CA111" s="41">
        <v>0</v>
      </c>
      <c r="CB111" s="41">
        <v>0</v>
      </c>
      <c r="CC111" s="41">
        <v>0</v>
      </c>
      <c r="CD111" s="41">
        <v>0</v>
      </c>
      <c r="CE111" s="41">
        <v>0</v>
      </c>
      <c r="CF111" s="41">
        <v>2062.9471748414685</v>
      </c>
      <c r="CG111" s="45">
        <v>0</v>
      </c>
      <c r="CH111" s="45" t="s">
        <v>137</v>
      </c>
      <c r="CI111" s="37" t="s">
        <v>127</v>
      </c>
      <c r="CJ111" s="77" t="s">
        <v>127</v>
      </c>
      <c r="CK111" s="98">
        <v>0.18140000000000001</v>
      </c>
      <c r="CL111" s="98">
        <v>0.81859999999999999</v>
      </c>
      <c r="CM111" s="100" t="s">
        <v>486</v>
      </c>
    </row>
    <row r="112" spans="1:91" ht="12.75" customHeight="1" x14ac:dyDescent="0.3">
      <c r="A112" s="37">
        <v>110</v>
      </c>
      <c r="B112" s="37" t="s">
        <v>711</v>
      </c>
      <c r="C112" s="125"/>
      <c r="D112" s="123"/>
      <c r="E112" s="37" t="s">
        <v>246</v>
      </c>
      <c r="F112" s="36" t="s">
        <v>697</v>
      </c>
      <c r="G112" s="81" t="s">
        <v>159</v>
      </c>
      <c r="H112" s="37" t="s">
        <v>131</v>
      </c>
      <c r="I112" s="37" t="s">
        <v>127</v>
      </c>
      <c r="J112" s="37" t="s">
        <v>127</v>
      </c>
      <c r="K112" s="37" t="s">
        <v>132</v>
      </c>
      <c r="L112" s="75" t="s">
        <v>179</v>
      </c>
      <c r="M112" s="37" t="s">
        <v>127</v>
      </c>
      <c r="N112" s="37" t="s">
        <v>127</v>
      </c>
      <c r="O112" s="76" t="s">
        <v>127</v>
      </c>
      <c r="P112" s="37" t="s">
        <v>135</v>
      </c>
      <c r="Q112" s="37" t="s">
        <v>127</v>
      </c>
      <c r="R112" s="37" t="s">
        <v>127</v>
      </c>
      <c r="S112" s="37" t="s">
        <v>127</v>
      </c>
      <c r="T112" s="37" t="s">
        <v>127</v>
      </c>
      <c r="U112" s="37" t="s">
        <v>136</v>
      </c>
      <c r="V112" s="37" t="b">
        <v>0</v>
      </c>
      <c r="W112" s="77" t="s">
        <v>127</v>
      </c>
      <c r="X112" s="123"/>
      <c r="Y112" s="37" t="s">
        <v>127</v>
      </c>
      <c r="Z112" s="37" t="s">
        <v>127</v>
      </c>
      <c r="AA112" s="37" t="s">
        <v>127</v>
      </c>
      <c r="AB112" s="37" t="s">
        <v>127</v>
      </c>
      <c r="AC112" s="78">
        <v>4.3</v>
      </c>
      <c r="AD112" s="78">
        <v>5997741</v>
      </c>
      <c r="AE112" s="37" t="s">
        <v>140</v>
      </c>
      <c r="AF112" s="37">
        <v>16138</v>
      </c>
      <c r="AG112" s="37" t="s">
        <v>127</v>
      </c>
      <c r="AH112" s="37" t="b">
        <v>1</v>
      </c>
      <c r="AI112" s="76" t="s">
        <v>127</v>
      </c>
      <c r="AJ112" s="77" t="s">
        <v>142</v>
      </c>
      <c r="AK112" s="37" t="s">
        <v>127</v>
      </c>
      <c r="AL112" s="37" t="s">
        <v>127</v>
      </c>
      <c r="AM112" s="37" t="b">
        <v>0</v>
      </c>
      <c r="AN112" s="37" t="s">
        <v>127</v>
      </c>
      <c r="AO112" s="37" t="s">
        <v>127</v>
      </c>
      <c r="AP112" s="37" t="s">
        <v>127</v>
      </c>
      <c r="AQ112" s="37" t="b">
        <v>0</v>
      </c>
      <c r="AR112" s="37" t="s">
        <v>127</v>
      </c>
      <c r="AS112" s="76" t="s">
        <v>137</v>
      </c>
      <c r="AT112" s="37" t="s">
        <v>127</v>
      </c>
      <c r="AU112" s="37" t="s">
        <v>127</v>
      </c>
      <c r="AV112" s="37" t="s">
        <v>137</v>
      </c>
      <c r="AW112" s="37" t="s">
        <v>137</v>
      </c>
      <c r="AX112" s="37" t="s">
        <v>161</v>
      </c>
      <c r="AY112" s="76" t="s">
        <v>127</v>
      </c>
      <c r="AZ112" s="77" t="s">
        <v>127</v>
      </c>
      <c r="BA112" s="37" t="s">
        <v>127</v>
      </c>
      <c r="BB112" s="37" t="s">
        <v>143</v>
      </c>
      <c r="BC112" s="77" t="s">
        <v>127</v>
      </c>
      <c r="BD112" s="80" t="s">
        <v>127</v>
      </c>
      <c r="BE112" s="37" t="s">
        <v>127</v>
      </c>
      <c r="BF112" s="80" t="s">
        <v>127</v>
      </c>
      <c r="BG112" s="39" t="s">
        <v>127</v>
      </c>
      <c r="BH112" s="37" t="s">
        <v>127</v>
      </c>
      <c r="BI112" s="40" t="b">
        <v>0</v>
      </c>
      <c r="BJ112" s="40" t="s">
        <v>137</v>
      </c>
      <c r="BK112" s="37" t="s">
        <v>137</v>
      </c>
      <c r="BL112" s="41">
        <v>1930.4759799999997</v>
      </c>
      <c r="BM112" s="41">
        <v>0</v>
      </c>
      <c r="BN112" s="41">
        <v>0</v>
      </c>
      <c r="BO112" s="41">
        <v>1876.3437599999997</v>
      </c>
      <c r="BP112" s="41">
        <v>54.132220000000018</v>
      </c>
      <c r="BQ112" s="41">
        <v>0</v>
      </c>
      <c r="BR112" s="41">
        <v>0</v>
      </c>
      <c r="BS112" s="41">
        <v>0</v>
      </c>
      <c r="BT112" s="41">
        <v>0</v>
      </c>
      <c r="BU112" s="41">
        <v>0</v>
      </c>
      <c r="BV112" s="41">
        <v>0</v>
      </c>
      <c r="BW112" s="49">
        <v>0</v>
      </c>
      <c r="BX112" s="37" t="s">
        <v>127</v>
      </c>
      <c r="BY112" s="37" t="s">
        <v>127</v>
      </c>
      <c r="BZ112" s="37" t="s">
        <v>264</v>
      </c>
      <c r="CA112" s="41">
        <v>0</v>
      </c>
      <c r="CB112" s="41">
        <v>1876.34376</v>
      </c>
      <c r="CC112" s="41">
        <v>54.13</v>
      </c>
      <c r="CD112" s="41">
        <v>0</v>
      </c>
      <c r="CE112" s="41">
        <v>0</v>
      </c>
      <c r="CF112" s="41">
        <v>0</v>
      </c>
      <c r="CG112" s="45">
        <v>0</v>
      </c>
      <c r="CH112" s="45" t="s">
        <v>137</v>
      </c>
      <c r="CI112" s="37" t="s">
        <v>127</v>
      </c>
      <c r="CJ112" s="77" t="s">
        <v>127</v>
      </c>
      <c r="CK112" s="98">
        <v>0.18140000000000001</v>
      </c>
      <c r="CL112" s="98">
        <v>0.81859999999999999</v>
      </c>
      <c r="CM112" s="100" t="s">
        <v>359</v>
      </c>
    </row>
    <row r="113" spans="1:91" ht="12.75" customHeight="1" x14ac:dyDescent="0.3">
      <c r="A113" s="37">
        <v>111</v>
      </c>
      <c r="B113" s="37" t="s">
        <v>712</v>
      </c>
      <c r="C113" s="125"/>
      <c r="D113" s="123"/>
      <c r="E113" s="77" t="s">
        <v>127</v>
      </c>
      <c r="F113" s="36" t="s">
        <v>713</v>
      </c>
      <c r="G113" s="75" t="s">
        <v>226</v>
      </c>
      <c r="H113" s="37" t="s">
        <v>227</v>
      </c>
      <c r="I113" s="37" t="s">
        <v>127</v>
      </c>
      <c r="J113" s="37" t="s">
        <v>127</v>
      </c>
      <c r="K113" s="37" t="s">
        <v>609</v>
      </c>
      <c r="L113" s="75" t="s">
        <v>346</v>
      </c>
      <c r="M113" s="37" t="s">
        <v>127</v>
      </c>
      <c r="N113" s="37" t="s">
        <v>127</v>
      </c>
      <c r="O113" s="76" t="s">
        <v>127</v>
      </c>
      <c r="P113" s="37" t="s">
        <v>135</v>
      </c>
      <c r="Q113" s="37" t="s">
        <v>127</v>
      </c>
      <c r="R113" s="37" t="s">
        <v>127</v>
      </c>
      <c r="S113" s="37" t="s">
        <v>127</v>
      </c>
      <c r="T113" s="37" t="s">
        <v>611</v>
      </c>
      <c r="U113" s="37" t="s">
        <v>714</v>
      </c>
      <c r="V113" s="37" t="b">
        <v>0</v>
      </c>
      <c r="W113" s="77" t="s">
        <v>127</v>
      </c>
      <c r="X113" s="123"/>
      <c r="Y113" s="37" t="s">
        <v>137</v>
      </c>
      <c r="Z113" s="37" t="s">
        <v>137</v>
      </c>
      <c r="AA113" s="37" t="s">
        <v>138</v>
      </c>
      <c r="AB113" s="37" t="s">
        <v>127</v>
      </c>
      <c r="AC113" s="78">
        <v>1.1000000000000001</v>
      </c>
      <c r="AD113" s="78" t="s">
        <v>139</v>
      </c>
      <c r="AE113" s="37" t="s">
        <v>140</v>
      </c>
      <c r="AF113" s="37">
        <v>19134</v>
      </c>
      <c r="AG113" s="37" t="s">
        <v>141</v>
      </c>
      <c r="AH113" s="37" t="b">
        <v>1</v>
      </c>
      <c r="AI113" s="76">
        <v>45246</v>
      </c>
      <c r="AJ113" s="77" t="s">
        <v>142</v>
      </c>
      <c r="AK113" s="37" t="s">
        <v>127</v>
      </c>
      <c r="AL113" s="37" t="s">
        <v>127</v>
      </c>
      <c r="AM113" s="37" t="b">
        <v>0</v>
      </c>
      <c r="AN113" s="37" t="s">
        <v>127</v>
      </c>
      <c r="AO113" s="37" t="s">
        <v>127</v>
      </c>
      <c r="AP113" s="37" t="s">
        <v>137</v>
      </c>
      <c r="AQ113" s="37" t="b">
        <v>0</v>
      </c>
      <c r="AR113" s="37" t="s">
        <v>150</v>
      </c>
      <c r="AS113" s="76" t="s">
        <v>137</v>
      </c>
      <c r="AT113" s="37" t="s">
        <v>389</v>
      </c>
      <c r="AU113" s="37" t="s">
        <v>127</v>
      </c>
      <c r="AV113" s="37" t="s">
        <v>137</v>
      </c>
      <c r="AW113" s="37" t="s">
        <v>137</v>
      </c>
      <c r="AX113" s="37" t="s">
        <v>127</v>
      </c>
      <c r="AY113" s="76" t="s">
        <v>127</v>
      </c>
      <c r="AZ113" s="77" t="s">
        <v>127</v>
      </c>
      <c r="BA113" s="37" t="s">
        <v>127</v>
      </c>
      <c r="BB113" s="37" t="s">
        <v>143</v>
      </c>
      <c r="BC113" s="77" t="s">
        <v>127</v>
      </c>
      <c r="BD113" s="76" t="s">
        <v>127</v>
      </c>
      <c r="BE113" s="37" t="s">
        <v>137</v>
      </c>
      <c r="BF113" s="80" t="s">
        <v>127</v>
      </c>
      <c r="BG113" s="39" t="s">
        <v>127</v>
      </c>
      <c r="BH113" s="37" t="s">
        <v>127</v>
      </c>
      <c r="BI113" s="40" t="b">
        <v>1</v>
      </c>
      <c r="BJ113" s="40" t="s">
        <v>137</v>
      </c>
      <c r="BK113" s="37" t="s">
        <v>137</v>
      </c>
      <c r="BL113" s="110">
        <f>137608.072970413-SUM(BL114:BL124)</f>
        <v>112135.00248596519</v>
      </c>
      <c r="BM113" s="110">
        <f>675.045253072-SUM(BM114:BM124)</f>
        <v>171.12159276599999</v>
      </c>
      <c r="BN113" s="110">
        <f>2893.177556165-SUM(BN114:BN124)</f>
        <v>841.84964364500047</v>
      </c>
      <c r="BO113" s="110">
        <f>7056.914551444-SUM(BO114:BO124)</f>
        <v>738.49262051799997</v>
      </c>
      <c r="BP113" s="110">
        <f>5914.099997797-SUM(BP114:BP124)</f>
        <v>1701.6158691639994</v>
      </c>
      <c r="BQ113" s="110">
        <f>12328.766826567-SUM(BQ114:BQ124)</f>
        <v>4335.1748855799997</v>
      </c>
      <c r="BR113" s="110">
        <f>14050.4319577295-SUM(BR114:BR124)</f>
        <v>10558.013142068334</v>
      </c>
      <c r="BS113" s="110">
        <f>18747.1435948332-SUM(BS114:BS124)</f>
        <v>18563.567793542574</v>
      </c>
      <c r="BT113" s="110">
        <f>20510.2493043073-SUM(BT114:BT124)</f>
        <v>20510.249304307301</v>
      </c>
      <c r="BU113" s="110">
        <f>24646.8350715243-SUM(BU114:BU124)</f>
        <v>24646.8350715243</v>
      </c>
      <c r="BV113" s="110">
        <f>29809.423944172-SUM(BV114:BV124)</f>
        <v>29809.423944171998</v>
      </c>
      <c r="BW113" s="111">
        <f>15643.51573-SUM(BW114:BW124)</f>
        <v>5269.7627399999983</v>
      </c>
      <c r="BX113" s="37" t="s">
        <v>127</v>
      </c>
      <c r="BY113" s="37" t="s">
        <v>127</v>
      </c>
      <c r="BZ113" s="37" t="s">
        <v>155</v>
      </c>
      <c r="CA113" s="41">
        <v>186.92</v>
      </c>
      <c r="CB113" s="41">
        <v>123.24136</v>
      </c>
      <c r="CC113" s="41">
        <v>36.31</v>
      </c>
      <c r="CD113" s="41">
        <v>367.63</v>
      </c>
      <c r="CE113" s="41">
        <v>34.200000000000003</v>
      </c>
      <c r="CF113" s="110">
        <f>6141.78963284036-SUM(CF114:CF124)</f>
        <v>1515.1572178133601</v>
      </c>
      <c r="CG113" s="45">
        <v>0</v>
      </c>
      <c r="CH113" s="45" t="s">
        <v>137</v>
      </c>
      <c r="CI113" s="37" t="s">
        <v>127</v>
      </c>
      <c r="CJ113" s="77" t="s">
        <v>127</v>
      </c>
      <c r="CK113" s="98">
        <v>0.18140000000000001</v>
      </c>
      <c r="CL113" s="98">
        <v>0.81859999999999999</v>
      </c>
      <c r="CM113" s="100" t="s">
        <v>715</v>
      </c>
    </row>
    <row r="114" spans="1:91" ht="12.75" customHeight="1" x14ac:dyDescent="0.3">
      <c r="A114" s="37">
        <v>112</v>
      </c>
      <c r="B114" s="37" t="s">
        <v>716</v>
      </c>
      <c r="C114" s="124"/>
      <c r="D114" s="124"/>
      <c r="E114" s="37" t="s">
        <v>258</v>
      </c>
      <c r="F114" s="36" t="s">
        <v>717</v>
      </c>
      <c r="G114" s="81" t="s">
        <v>152</v>
      </c>
      <c r="H114" s="38" t="s">
        <v>227</v>
      </c>
      <c r="I114" s="38" t="s">
        <v>227</v>
      </c>
      <c r="J114" s="38" t="s">
        <v>127</v>
      </c>
      <c r="K114" s="38" t="s">
        <v>132</v>
      </c>
      <c r="L114" s="81" t="s">
        <v>213</v>
      </c>
      <c r="M114" s="38" t="s">
        <v>127</v>
      </c>
      <c r="N114" s="38" t="s">
        <v>127</v>
      </c>
      <c r="O114" s="80">
        <v>44350</v>
      </c>
      <c r="P114" s="37">
        <v>55.5</v>
      </c>
      <c r="Q114" s="37" t="s">
        <v>127</v>
      </c>
      <c r="R114" s="37" t="s">
        <v>127</v>
      </c>
      <c r="S114" s="37" t="s">
        <v>127</v>
      </c>
      <c r="T114" s="37" t="s">
        <v>315</v>
      </c>
      <c r="U114" s="37" t="s">
        <v>718</v>
      </c>
      <c r="V114" s="37" t="b">
        <v>0</v>
      </c>
      <c r="W114" s="37" t="s">
        <v>127</v>
      </c>
      <c r="X114" s="123"/>
      <c r="Y114" s="37">
        <v>7</v>
      </c>
      <c r="Z114" s="37" t="s">
        <v>127</v>
      </c>
      <c r="AA114" s="37" t="s">
        <v>127</v>
      </c>
      <c r="AB114" s="37" t="s">
        <v>127</v>
      </c>
      <c r="AC114" s="78">
        <v>1.2</v>
      </c>
      <c r="AD114" s="78">
        <v>2651877</v>
      </c>
      <c r="AE114" s="37" t="s">
        <v>719</v>
      </c>
      <c r="AF114" s="37">
        <v>19134</v>
      </c>
      <c r="AG114" s="37" t="s">
        <v>127</v>
      </c>
      <c r="AH114" s="37" t="b">
        <v>0</v>
      </c>
      <c r="AI114" s="76" t="s">
        <v>127</v>
      </c>
      <c r="AJ114" s="77" t="s">
        <v>142</v>
      </c>
      <c r="AK114" s="37" t="s">
        <v>127</v>
      </c>
      <c r="AL114" s="37" t="s">
        <v>127</v>
      </c>
      <c r="AM114" s="37" t="b">
        <v>0</v>
      </c>
      <c r="AN114" s="37" t="s">
        <v>127</v>
      </c>
      <c r="AO114" s="37" t="s">
        <v>127</v>
      </c>
      <c r="AP114" s="37" t="s">
        <v>127</v>
      </c>
      <c r="AQ114" s="37" t="b">
        <v>0</v>
      </c>
      <c r="AR114" s="37" t="s">
        <v>127</v>
      </c>
      <c r="AS114" s="37" t="s">
        <v>127</v>
      </c>
      <c r="AT114" s="37" t="s">
        <v>127</v>
      </c>
      <c r="AU114" s="37" t="s">
        <v>127</v>
      </c>
      <c r="AV114" s="37" t="s">
        <v>127</v>
      </c>
      <c r="AW114" s="37" t="s">
        <v>127</v>
      </c>
      <c r="AX114" s="37" t="s">
        <v>161</v>
      </c>
      <c r="AY114" s="37" t="s">
        <v>127</v>
      </c>
      <c r="AZ114" s="37" t="s">
        <v>127</v>
      </c>
      <c r="BA114" s="37" t="s">
        <v>127</v>
      </c>
      <c r="BB114" s="37" t="s">
        <v>143</v>
      </c>
      <c r="BC114" s="77" t="s">
        <v>127</v>
      </c>
      <c r="BD114" s="76" t="s">
        <v>720</v>
      </c>
      <c r="BE114" s="37" t="s">
        <v>127</v>
      </c>
      <c r="BF114" s="86" t="s">
        <v>582</v>
      </c>
      <c r="BG114" s="39" t="s">
        <v>127</v>
      </c>
      <c r="BH114" s="39" t="s">
        <v>127</v>
      </c>
      <c r="BI114" s="40" t="b">
        <v>1</v>
      </c>
      <c r="BJ114" s="40" t="s">
        <v>137</v>
      </c>
      <c r="BK114" s="37" t="s">
        <v>127</v>
      </c>
      <c r="BL114" s="41">
        <v>1463.9285300000015</v>
      </c>
      <c r="BM114" s="41">
        <v>64.81456</v>
      </c>
      <c r="BN114" s="41">
        <v>259.77200999999997</v>
      </c>
      <c r="BO114" s="41">
        <v>74.185500000000033</v>
      </c>
      <c r="BP114" s="41">
        <v>227.21432000000001</v>
      </c>
      <c r="BQ114" s="41">
        <v>830.68369000000007</v>
      </c>
      <c r="BR114" s="41">
        <v>7.2584500000000007</v>
      </c>
      <c r="BS114" s="41">
        <v>0</v>
      </c>
      <c r="BT114" s="41">
        <v>0</v>
      </c>
      <c r="BU114" s="41">
        <v>0</v>
      </c>
      <c r="BV114" s="41">
        <v>0</v>
      </c>
      <c r="BW114" s="49">
        <v>0</v>
      </c>
      <c r="BX114" s="37" t="s">
        <v>127</v>
      </c>
      <c r="BY114" s="37" t="s">
        <v>127</v>
      </c>
      <c r="BZ114" s="37" t="s">
        <v>198</v>
      </c>
      <c r="CA114" s="41">
        <v>0</v>
      </c>
      <c r="CB114" s="41">
        <v>0</v>
      </c>
      <c r="CC114" s="41">
        <v>0</v>
      </c>
      <c r="CD114" s="41">
        <v>1339.12</v>
      </c>
      <c r="CE114" s="41">
        <v>15.07</v>
      </c>
      <c r="CF114" s="41">
        <v>7.2668100000000022</v>
      </c>
      <c r="CG114" s="45">
        <v>0</v>
      </c>
      <c r="CH114" s="45" t="s">
        <v>127</v>
      </c>
      <c r="CI114" s="37" t="s">
        <v>127</v>
      </c>
      <c r="CJ114" s="77" t="s">
        <v>127</v>
      </c>
      <c r="CK114" s="98">
        <v>0.18140000000000001</v>
      </c>
      <c r="CL114" s="98">
        <v>0.81859999999999999</v>
      </c>
      <c r="CM114" s="99" t="s">
        <v>721</v>
      </c>
    </row>
    <row r="115" spans="1:91" ht="12.75" customHeight="1" x14ac:dyDescent="0.3">
      <c r="A115" s="37">
        <v>113</v>
      </c>
      <c r="B115" s="37" t="s">
        <v>722</v>
      </c>
      <c r="C115" s="124"/>
      <c r="D115" s="124"/>
      <c r="E115" s="37" t="s">
        <v>258</v>
      </c>
      <c r="F115" s="36" t="s">
        <v>723</v>
      </c>
      <c r="G115" s="81" t="s">
        <v>152</v>
      </c>
      <c r="H115" s="38" t="s">
        <v>227</v>
      </c>
      <c r="I115" s="38" t="s">
        <v>227</v>
      </c>
      <c r="J115" s="38" t="s">
        <v>127</v>
      </c>
      <c r="K115" s="38" t="s">
        <v>132</v>
      </c>
      <c r="L115" s="81" t="s">
        <v>213</v>
      </c>
      <c r="M115" s="38" t="s">
        <v>127</v>
      </c>
      <c r="N115" s="38" t="s">
        <v>127</v>
      </c>
      <c r="O115" s="80">
        <v>45405</v>
      </c>
      <c r="P115" s="37" t="s">
        <v>135</v>
      </c>
      <c r="Q115" s="37" t="s">
        <v>127</v>
      </c>
      <c r="R115" s="37" t="s">
        <v>127</v>
      </c>
      <c r="S115" s="37" t="s">
        <v>127</v>
      </c>
      <c r="T115" s="37" t="s">
        <v>315</v>
      </c>
      <c r="U115" s="37" t="s">
        <v>718</v>
      </c>
      <c r="V115" s="37" t="b">
        <v>0</v>
      </c>
      <c r="W115" s="37" t="s">
        <v>127</v>
      </c>
      <c r="X115" s="123"/>
      <c r="Y115" s="37">
        <v>4.3</v>
      </c>
      <c r="Z115" s="37" t="s">
        <v>127</v>
      </c>
      <c r="AA115" s="37" t="s">
        <v>127</v>
      </c>
      <c r="AB115" s="37" t="s">
        <v>127</v>
      </c>
      <c r="AC115" s="78">
        <v>1.2</v>
      </c>
      <c r="AD115" s="78">
        <v>2652444</v>
      </c>
      <c r="AE115" s="37" t="s">
        <v>724</v>
      </c>
      <c r="AF115" s="37">
        <v>19134</v>
      </c>
      <c r="AG115" s="37" t="s">
        <v>127</v>
      </c>
      <c r="AH115" s="37" t="b">
        <v>0</v>
      </c>
      <c r="AI115" s="76" t="s">
        <v>127</v>
      </c>
      <c r="AJ115" s="77" t="s">
        <v>142</v>
      </c>
      <c r="AK115" s="37" t="s">
        <v>127</v>
      </c>
      <c r="AL115" s="37" t="s">
        <v>127</v>
      </c>
      <c r="AM115" s="37" t="b">
        <v>0</v>
      </c>
      <c r="AN115" s="37" t="s">
        <v>127</v>
      </c>
      <c r="AO115" s="37" t="s">
        <v>127</v>
      </c>
      <c r="AP115" s="37" t="s">
        <v>127</v>
      </c>
      <c r="AQ115" s="37" t="b">
        <v>0</v>
      </c>
      <c r="AR115" s="37" t="s">
        <v>127</v>
      </c>
      <c r="AS115" s="37" t="s">
        <v>127</v>
      </c>
      <c r="AT115" s="37" t="s">
        <v>127</v>
      </c>
      <c r="AU115" s="37" t="s">
        <v>127</v>
      </c>
      <c r="AV115" s="37" t="s">
        <v>127</v>
      </c>
      <c r="AW115" s="37" t="s">
        <v>127</v>
      </c>
      <c r="AX115" s="37" t="s">
        <v>161</v>
      </c>
      <c r="AY115" s="37" t="s">
        <v>127</v>
      </c>
      <c r="AZ115" s="37" t="s">
        <v>127</v>
      </c>
      <c r="BA115" s="37" t="s">
        <v>127</v>
      </c>
      <c r="BB115" s="37" t="s">
        <v>143</v>
      </c>
      <c r="BC115" s="77" t="s">
        <v>127</v>
      </c>
      <c r="BD115" s="76" t="s">
        <v>725</v>
      </c>
      <c r="BE115" s="37" t="s">
        <v>127</v>
      </c>
      <c r="BF115" s="86" t="s">
        <v>726</v>
      </c>
      <c r="BG115" s="39" t="s">
        <v>127</v>
      </c>
      <c r="BH115" s="39" t="s">
        <v>127</v>
      </c>
      <c r="BI115" s="40" t="b">
        <v>1</v>
      </c>
      <c r="BJ115" s="40" t="s">
        <v>137</v>
      </c>
      <c r="BK115" s="37" t="s">
        <v>127</v>
      </c>
      <c r="BL115" s="41">
        <v>1347.1457941150011</v>
      </c>
      <c r="BM115" s="41">
        <v>0</v>
      </c>
      <c r="BN115" s="41">
        <v>69.942345764999999</v>
      </c>
      <c r="BO115" s="41">
        <v>132.36471924100002</v>
      </c>
      <c r="BP115" s="41">
        <v>444.80317543300004</v>
      </c>
      <c r="BQ115" s="41">
        <v>683.82276743699992</v>
      </c>
      <c r="BR115" s="41">
        <v>16.212786239000003</v>
      </c>
      <c r="BS115" s="41">
        <v>0</v>
      </c>
      <c r="BT115" s="41">
        <v>0</v>
      </c>
      <c r="BU115" s="41">
        <v>0</v>
      </c>
      <c r="BV115" s="41">
        <v>0</v>
      </c>
      <c r="BW115" s="49">
        <v>0</v>
      </c>
      <c r="BX115" s="37" t="s">
        <v>127</v>
      </c>
      <c r="BY115" s="37" t="s">
        <v>127</v>
      </c>
      <c r="BZ115" s="37" t="s">
        <v>198</v>
      </c>
      <c r="CA115" s="41">
        <v>0</v>
      </c>
      <c r="CB115" s="41">
        <v>0</v>
      </c>
      <c r="CC115" s="41">
        <v>0</v>
      </c>
      <c r="CD115" s="41">
        <v>712.64</v>
      </c>
      <c r="CE115" s="41">
        <v>7.89</v>
      </c>
      <c r="CF115" s="41">
        <v>16.441026238999999</v>
      </c>
      <c r="CG115" s="45">
        <v>0</v>
      </c>
      <c r="CH115" s="45" t="s">
        <v>127</v>
      </c>
      <c r="CI115" s="37" t="s">
        <v>127</v>
      </c>
      <c r="CJ115" s="77" t="s">
        <v>127</v>
      </c>
      <c r="CK115" s="98">
        <v>0.18140000000000001</v>
      </c>
      <c r="CL115" s="98">
        <v>0.81859999999999999</v>
      </c>
      <c r="CM115" s="99" t="s">
        <v>422</v>
      </c>
    </row>
    <row r="116" spans="1:91" ht="12.75" customHeight="1" x14ac:dyDescent="0.3">
      <c r="A116" s="37">
        <v>114</v>
      </c>
      <c r="B116" s="37" t="s">
        <v>727</v>
      </c>
      <c r="C116" s="124"/>
      <c r="D116" s="124"/>
      <c r="E116" s="37" t="s">
        <v>377</v>
      </c>
      <c r="F116" s="36" t="s">
        <v>728</v>
      </c>
      <c r="G116" s="81" t="s">
        <v>152</v>
      </c>
      <c r="H116" s="38" t="s">
        <v>227</v>
      </c>
      <c r="I116" s="38" t="s">
        <v>227</v>
      </c>
      <c r="J116" s="38" t="s">
        <v>127</v>
      </c>
      <c r="K116" s="38" t="s">
        <v>132</v>
      </c>
      <c r="L116" s="81" t="s">
        <v>213</v>
      </c>
      <c r="M116" s="38" t="s">
        <v>127</v>
      </c>
      <c r="N116" s="38" t="s">
        <v>127</v>
      </c>
      <c r="O116" s="80">
        <v>45405</v>
      </c>
      <c r="P116" s="37" t="s">
        <v>135</v>
      </c>
      <c r="Q116" s="37" t="s">
        <v>127</v>
      </c>
      <c r="R116" s="37" t="s">
        <v>127</v>
      </c>
      <c r="S116" s="37" t="s">
        <v>127</v>
      </c>
      <c r="T116" s="37" t="s">
        <v>315</v>
      </c>
      <c r="U116" s="37" t="s">
        <v>718</v>
      </c>
      <c r="V116" s="37" t="b">
        <v>0</v>
      </c>
      <c r="W116" s="37" t="s">
        <v>127</v>
      </c>
      <c r="X116" s="123"/>
      <c r="Y116" s="37">
        <v>3.8</v>
      </c>
      <c r="Z116" s="37" t="s">
        <v>127</v>
      </c>
      <c r="AA116" s="37" t="s">
        <v>127</v>
      </c>
      <c r="AB116" s="37" t="s">
        <v>127</v>
      </c>
      <c r="AC116" s="78">
        <v>1.2</v>
      </c>
      <c r="AD116" s="78">
        <v>2652526</v>
      </c>
      <c r="AE116" s="37" t="s">
        <v>729</v>
      </c>
      <c r="AF116" s="37">
        <v>19134</v>
      </c>
      <c r="AG116" s="37" t="s">
        <v>127</v>
      </c>
      <c r="AH116" s="37" t="b">
        <v>0</v>
      </c>
      <c r="AI116" s="76" t="s">
        <v>127</v>
      </c>
      <c r="AJ116" s="77" t="s">
        <v>142</v>
      </c>
      <c r="AK116" s="37" t="s">
        <v>127</v>
      </c>
      <c r="AL116" s="37" t="s">
        <v>127</v>
      </c>
      <c r="AM116" s="37" t="b">
        <v>0</v>
      </c>
      <c r="AN116" s="37" t="s">
        <v>127</v>
      </c>
      <c r="AO116" s="37" t="s">
        <v>127</v>
      </c>
      <c r="AP116" s="37" t="s">
        <v>127</v>
      </c>
      <c r="AQ116" s="37" t="b">
        <v>0</v>
      </c>
      <c r="AR116" s="37" t="s">
        <v>127</v>
      </c>
      <c r="AS116" s="37" t="s">
        <v>127</v>
      </c>
      <c r="AT116" s="37" t="s">
        <v>127</v>
      </c>
      <c r="AU116" s="37" t="s">
        <v>127</v>
      </c>
      <c r="AV116" s="37" t="s">
        <v>127</v>
      </c>
      <c r="AW116" s="37" t="s">
        <v>127</v>
      </c>
      <c r="AX116" s="37" t="s">
        <v>161</v>
      </c>
      <c r="AY116" s="37" t="s">
        <v>127</v>
      </c>
      <c r="AZ116" s="37" t="s">
        <v>127</v>
      </c>
      <c r="BA116" s="37" t="s">
        <v>127</v>
      </c>
      <c r="BB116" s="37" t="s">
        <v>143</v>
      </c>
      <c r="BC116" s="77" t="s">
        <v>127</v>
      </c>
      <c r="BD116" s="76" t="s">
        <v>730</v>
      </c>
      <c r="BE116" s="37" t="s">
        <v>127</v>
      </c>
      <c r="BF116" s="86" t="s">
        <v>731</v>
      </c>
      <c r="BG116" s="39" t="s">
        <v>127</v>
      </c>
      <c r="BH116" s="39" t="s">
        <v>127</v>
      </c>
      <c r="BI116" s="40" t="b">
        <v>1</v>
      </c>
      <c r="BJ116" s="40" t="s">
        <v>137</v>
      </c>
      <c r="BK116" s="37" t="s">
        <v>127</v>
      </c>
      <c r="BL116" s="41">
        <v>1143.5749299179997</v>
      </c>
      <c r="BM116" s="41">
        <v>0</v>
      </c>
      <c r="BN116" s="41">
        <v>35.845889199999995</v>
      </c>
      <c r="BO116" s="41">
        <v>155.86180622100002</v>
      </c>
      <c r="BP116" s="41">
        <v>278.37223260299993</v>
      </c>
      <c r="BQ116" s="41">
        <v>635.84118877399987</v>
      </c>
      <c r="BR116" s="41">
        <v>37.653813119999974</v>
      </c>
      <c r="BS116" s="41">
        <v>0</v>
      </c>
      <c r="BT116" s="41">
        <v>0</v>
      </c>
      <c r="BU116" s="41">
        <v>0</v>
      </c>
      <c r="BV116" s="41">
        <v>0</v>
      </c>
      <c r="BW116" s="49">
        <v>0</v>
      </c>
      <c r="BX116" s="37" t="s">
        <v>127</v>
      </c>
      <c r="BY116" s="37" t="s">
        <v>127</v>
      </c>
      <c r="BZ116" s="37" t="s">
        <v>173</v>
      </c>
      <c r="CA116" s="41">
        <v>0</v>
      </c>
      <c r="CB116" s="41">
        <v>0</v>
      </c>
      <c r="CC116" s="41">
        <v>0</v>
      </c>
      <c r="CD116" s="41">
        <v>0</v>
      </c>
      <c r="CE116" s="41">
        <v>602.24</v>
      </c>
      <c r="CF116" s="41">
        <v>1115.3964299179997</v>
      </c>
      <c r="CG116" s="45">
        <v>0</v>
      </c>
      <c r="CH116" s="45" t="s">
        <v>127</v>
      </c>
      <c r="CI116" s="37" t="s">
        <v>127</v>
      </c>
      <c r="CJ116" s="77" t="s">
        <v>127</v>
      </c>
      <c r="CK116" s="98">
        <v>0.18140000000000001</v>
      </c>
      <c r="CL116" s="98">
        <v>0.81859999999999999</v>
      </c>
      <c r="CM116" s="100" t="s">
        <v>409</v>
      </c>
    </row>
    <row r="117" spans="1:91" ht="12.75" customHeight="1" x14ac:dyDescent="0.3">
      <c r="A117" s="37">
        <v>115</v>
      </c>
      <c r="B117" s="37" t="s">
        <v>732</v>
      </c>
      <c r="C117" s="124"/>
      <c r="D117" s="124"/>
      <c r="E117" s="37" t="s">
        <v>733</v>
      </c>
      <c r="F117" s="36" t="s">
        <v>734</v>
      </c>
      <c r="G117" s="81" t="s">
        <v>152</v>
      </c>
      <c r="H117" s="38" t="s">
        <v>227</v>
      </c>
      <c r="I117" s="38" t="s">
        <v>227</v>
      </c>
      <c r="J117" s="38" t="s">
        <v>127</v>
      </c>
      <c r="K117" s="38" t="s">
        <v>132</v>
      </c>
      <c r="L117" s="81" t="s">
        <v>213</v>
      </c>
      <c r="M117" s="38" t="s">
        <v>127</v>
      </c>
      <c r="N117" s="38" t="s">
        <v>127</v>
      </c>
      <c r="O117" s="76">
        <v>44454</v>
      </c>
      <c r="P117" s="37">
        <v>63</v>
      </c>
      <c r="Q117" s="37" t="s">
        <v>127</v>
      </c>
      <c r="R117" s="37" t="s">
        <v>127</v>
      </c>
      <c r="S117" s="37" t="s">
        <v>127</v>
      </c>
      <c r="T117" s="37" t="s">
        <v>315</v>
      </c>
      <c r="U117" s="37" t="s">
        <v>718</v>
      </c>
      <c r="V117" s="37" t="b">
        <v>0</v>
      </c>
      <c r="W117" s="37" t="s">
        <v>127</v>
      </c>
      <c r="X117" s="123"/>
      <c r="Y117" s="37">
        <v>39.57</v>
      </c>
      <c r="Z117" s="37" t="s">
        <v>127</v>
      </c>
      <c r="AA117" s="37" t="s">
        <v>127</v>
      </c>
      <c r="AB117" s="37" t="s">
        <v>127</v>
      </c>
      <c r="AC117" s="78">
        <v>1.2</v>
      </c>
      <c r="AD117" s="78">
        <v>2902940</v>
      </c>
      <c r="AE117" s="37" t="s">
        <v>735</v>
      </c>
      <c r="AF117" s="37">
        <v>19134</v>
      </c>
      <c r="AG117" s="37" t="s">
        <v>127</v>
      </c>
      <c r="AH117" s="37" t="b">
        <v>0</v>
      </c>
      <c r="AI117" s="76" t="s">
        <v>127</v>
      </c>
      <c r="AJ117" s="77" t="s">
        <v>142</v>
      </c>
      <c r="AK117" s="37" t="s">
        <v>127</v>
      </c>
      <c r="AL117" s="37" t="s">
        <v>127</v>
      </c>
      <c r="AM117" s="37" t="b">
        <v>0</v>
      </c>
      <c r="AN117" s="37" t="s">
        <v>127</v>
      </c>
      <c r="AO117" s="37" t="s">
        <v>127</v>
      </c>
      <c r="AP117" s="37" t="s">
        <v>127</v>
      </c>
      <c r="AQ117" s="37" t="b">
        <v>0</v>
      </c>
      <c r="AR117" s="37" t="s">
        <v>127</v>
      </c>
      <c r="AS117" s="37" t="s">
        <v>127</v>
      </c>
      <c r="AT117" s="37" t="s">
        <v>127</v>
      </c>
      <c r="AU117" s="37" t="s">
        <v>127</v>
      </c>
      <c r="AV117" s="37" t="s">
        <v>127</v>
      </c>
      <c r="AW117" s="37" t="s">
        <v>127</v>
      </c>
      <c r="AX117" s="37" t="s">
        <v>161</v>
      </c>
      <c r="AY117" s="37" t="s">
        <v>127</v>
      </c>
      <c r="AZ117" s="37" t="s">
        <v>127</v>
      </c>
      <c r="BA117" s="37" t="s">
        <v>127</v>
      </c>
      <c r="BB117" s="37" t="s">
        <v>460</v>
      </c>
      <c r="BC117" s="77" t="s">
        <v>127</v>
      </c>
      <c r="BD117" s="76" t="s">
        <v>736</v>
      </c>
      <c r="BE117" s="37" t="s">
        <v>127</v>
      </c>
      <c r="BF117" s="86" t="s">
        <v>737</v>
      </c>
      <c r="BG117" s="39" t="s">
        <v>127</v>
      </c>
      <c r="BH117" s="39" t="s">
        <v>127</v>
      </c>
      <c r="BI117" s="40" t="b">
        <v>0</v>
      </c>
      <c r="BJ117" s="40" t="s">
        <v>137</v>
      </c>
      <c r="BK117" s="37" t="s">
        <v>127</v>
      </c>
      <c r="BL117" s="41">
        <v>1250.7396899079063</v>
      </c>
      <c r="BM117" s="41">
        <v>6.9737031280000013</v>
      </c>
      <c r="BN117" s="41">
        <v>3.6165447550000001</v>
      </c>
      <c r="BO117" s="41">
        <v>134.68707475900001</v>
      </c>
      <c r="BP117" s="41">
        <v>340.28474400300001</v>
      </c>
      <c r="BQ117" s="41">
        <v>378.61090932299987</v>
      </c>
      <c r="BR117" s="41">
        <v>146.74032327052211</v>
      </c>
      <c r="BS117" s="41">
        <v>8.3767642533837563</v>
      </c>
      <c r="BT117" s="41">
        <v>0</v>
      </c>
      <c r="BU117" s="41">
        <v>0</v>
      </c>
      <c r="BV117" s="41">
        <v>0</v>
      </c>
      <c r="BW117" s="49">
        <v>1168.48542</v>
      </c>
      <c r="BX117" s="37" t="s">
        <v>127</v>
      </c>
      <c r="BY117" s="37" t="s">
        <v>127</v>
      </c>
      <c r="BZ117" s="37" t="s">
        <v>127</v>
      </c>
      <c r="CA117" s="41">
        <v>0</v>
      </c>
      <c r="CB117" s="41">
        <v>0</v>
      </c>
      <c r="CC117" s="41">
        <v>0</v>
      </c>
      <c r="CD117" s="41">
        <v>0</v>
      </c>
      <c r="CE117" s="41">
        <v>0</v>
      </c>
      <c r="CF117" s="41">
        <v>0</v>
      </c>
      <c r="CG117" s="45">
        <v>0</v>
      </c>
      <c r="CH117" s="45" t="s">
        <v>127</v>
      </c>
      <c r="CI117" s="37" t="s">
        <v>127</v>
      </c>
      <c r="CJ117" s="77" t="s">
        <v>127</v>
      </c>
      <c r="CK117" s="98">
        <v>0.18140000000000001</v>
      </c>
      <c r="CL117" s="98">
        <v>0.81859999999999999</v>
      </c>
      <c r="CM117" s="100" t="s">
        <v>409</v>
      </c>
    </row>
    <row r="118" spans="1:91" ht="12.75" customHeight="1" x14ac:dyDescent="0.3">
      <c r="A118" s="37">
        <v>116</v>
      </c>
      <c r="B118" s="37" t="s">
        <v>738</v>
      </c>
      <c r="C118" s="124"/>
      <c r="D118" s="124"/>
      <c r="E118" s="37" t="s">
        <v>739</v>
      </c>
      <c r="F118" s="36" t="s">
        <v>740</v>
      </c>
      <c r="G118" s="81" t="s">
        <v>152</v>
      </c>
      <c r="H118" s="38" t="s">
        <v>227</v>
      </c>
      <c r="I118" s="38" t="s">
        <v>227</v>
      </c>
      <c r="J118" s="38" t="s">
        <v>127</v>
      </c>
      <c r="K118" s="38" t="s">
        <v>132</v>
      </c>
      <c r="L118" s="81" t="s">
        <v>213</v>
      </c>
      <c r="M118" s="38" t="s">
        <v>127</v>
      </c>
      <c r="N118" s="38" t="s">
        <v>127</v>
      </c>
      <c r="O118" s="80">
        <v>45017</v>
      </c>
      <c r="P118" s="37">
        <v>51</v>
      </c>
      <c r="Q118" s="37" t="s">
        <v>127</v>
      </c>
      <c r="R118" s="37" t="s">
        <v>127</v>
      </c>
      <c r="S118" s="37" t="s">
        <v>127</v>
      </c>
      <c r="T118" s="37" t="s">
        <v>315</v>
      </c>
      <c r="U118" s="37" t="s">
        <v>718</v>
      </c>
      <c r="V118" s="37" t="b">
        <v>0</v>
      </c>
      <c r="W118" s="37" t="s">
        <v>127</v>
      </c>
      <c r="X118" s="123"/>
      <c r="Y118" s="37">
        <v>1.88</v>
      </c>
      <c r="Z118" s="37" t="s">
        <v>127</v>
      </c>
      <c r="AA118" s="37" t="s">
        <v>127</v>
      </c>
      <c r="AB118" s="37" t="s">
        <v>127</v>
      </c>
      <c r="AC118" s="78">
        <v>1.2</v>
      </c>
      <c r="AD118" s="78">
        <v>2902990</v>
      </c>
      <c r="AE118" s="37" t="s">
        <v>741</v>
      </c>
      <c r="AF118" s="37">
        <v>19134</v>
      </c>
      <c r="AG118" s="37" t="s">
        <v>127</v>
      </c>
      <c r="AH118" s="37" t="b">
        <v>0</v>
      </c>
      <c r="AI118" s="76" t="s">
        <v>127</v>
      </c>
      <c r="AJ118" s="77" t="s">
        <v>142</v>
      </c>
      <c r="AK118" s="37" t="s">
        <v>127</v>
      </c>
      <c r="AL118" s="37" t="s">
        <v>127</v>
      </c>
      <c r="AM118" s="37" t="b">
        <v>0</v>
      </c>
      <c r="AN118" s="37" t="s">
        <v>127</v>
      </c>
      <c r="AO118" s="37" t="s">
        <v>127</v>
      </c>
      <c r="AP118" s="37" t="s">
        <v>127</v>
      </c>
      <c r="AQ118" s="37" t="b">
        <v>0</v>
      </c>
      <c r="AR118" s="37" t="s">
        <v>127</v>
      </c>
      <c r="AS118" s="37" t="s">
        <v>127</v>
      </c>
      <c r="AT118" s="37" t="s">
        <v>127</v>
      </c>
      <c r="AU118" s="37" t="s">
        <v>127</v>
      </c>
      <c r="AV118" s="37" t="s">
        <v>127</v>
      </c>
      <c r="AW118" s="37" t="s">
        <v>127</v>
      </c>
      <c r="AX118" s="37" t="s">
        <v>161</v>
      </c>
      <c r="AY118" s="37" t="s">
        <v>127</v>
      </c>
      <c r="AZ118" s="37" t="s">
        <v>127</v>
      </c>
      <c r="BA118" s="37" t="s">
        <v>127</v>
      </c>
      <c r="BB118" s="37" t="s">
        <v>460</v>
      </c>
      <c r="BC118" s="77" t="s">
        <v>127</v>
      </c>
      <c r="BD118" s="76" t="s">
        <v>742</v>
      </c>
      <c r="BE118" s="37" t="s">
        <v>127</v>
      </c>
      <c r="BF118" s="86" t="s">
        <v>743</v>
      </c>
      <c r="BG118" s="39" t="s">
        <v>127</v>
      </c>
      <c r="BH118" s="39" t="s">
        <v>127</v>
      </c>
      <c r="BI118" s="40" t="b">
        <v>1</v>
      </c>
      <c r="BJ118" s="40" t="s">
        <v>137</v>
      </c>
      <c r="BK118" s="37" t="s">
        <v>127</v>
      </c>
      <c r="BL118" s="41">
        <v>1025.6975270979999</v>
      </c>
      <c r="BM118" s="41">
        <v>5.0340653800000004</v>
      </c>
      <c r="BN118" s="41">
        <v>60.146571444999999</v>
      </c>
      <c r="BO118" s="41">
        <v>48.081679964999992</v>
      </c>
      <c r="BP118" s="41">
        <v>156.47733856500003</v>
      </c>
      <c r="BQ118" s="41">
        <v>699.33882277799978</v>
      </c>
      <c r="BR118" s="41">
        <v>65.936446994999997</v>
      </c>
      <c r="BS118" s="41">
        <v>0</v>
      </c>
      <c r="BT118" s="41">
        <v>0</v>
      </c>
      <c r="BU118" s="41">
        <v>0</v>
      </c>
      <c r="BV118" s="41">
        <v>0</v>
      </c>
      <c r="BW118" s="49">
        <v>0</v>
      </c>
      <c r="BX118" s="37" t="s">
        <v>127</v>
      </c>
      <c r="BY118" s="37" t="s">
        <v>127</v>
      </c>
      <c r="BZ118" s="37" t="s">
        <v>660</v>
      </c>
      <c r="CA118" s="41">
        <v>59.783520000000003</v>
      </c>
      <c r="CB118" s="41">
        <v>0</v>
      </c>
      <c r="CC118" s="41">
        <v>115.7</v>
      </c>
      <c r="CD118" s="41">
        <v>662.12</v>
      </c>
      <c r="CE118" s="41">
        <v>74.760000000000005</v>
      </c>
      <c r="CF118" s="41">
        <v>65.936446994999997</v>
      </c>
      <c r="CG118" s="45">
        <v>0</v>
      </c>
      <c r="CH118" s="45" t="s">
        <v>127</v>
      </c>
      <c r="CI118" s="37" t="s">
        <v>127</v>
      </c>
      <c r="CJ118" s="77" t="s">
        <v>127</v>
      </c>
      <c r="CK118" s="98">
        <v>0.18140000000000001</v>
      </c>
      <c r="CL118" s="98">
        <v>0.81859999999999999</v>
      </c>
      <c r="CM118" s="100" t="s">
        <v>409</v>
      </c>
    </row>
    <row r="119" spans="1:91" ht="12.75" customHeight="1" x14ac:dyDescent="0.3">
      <c r="A119" s="37">
        <v>117</v>
      </c>
      <c r="B119" s="37" t="s">
        <v>744</v>
      </c>
      <c r="C119" s="124"/>
      <c r="D119" s="124"/>
      <c r="E119" s="37" t="s">
        <v>246</v>
      </c>
      <c r="F119" s="36" t="s">
        <v>745</v>
      </c>
      <c r="G119" s="81" t="s">
        <v>152</v>
      </c>
      <c r="H119" s="38" t="s">
        <v>227</v>
      </c>
      <c r="I119" s="38" t="s">
        <v>227</v>
      </c>
      <c r="J119" s="38" t="s">
        <v>127</v>
      </c>
      <c r="K119" s="38" t="s">
        <v>132</v>
      </c>
      <c r="L119" s="81" t="s">
        <v>213</v>
      </c>
      <c r="M119" s="38" t="s">
        <v>127</v>
      </c>
      <c r="N119" s="38" t="s">
        <v>127</v>
      </c>
      <c r="O119" s="80">
        <v>45268</v>
      </c>
      <c r="P119" s="37" t="s">
        <v>127</v>
      </c>
      <c r="Q119" s="37" t="s">
        <v>127</v>
      </c>
      <c r="R119" s="37" t="s">
        <v>127</v>
      </c>
      <c r="S119" s="37" t="s">
        <v>127</v>
      </c>
      <c r="T119" s="37" t="s">
        <v>315</v>
      </c>
      <c r="U119" s="37" t="s">
        <v>718</v>
      </c>
      <c r="V119" s="37" t="b">
        <v>0</v>
      </c>
      <c r="W119" s="37" t="s">
        <v>127</v>
      </c>
      <c r="X119" s="123"/>
      <c r="Y119" s="37">
        <v>7.97</v>
      </c>
      <c r="Z119" s="37" t="s">
        <v>127</v>
      </c>
      <c r="AA119" s="37" t="s">
        <v>127</v>
      </c>
      <c r="AB119" s="37" t="s">
        <v>127</v>
      </c>
      <c r="AC119" s="78">
        <v>1.2</v>
      </c>
      <c r="AD119" s="78">
        <v>2988520</v>
      </c>
      <c r="AE119" s="37" t="s">
        <v>746</v>
      </c>
      <c r="AF119" s="37">
        <v>19134</v>
      </c>
      <c r="AG119" s="37" t="s">
        <v>127</v>
      </c>
      <c r="AH119" s="37" t="b">
        <v>0</v>
      </c>
      <c r="AI119" s="76" t="s">
        <v>127</v>
      </c>
      <c r="AJ119" s="77" t="s">
        <v>142</v>
      </c>
      <c r="AK119" s="37" t="s">
        <v>127</v>
      </c>
      <c r="AL119" s="37" t="s">
        <v>127</v>
      </c>
      <c r="AM119" s="37" t="b">
        <v>0</v>
      </c>
      <c r="AN119" s="37" t="s">
        <v>127</v>
      </c>
      <c r="AO119" s="37" t="s">
        <v>127</v>
      </c>
      <c r="AP119" s="37" t="s">
        <v>127</v>
      </c>
      <c r="AQ119" s="37" t="b">
        <v>0</v>
      </c>
      <c r="AR119" s="37" t="s">
        <v>127</v>
      </c>
      <c r="AS119" s="37" t="s">
        <v>127</v>
      </c>
      <c r="AT119" s="37" t="s">
        <v>127</v>
      </c>
      <c r="AU119" s="37" t="s">
        <v>127</v>
      </c>
      <c r="AV119" s="37" t="s">
        <v>127</v>
      </c>
      <c r="AW119" s="37" t="s">
        <v>127</v>
      </c>
      <c r="AX119" s="37" t="s">
        <v>161</v>
      </c>
      <c r="AY119" s="37" t="s">
        <v>127</v>
      </c>
      <c r="AZ119" s="37" t="s">
        <v>127</v>
      </c>
      <c r="BA119" s="37" t="s">
        <v>127</v>
      </c>
      <c r="BB119" s="37" t="s">
        <v>460</v>
      </c>
      <c r="BC119" s="77" t="s">
        <v>127</v>
      </c>
      <c r="BD119" s="76" t="s">
        <v>747</v>
      </c>
      <c r="BE119" s="37" t="s">
        <v>127</v>
      </c>
      <c r="BF119" s="86" t="s">
        <v>748</v>
      </c>
      <c r="BG119" s="39" t="s">
        <v>127</v>
      </c>
      <c r="BH119" s="39" t="s">
        <v>127</v>
      </c>
      <c r="BI119" s="40" t="b">
        <v>0</v>
      </c>
      <c r="BJ119" s="40" t="s">
        <v>137</v>
      </c>
      <c r="BK119" s="37" t="s">
        <v>127</v>
      </c>
      <c r="BL119" s="41">
        <v>4173.2906293101587</v>
      </c>
      <c r="BM119" s="41">
        <v>216.84799361599997</v>
      </c>
      <c r="BN119" s="41">
        <v>122.48224631000001</v>
      </c>
      <c r="BO119" s="41">
        <v>309.07165986500002</v>
      </c>
      <c r="BP119" s="41">
        <v>676.08520813300004</v>
      </c>
      <c r="BQ119" s="41">
        <v>1731.2527561680001</v>
      </c>
      <c r="BR119" s="41">
        <v>871.68446033616419</v>
      </c>
      <c r="BS119" s="41">
        <v>161.34547157599383</v>
      </c>
      <c r="BT119" s="41">
        <v>0</v>
      </c>
      <c r="BU119" s="41">
        <v>0</v>
      </c>
      <c r="BV119" s="41">
        <v>0</v>
      </c>
      <c r="BW119" s="49">
        <v>3601.1829200000002</v>
      </c>
      <c r="BX119" s="37" t="s">
        <v>127</v>
      </c>
      <c r="BY119" s="37" t="s">
        <v>127</v>
      </c>
      <c r="BZ119" s="37" t="s">
        <v>127</v>
      </c>
      <c r="CA119" s="41">
        <v>0</v>
      </c>
      <c r="CB119" s="41">
        <v>0</v>
      </c>
      <c r="CC119" s="41">
        <v>0</v>
      </c>
      <c r="CD119" s="41">
        <v>0</v>
      </c>
      <c r="CE119" s="41">
        <v>0</v>
      </c>
      <c r="CF119" s="41">
        <v>0</v>
      </c>
      <c r="CG119" s="45">
        <v>0</v>
      </c>
      <c r="CH119" s="45" t="s">
        <v>127</v>
      </c>
      <c r="CI119" s="37" t="s">
        <v>127</v>
      </c>
      <c r="CJ119" s="77" t="s">
        <v>127</v>
      </c>
      <c r="CK119" s="98">
        <v>0.18140000000000001</v>
      </c>
      <c r="CL119" s="98">
        <v>0.81859999999999999</v>
      </c>
      <c r="CM119" s="100" t="s">
        <v>409</v>
      </c>
    </row>
    <row r="120" spans="1:91" ht="12.75" customHeight="1" x14ac:dyDescent="0.3">
      <c r="A120" s="37">
        <v>118</v>
      </c>
      <c r="B120" s="37" t="s">
        <v>749</v>
      </c>
      <c r="C120" s="124"/>
      <c r="D120" s="124"/>
      <c r="E120" s="37" t="s">
        <v>258</v>
      </c>
      <c r="F120" s="36" t="s">
        <v>750</v>
      </c>
      <c r="G120" s="81" t="s">
        <v>152</v>
      </c>
      <c r="H120" s="38" t="s">
        <v>227</v>
      </c>
      <c r="I120" s="38" t="s">
        <v>227</v>
      </c>
      <c r="J120" s="38" t="s">
        <v>127</v>
      </c>
      <c r="K120" s="38" t="s">
        <v>132</v>
      </c>
      <c r="L120" s="81" t="s">
        <v>213</v>
      </c>
      <c r="M120" s="38" t="s">
        <v>127</v>
      </c>
      <c r="N120" s="38" t="s">
        <v>127</v>
      </c>
      <c r="O120" s="76">
        <v>44350</v>
      </c>
      <c r="P120" s="37">
        <v>55.7</v>
      </c>
      <c r="Q120" s="37" t="s">
        <v>127</v>
      </c>
      <c r="R120" s="37" t="s">
        <v>127</v>
      </c>
      <c r="S120" s="37" t="s">
        <v>127</v>
      </c>
      <c r="T120" s="37" t="s">
        <v>315</v>
      </c>
      <c r="U120" s="37" t="s">
        <v>718</v>
      </c>
      <c r="V120" s="37" t="b">
        <v>0</v>
      </c>
      <c r="W120" s="37" t="s">
        <v>127</v>
      </c>
      <c r="X120" s="123"/>
      <c r="Y120" s="37">
        <v>7</v>
      </c>
      <c r="Z120" s="37" t="s">
        <v>127</v>
      </c>
      <c r="AA120" s="37" t="s">
        <v>127</v>
      </c>
      <c r="AB120" s="37" t="s">
        <v>127</v>
      </c>
      <c r="AC120" s="78">
        <v>1.2</v>
      </c>
      <c r="AD120" s="78">
        <v>2988525</v>
      </c>
      <c r="AE120" s="37" t="s">
        <v>751</v>
      </c>
      <c r="AF120" s="37">
        <v>19134</v>
      </c>
      <c r="AG120" s="37" t="s">
        <v>127</v>
      </c>
      <c r="AH120" s="37" t="b">
        <v>0</v>
      </c>
      <c r="AI120" s="76" t="s">
        <v>127</v>
      </c>
      <c r="AJ120" s="77" t="s">
        <v>142</v>
      </c>
      <c r="AK120" s="37" t="s">
        <v>127</v>
      </c>
      <c r="AL120" s="37" t="s">
        <v>127</v>
      </c>
      <c r="AM120" s="37" t="b">
        <v>0</v>
      </c>
      <c r="AN120" s="37" t="s">
        <v>127</v>
      </c>
      <c r="AO120" s="37" t="s">
        <v>127</v>
      </c>
      <c r="AP120" s="37" t="s">
        <v>127</v>
      </c>
      <c r="AQ120" s="37" t="b">
        <v>0</v>
      </c>
      <c r="AR120" s="37" t="s">
        <v>127</v>
      </c>
      <c r="AS120" s="37" t="s">
        <v>127</v>
      </c>
      <c r="AT120" s="37" t="s">
        <v>127</v>
      </c>
      <c r="AU120" s="37" t="s">
        <v>127</v>
      </c>
      <c r="AV120" s="37" t="s">
        <v>127</v>
      </c>
      <c r="AW120" s="37" t="s">
        <v>127</v>
      </c>
      <c r="AX120" s="37" t="s">
        <v>161</v>
      </c>
      <c r="AY120" s="37" t="s">
        <v>127</v>
      </c>
      <c r="AZ120" s="37" t="s">
        <v>127</v>
      </c>
      <c r="BA120" s="37" t="s">
        <v>127</v>
      </c>
      <c r="BB120" s="37" t="s">
        <v>143</v>
      </c>
      <c r="BC120" s="77" t="s">
        <v>127</v>
      </c>
      <c r="BD120" s="76" t="s">
        <v>752</v>
      </c>
      <c r="BE120" s="37" t="s">
        <v>127</v>
      </c>
      <c r="BF120" s="86" t="s">
        <v>753</v>
      </c>
      <c r="BG120" s="39" t="s">
        <v>127</v>
      </c>
      <c r="BH120" s="39" t="s">
        <v>127</v>
      </c>
      <c r="BI120" s="40" t="b">
        <v>1</v>
      </c>
      <c r="BJ120" s="40" t="s">
        <v>137</v>
      </c>
      <c r="BK120" s="37" t="s">
        <v>127</v>
      </c>
      <c r="BL120" s="41">
        <v>3189.419909484001</v>
      </c>
      <c r="BM120" s="41">
        <v>53.026153124000004</v>
      </c>
      <c r="BN120" s="41">
        <v>561.11370281999996</v>
      </c>
      <c r="BO120" s="41">
        <v>171.50729562799998</v>
      </c>
      <c r="BP120" s="41">
        <v>636.56789635999996</v>
      </c>
      <c r="BQ120" s="41">
        <v>307.12212004099996</v>
      </c>
      <c r="BR120" s="41">
        <v>1228.6053194409999</v>
      </c>
      <c r="BS120" s="41">
        <v>0</v>
      </c>
      <c r="BT120" s="41">
        <v>0</v>
      </c>
      <c r="BU120" s="41">
        <v>0</v>
      </c>
      <c r="BV120" s="41">
        <v>0</v>
      </c>
      <c r="BW120" s="49">
        <v>2276.2424999999998</v>
      </c>
      <c r="BX120" s="37" t="s">
        <v>127</v>
      </c>
      <c r="BY120" s="37" t="s">
        <v>127</v>
      </c>
      <c r="BZ120" s="37" t="s">
        <v>173</v>
      </c>
      <c r="CA120" s="41">
        <v>0</v>
      </c>
      <c r="CB120" s="41">
        <v>0</v>
      </c>
      <c r="CC120" s="41">
        <v>0</v>
      </c>
      <c r="CD120" s="41">
        <v>0</v>
      </c>
      <c r="CE120" s="41">
        <v>0</v>
      </c>
      <c r="CF120" s="41">
        <v>3056.2769594839997</v>
      </c>
      <c r="CG120" s="45">
        <v>0</v>
      </c>
      <c r="CH120" s="45" t="s">
        <v>127</v>
      </c>
      <c r="CI120" s="37" t="s">
        <v>127</v>
      </c>
      <c r="CJ120" s="77" t="s">
        <v>127</v>
      </c>
      <c r="CK120" s="98">
        <v>0.18140000000000001</v>
      </c>
      <c r="CL120" s="98">
        <v>0.81859999999999999</v>
      </c>
      <c r="CM120" s="100" t="s">
        <v>409</v>
      </c>
    </row>
    <row r="121" spans="1:91" ht="12.75" customHeight="1" x14ac:dyDescent="0.3">
      <c r="A121" s="37">
        <v>119</v>
      </c>
      <c r="B121" s="37" t="s">
        <v>754</v>
      </c>
      <c r="C121" s="124"/>
      <c r="D121" s="124"/>
      <c r="E121" s="37" t="s">
        <v>755</v>
      </c>
      <c r="F121" s="36" t="s">
        <v>756</v>
      </c>
      <c r="G121" s="81" t="s">
        <v>152</v>
      </c>
      <c r="H121" s="38" t="s">
        <v>227</v>
      </c>
      <c r="I121" s="38" t="s">
        <v>227</v>
      </c>
      <c r="J121" s="38" t="s">
        <v>127</v>
      </c>
      <c r="K121" s="38" t="s">
        <v>132</v>
      </c>
      <c r="L121" s="81" t="s">
        <v>213</v>
      </c>
      <c r="M121" s="38" t="s">
        <v>127</v>
      </c>
      <c r="N121" s="38" t="s">
        <v>127</v>
      </c>
      <c r="O121" s="80">
        <v>45192</v>
      </c>
      <c r="P121" s="37" t="s">
        <v>127</v>
      </c>
      <c r="Q121" s="37" t="s">
        <v>127</v>
      </c>
      <c r="R121" s="37" t="s">
        <v>127</v>
      </c>
      <c r="S121" s="37" t="s">
        <v>127</v>
      </c>
      <c r="T121" s="37" t="s">
        <v>248</v>
      </c>
      <c r="U121" s="37" t="s">
        <v>718</v>
      </c>
      <c r="V121" s="37" t="b">
        <v>0</v>
      </c>
      <c r="W121" s="37" t="s">
        <v>127</v>
      </c>
      <c r="X121" s="123"/>
      <c r="Y121" s="37">
        <v>10.5</v>
      </c>
      <c r="Z121" s="37" t="s">
        <v>127</v>
      </c>
      <c r="AA121" s="37" t="s">
        <v>127</v>
      </c>
      <c r="AB121" s="37" t="s">
        <v>127</v>
      </c>
      <c r="AC121" s="78">
        <v>1.2</v>
      </c>
      <c r="AD121" s="78">
        <v>2989077</v>
      </c>
      <c r="AE121" s="37" t="s">
        <v>757</v>
      </c>
      <c r="AF121" s="37">
        <v>19134</v>
      </c>
      <c r="AG121" s="37" t="s">
        <v>127</v>
      </c>
      <c r="AH121" s="37" t="b">
        <v>0</v>
      </c>
      <c r="AI121" s="76" t="s">
        <v>127</v>
      </c>
      <c r="AJ121" s="77" t="s">
        <v>142</v>
      </c>
      <c r="AK121" s="37" t="s">
        <v>127</v>
      </c>
      <c r="AL121" s="37" t="s">
        <v>127</v>
      </c>
      <c r="AM121" s="37" t="b">
        <v>0</v>
      </c>
      <c r="AN121" s="37" t="s">
        <v>127</v>
      </c>
      <c r="AO121" s="37" t="s">
        <v>127</v>
      </c>
      <c r="AP121" s="37" t="s">
        <v>127</v>
      </c>
      <c r="AQ121" s="37" t="b">
        <v>0</v>
      </c>
      <c r="AR121" s="37" t="s">
        <v>127</v>
      </c>
      <c r="AS121" s="37" t="s">
        <v>127</v>
      </c>
      <c r="AT121" s="37" t="s">
        <v>127</v>
      </c>
      <c r="AU121" s="37" t="s">
        <v>127</v>
      </c>
      <c r="AV121" s="37" t="s">
        <v>127</v>
      </c>
      <c r="AW121" s="37" t="s">
        <v>127</v>
      </c>
      <c r="AX121" s="37" t="s">
        <v>161</v>
      </c>
      <c r="AY121" s="37" t="s">
        <v>127</v>
      </c>
      <c r="AZ121" s="37" t="s">
        <v>127</v>
      </c>
      <c r="BA121" s="37" t="s">
        <v>127</v>
      </c>
      <c r="BB121" s="37" t="s">
        <v>758</v>
      </c>
      <c r="BC121" s="77" t="s">
        <v>127</v>
      </c>
      <c r="BD121" s="76" t="s">
        <v>759</v>
      </c>
      <c r="BE121" s="37" t="s">
        <v>127</v>
      </c>
      <c r="BF121" s="86" t="s">
        <v>760</v>
      </c>
      <c r="BG121" s="39" t="s">
        <v>127</v>
      </c>
      <c r="BH121" s="39" t="s">
        <v>127</v>
      </c>
      <c r="BI121" s="40" t="b">
        <v>1</v>
      </c>
      <c r="BJ121" s="40" t="s">
        <v>137</v>
      </c>
      <c r="BK121" s="37" t="s">
        <v>127</v>
      </c>
      <c r="BL121" s="41">
        <v>4377.3641094129998</v>
      </c>
      <c r="BM121" s="41">
        <v>74.289175045999983</v>
      </c>
      <c r="BN121" s="41">
        <v>416.47567112500002</v>
      </c>
      <c r="BO121" s="41">
        <v>3151.6998298869999</v>
      </c>
      <c r="BP121" s="41">
        <v>326.40804843200004</v>
      </c>
      <c r="BQ121" s="41">
        <v>65.284493119000089</v>
      </c>
      <c r="BR121" s="41">
        <v>256.17617083800002</v>
      </c>
      <c r="BS121" s="41">
        <v>0</v>
      </c>
      <c r="BT121" s="41">
        <v>0</v>
      </c>
      <c r="BU121" s="41">
        <v>0</v>
      </c>
      <c r="BV121" s="41">
        <v>0</v>
      </c>
      <c r="BW121" s="49">
        <v>0</v>
      </c>
      <c r="BX121" s="37" t="s">
        <v>127</v>
      </c>
      <c r="BY121" s="37" t="s">
        <v>127</v>
      </c>
      <c r="BZ121" s="37" t="s">
        <v>162</v>
      </c>
      <c r="CA121" s="41">
        <v>0</v>
      </c>
      <c r="CB121" s="41">
        <v>0</v>
      </c>
      <c r="CC121" s="41">
        <v>3241.04</v>
      </c>
      <c r="CD121" s="41">
        <v>-19.91</v>
      </c>
      <c r="CE121" s="41">
        <v>237.94939000000002</v>
      </c>
      <c r="CF121" s="41">
        <v>256.17617083800002</v>
      </c>
      <c r="CG121" s="45">
        <v>0</v>
      </c>
      <c r="CH121" s="45" t="s">
        <v>127</v>
      </c>
      <c r="CI121" s="37" t="s">
        <v>127</v>
      </c>
      <c r="CJ121" s="77" t="s">
        <v>127</v>
      </c>
      <c r="CK121" s="98">
        <v>0.18140000000000001</v>
      </c>
      <c r="CL121" s="98">
        <v>0.81859999999999999</v>
      </c>
      <c r="CM121" s="100" t="s">
        <v>409</v>
      </c>
    </row>
    <row r="122" spans="1:91" ht="12.75" customHeight="1" x14ac:dyDescent="0.3">
      <c r="A122" s="37">
        <v>120</v>
      </c>
      <c r="B122" s="37" t="s">
        <v>761</v>
      </c>
      <c r="C122" s="124"/>
      <c r="D122" s="124"/>
      <c r="E122" s="37" t="s">
        <v>755</v>
      </c>
      <c r="F122" s="36" t="s">
        <v>762</v>
      </c>
      <c r="G122" s="81" t="s">
        <v>152</v>
      </c>
      <c r="H122" s="38" t="s">
        <v>227</v>
      </c>
      <c r="I122" s="38" t="s">
        <v>227</v>
      </c>
      <c r="J122" s="38" t="s">
        <v>127</v>
      </c>
      <c r="K122" s="38" t="s">
        <v>132</v>
      </c>
      <c r="L122" s="81" t="s">
        <v>213</v>
      </c>
      <c r="M122" s="38" t="s">
        <v>127</v>
      </c>
      <c r="N122" s="38" t="s">
        <v>127</v>
      </c>
      <c r="O122" s="80">
        <v>45157</v>
      </c>
      <c r="P122" s="37">
        <v>26</v>
      </c>
      <c r="Q122" s="37" t="s">
        <v>127</v>
      </c>
      <c r="R122" s="37" t="s">
        <v>127</v>
      </c>
      <c r="S122" s="37" t="s">
        <v>127</v>
      </c>
      <c r="T122" s="37" t="s">
        <v>248</v>
      </c>
      <c r="U122" s="37" t="s">
        <v>718</v>
      </c>
      <c r="V122" s="37" t="b">
        <v>0</v>
      </c>
      <c r="W122" s="37" t="s">
        <v>127</v>
      </c>
      <c r="X122" s="123"/>
      <c r="Y122" s="37">
        <v>12.2</v>
      </c>
      <c r="Z122" s="37" t="s">
        <v>127</v>
      </c>
      <c r="AA122" s="37" t="s">
        <v>127</v>
      </c>
      <c r="AB122" s="37" t="s">
        <v>127</v>
      </c>
      <c r="AC122" s="78">
        <v>1.2</v>
      </c>
      <c r="AD122" s="78">
        <v>2989078</v>
      </c>
      <c r="AE122" s="37" t="s">
        <v>763</v>
      </c>
      <c r="AF122" s="37">
        <v>19134</v>
      </c>
      <c r="AG122" s="37" t="s">
        <v>127</v>
      </c>
      <c r="AH122" s="37" t="b">
        <v>0</v>
      </c>
      <c r="AI122" s="76" t="s">
        <v>127</v>
      </c>
      <c r="AJ122" s="77" t="s">
        <v>142</v>
      </c>
      <c r="AK122" s="37" t="s">
        <v>127</v>
      </c>
      <c r="AL122" s="37" t="s">
        <v>127</v>
      </c>
      <c r="AM122" s="37" t="b">
        <v>0</v>
      </c>
      <c r="AN122" s="37" t="s">
        <v>127</v>
      </c>
      <c r="AO122" s="37" t="s">
        <v>127</v>
      </c>
      <c r="AP122" s="37" t="s">
        <v>127</v>
      </c>
      <c r="AQ122" s="37" t="b">
        <v>0</v>
      </c>
      <c r="AR122" s="37" t="s">
        <v>127</v>
      </c>
      <c r="AS122" s="37" t="s">
        <v>127</v>
      </c>
      <c r="AT122" s="37" t="s">
        <v>127</v>
      </c>
      <c r="AU122" s="37" t="s">
        <v>127</v>
      </c>
      <c r="AV122" s="37" t="s">
        <v>127</v>
      </c>
      <c r="AW122" s="37" t="s">
        <v>127</v>
      </c>
      <c r="AX122" s="37" t="s">
        <v>161</v>
      </c>
      <c r="AY122" s="37" t="s">
        <v>127</v>
      </c>
      <c r="AZ122" s="37" t="s">
        <v>127</v>
      </c>
      <c r="BA122" s="37" t="s">
        <v>127</v>
      </c>
      <c r="BB122" s="37" t="s">
        <v>758</v>
      </c>
      <c r="BC122" s="77" t="s">
        <v>127</v>
      </c>
      <c r="BD122" s="76" t="s">
        <v>759</v>
      </c>
      <c r="BE122" s="37" t="s">
        <v>127</v>
      </c>
      <c r="BF122" s="86" t="s">
        <v>764</v>
      </c>
      <c r="BG122" s="39" t="s">
        <v>127</v>
      </c>
      <c r="BH122" s="39" t="s">
        <v>127</v>
      </c>
      <c r="BI122" s="40" t="b">
        <v>1</v>
      </c>
      <c r="BJ122" s="40" t="s">
        <v>137</v>
      </c>
      <c r="BK122" s="37" t="s">
        <v>127</v>
      </c>
      <c r="BL122" s="41">
        <v>2170.3585837350001</v>
      </c>
      <c r="BM122" s="41">
        <v>80.064171204000033</v>
      </c>
      <c r="BN122" s="41">
        <v>448.60059050000007</v>
      </c>
      <c r="BO122" s="41">
        <v>1162.5389717810001</v>
      </c>
      <c r="BP122" s="41">
        <v>211.26852334499998</v>
      </c>
      <c r="BQ122" s="41">
        <v>88.813522712000008</v>
      </c>
      <c r="BR122" s="41">
        <v>86.907714796999997</v>
      </c>
      <c r="BS122" s="41">
        <v>0</v>
      </c>
      <c r="BT122" s="41">
        <v>0</v>
      </c>
      <c r="BU122" s="41">
        <v>0</v>
      </c>
      <c r="BV122" s="41">
        <v>0</v>
      </c>
      <c r="BW122" s="49">
        <v>0</v>
      </c>
      <c r="BX122" s="37" t="s">
        <v>127</v>
      </c>
      <c r="BY122" s="37" t="s">
        <v>127</v>
      </c>
      <c r="BZ122" s="37" t="s">
        <v>162</v>
      </c>
      <c r="CA122" s="41">
        <v>0</v>
      </c>
      <c r="CB122" s="41">
        <v>0</v>
      </c>
      <c r="CC122" s="41">
        <v>588.23</v>
      </c>
      <c r="CD122" s="41">
        <v>6.52</v>
      </c>
      <c r="CE122" s="41">
        <v>30.089590000000001</v>
      </c>
      <c r="CF122" s="41">
        <v>86.907714796999997</v>
      </c>
      <c r="CG122" s="45">
        <v>0</v>
      </c>
      <c r="CH122" s="45" t="s">
        <v>127</v>
      </c>
      <c r="CI122" s="37" t="s">
        <v>127</v>
      </c>
      <c r="CJ122" s="77" t="s">
        <v>127</v>
      </c>
      <c r="CK122" s="98">
        <v>0.18140000000000001</v>
      </c>
      <c r="CL122" s="98">
        <v>0.81859999999999999</v>
      </c>
      <c r="CM122" s="100" t="s">
        <v>409</v>
      </c>
    </row>
    <row r="123" spans="1:91" ht="12.75" customHeight="1" x14ac:dyDescent="0.3">
      <c r="A123" s="37">
        <v>121</v>
      </c>
      <c r="B123" s="37" t="s">
        <v>765</v>
      </c>
      <c r="C123" s="124"/>
      <c r="D123" s="124"/>
      <c r="E123" s="37" t="s">
        <v>258</v>
      </c>
      <c r="F123" s="36" t="s">
        <v>766</v>
      </c>
      <c r="G123" s="81" t="s">
        <v>152</v>
      </c>
      <c r="H123" s="38" t="s">
        <v>227</v>
      </c>
      <c r="I123" s="38" t="s">
        <v>227</v>
      </c>
      <c r="J123" s="38" t="s">
        <v>127</v>
      </c>
      <c r="K123" s="38" t="s">
        <v>132</v>
      </c>
      <c r="L123" s="81" t="s">
        <v>213</v>
      </c>
      <c r="M123" s="38" t="s">
        <v>127</v>
      </c>
      <c r="N123" s="38" t="s">
        <v>127</v>
      </c>
      <c r="O123" s="80">
        <v>45036</v>
      </c>
      <c r="P123" s="37">
        <v>52</v>
      </c>
      <c r="Q123" s="37" t="s">
        <v>127</v>
      </c>
      <c r="R123" s="37" t="s">
        <v>127</v>
      </c>
      <c r="S123" s="37" t="s">
        <v>127</v>
      </c>
      <c r="T123" s="37" t="s">
        <v>315</v>
      </c>
      <c r="U123" s="37" t="s">
        <v>718</v>
      </c>
      <c r="V123" s="37" t="b">
        <v>0</v>
      </c>
      <c r="W123" s="37" t="s">
        <v>127</v>
      </c>
      <c r="X123" s="123"/>
      <c r="Y123" s="37">
        <v>4.8099999999999996</v>
      </c>
      <c r="Z123" s="37" t="s">
        <v>127</v>
      </c>
      <c r="AA123" s="37" t="s">
        <v>127</v>
      </c>
      <c r="AB123" s="37" t="s">
        <v>127</v>
      </c>
      <c r="AC123" s="78">
        <v>1.2</v>
      </c>
      <c r="AD123" s="78">
        <v>2991030</v>
      </c>
      <c r="AE123" s="37" t="s">
        <v>767</v>
      </c>
      <c r="AF123" s="37">
        <v>19134</v>
      </c>
      <c r="AG123" s="37" t="s">
        <v>127</v>
      </c>
      <c r="AH123" s="37" t="b">
        <v>0</v>
      </c>
      <c r="AI123" s="76" t="s">
        <v>127</v>
      </c>
      <c r="AJ123" s="77" t="s">
        <v>142</v>
      </c>
      <c r="AK123" s="37" t="s">
        <v>127</v>
      </c>
      <c r="AL123" s="37" t="s">
        <v>127</v>
      </c>
      <c r="AM123" s="37" t="b">
        <v>0</v>
      </c>
      <c r="AN123" s="37" t="s">
        <v>127</v>
      </c>
      <c r="AO123" s="37" t="s">
        <v>127</v>
      </c>
      <c r="AP123" s="37" t="s">
        <v>127</v>
      </c>
      <c r="AQ123" s="37" t="b">
        <v>0</v>
      </c>
      <c r="AR123" s="37" t="s">
        <v>127</v>
      </c>
      <c r="AS123" s="37" t="s">
        <v>127</v>
      </c>
      <c r="AT123" s="37" t="s">
        <v>127</v>
      </c>
      <c r="AU123" s="37" t="s">
        <v>127</v>
      </c>
      <c r="AV123" s="37" t="s">
        <v>127</v>
      </c>
      <c r="AW123" s="37" t="s">
        <v>127</v>
      </c>
      <c r="AX123" s="37" t="s">
        <v>161</v>
      </c>
      <c r="AY123" s="37" t="s">
        <v>127</v>
      </c>
      <c r="AZ123" s="37" t="s">
        <v>127</v>
      </c>
      <c r="BA123" s="37" t="s">
        <v>127</v>
      </c>
      <c r="BB123" s="37" t="s">
        <v>460</v>
      </c>
      <c r="BC123" s="77" t="s">
        <v>127</v>
      </c>
      <c r="BD123" s="76" t="s">
        <v>768</v>
      </c>
      <c r="BE123" s="37" t="s">
        <v>127</v>
      </c>
      <c r="BF123" s="86" t="s">
        <v>769</v>
      </c>
      <c r="BG123" s="39" t="s">
        <v>127</v>
      </c>
      <c r="BH123" s="39" t="s">
        <v>127</v>
      </c>
      <c r="BI123" s="40" t="b">
        <v>0</v>
      </c>
      <c r="BJ123" s="40" t="s">
        <v>137</v>
      </c>
      <c r="BK123" s="37" t="s">
        <v>127</v>
      </c>
      <c r="BL123" s="41">
        <v>3690.3232863867302</v>
      </c>
      <c r="BM123" s="41">
        <v>2.8738388079999995</v>
      </c>
      <c r="BN123" s="41">
        <v>8.5201115000000036E-2</v>
      </c>
      <c r="BO123" s="41">
        <v>866.63014818000011</v>
      </c>
      <c r="BP123" s="41">
        <v>564.90303372399978</v>
      </c>
      <c r="BQ123" s="41">
        <v>1488.8582252300005</v>
      </c>
      <c r="BR123" s="41">
        <v>753.11927386847935</v>
      </c>
      <c r="BS123" s="41">
        <v>13.853565461250305</v>
      </c>
      <c r="BT123" s="41">
        <v>0</v>
      </c>
      <c r="BU123" s="41">
        <v>0</v>
      </c>
      <c r="BV123" s="41">
        <v>0</v>
      </c>
      <c r="BW123" s="49">
        <v>3327.8421499999999</v>
      </c>
      <c r="BX123" s="37" t="s">
        <v>127</v>
      </c>
      <c r="BY123" s="37" t="s">
        <v>127</v>
      </c>
      <c r="BZ123" s="37" t="s">
        <v>127</v>
      </c>
      <c r="CA123" s="41">
        <v>0</v>
      </c>
      <c r="CB123" s="41">
        <v>0</v>
      </c>
      <c r="CC123" s="41">
        <v>0</v>
      </c>
      <c r="CD123" s="41">
        <v>0</v>
      </c>
      <c r="CE123" s="41">
        <v>0</v>
      </c>
      <c r="CF123" s="41">
        <v>0</v>
      </c>
      <c r="CG123" s="45">
        <v>0</v>
      </c>
      <c r="CH123" s="45" t="s">
        <v>127</v>
      </c>
      <c r="CI123" s="37" t="s">
        <v>127</v>
      </c>
      <c r="CJ123" s="77" t="s">
        <v>127</v>
      </c>
      <c r="CK123" s="98">
        <v>0.18140000000000001</v>
      </c>
      <c r="CL123" s="98">
        <v>0.81859999999999999</v>
      </c>
      <c r="CM123" s="100" t="s">
        <v>409</v>
      </c>
    </row>
    <row r="124" spans="1:91" ht="12.75" customHeight="1" x14ac:dyDescent="0.3">
      <c r="A124" s="37">
        <v>122</v>
      </c>
      <c r="B124" s="37" t="s">
        <v>770</v>
      </c>
      <c r="C124" s="124"/>
      <c r="D124" s="124"/>
      <c r="E124" s="37" t="s">
        <v>771</v>
      </c>
      <c r="F124" s="36" t="s">
        <v>772</v>
      </c>
      <c r="G124" s="81" t="s">
        <v>152</v>
      </c>
      <c r="H124" s="38" t="s">
        <v>227</v>
      </c>
      <c r="I124" s="38" t="s">
        <v>227</v>
      </c>
      <c r="J124" s="38" t="s">
        <v>127</v>
      </c>
      <c r="K124" s="38" t="s">
        <v>132</v>
      </c>
      <c r="L124" s="81" t="s">
        <v>213</v>
      </c>
      <c r="M124" s="38" t="s">
        <v>127</v>
      </c>
      <c r="N124" s="38" t="s">
        <v>127</v>
      </c>
      <c r="O124" s="80">
        <v>44784</v>
      </c>
      <c r="P124" s="37">
        <v>53</v>
      </c>
      <c r="Q124" s="37" t="s">
        <v>127</v>
      </c>
      <c r="R124" s="37" t="s">
        <v>127</v>
      </c>
      <c r="S124" s="37" t="s">
        <v>127</v>
      </c>
      <c r="T124" s="37" t="s">
        <v>248</v>
      </c>
      <c r="U124" s="37" t="s">
        <v>718</v>
      </c>
      <c r="V124" s="37" t="b">
        <v>0</v>
      </c>
      <c r="W124" s="37" t="s">
        <v>127</v>
      </c>
      <c r="X124" s="123"/>
      <c r="Y124" s="37">
        <v>0.5</v>
      </c>
      <c r="Z124" s="37" t="s">
        <v>127</v>
      </c>
      <c r="AA124" s="37" t="s">
        <v>127</v>
      </c>
      <c r="AB124" s="37" t="s">
        <v>127</v>
      </c>
      <c r="AC124" s="78">
        <v>1.2</v>
      </c>
      <c r="AD124" s="78">
        <v>2991060</v>
      </c>
      <c r="AE124" s="37" t="s">
        <v>773</v>
      </c>
      <c r="AF124" s="37">
        <v>19134</v>
      </c>
      <c r="AG124" s="37" t="s">
        <v>127</v>
      </c>
      <c r="AH124" s="37" t="b">
        <v>0</v>
      </c>
      <c r="AI124" s="76" t="s">
        <v>127</v>
      </c>
      <c r="AJ124" s="77" t="s">
        <v>142</v>
      </c>
      <c r="AK124" s="37" t="s">
        <v>127</v>
      </c>
      <c r="AL124" s="37" t="s">
        <v>127</v>
      </c>
      <c r="AM124" s="37" t="b">
        <v>0</v>
      </c>
      <c r="AN124" s="37" t="s">
        <v>127</v>
      </c>
      <c r="AO124" s="37" t="s">
        <v>127</v>
      </c>
      <c r="AP124" s="37" t="s">
        <v>127</v>
      </c>
      <c r="AQ124" s="37" t="b">
        <v>0</v>
      </c>
      <c r="AR124" s="37" t="s">
        <v>127</v>
      </c>
      <c r="AS124" s="37" t="s">
        <v>127</v>
      </c>
      <c r="AT124" s="37" t="s">
        <v>127</v>
      </c>
      <c r="AU124" s="37" t="s">
        <v>127</v>
      </c>
      <c r="AV124" s="37" t="s">
        <v>127</v>
      </c>
      <c r="AW124" s="37" t="s">
        <v>127</v>
      </c>
      <c r="AX124" s="37" t="s">
        <v>161</v>
      </c>
      <c r="AY124" s="37" t="s">
        <v>127</v>
      </c>
      <c r="AZ124" s="37" t="s">
        <v>127</v>
      </c>
      <c r="BA124" s="37" t="s">
        <v>127</v>
      </c>
      <c r="BB124" s="37" t="s">
        <v>143</v>
      </c>
      <c r="BC124" s="77" t="s">
        <v>127</v>
      </c>
      <c r="BD124" s="76" t="s">
        <v>774</v>
      </c>
      <c r="BE124" s="37" t="s">
        <v>127</v>
      </c>
      <c r="BF124" s="86" t="s">
        <v>444</v>
      </c>
      <c r="BG124" s="39" t="s">
        <v>127</v>
      </c>
      <c r="BH124" s="39" t="s">
        <v>127</v>
      </c>
      <c r="BI124" s="40" t="b">
        <v>1</v>
      </c>
      <c r="BJ124" s="40" t="s">
        <v>137</v>
      </c>
      <c r="BK124" s="37" t="s">
        <v>127</v>
      </c>
      <c r="BL124" s="41">
        <v>1641.2274950799997</v>
      </c>
      <c r="BM124" s="41">
        <v>0</v>
      </c>
      <c r="BN124" s="41">
        <v>73.247139484999991</v>
      </c>
      <c r="BO124" s="41">
        <v>111.793245399</v>
      </c>
      <c r="BP124" s="41">
        <v>350.09960803499996</v>
      </c>
      <c r="BQ124" s="41">
        <v>1083.9634454049997</v>
      </c>
      <c r="BR124" s="41">
        <v>22.124056756000005</v>
      </c>
      <c r="BS124" s="41">
        <v>0</v>
      </c>
      <c r="BT124" s="41">
        <v>0</v>
      </c>
      <c r="BU124" s="41">
        <v>0</v>
      </c>
      <c r="BV124" s="41">
        <v>0</v>
      </c>
      <c r="BW124" s="49">
        <v>0</v>
      </c>
      <c r="BX124" s="37" t="s">
        <v>127</v>
      </c>
      <c r="BY124" s="37" t="s">
        <v>127</v>
      </c>
      <c r="BZ124" s="37" t="s">
        <v>198</v>
      </c>
      <c r="CA124" s="41">
        <v>0</v>
      </c>
      <c r="CB124" s="41">
        <v>0</v>
      </c>
      <c r="CC124" s="41">
        <v>0</v>
      </c>
      <c r="CD124" s="41">
        <v>840.79</v>
      </c>
      <c r="CE124" s="41">
        <v>28.4</v>
      </c>
      <c r="CF124" s="41">
        <v>22.230856755999994</v>
      </c>
      <c r="CG124" s="45">
        <v>0</v>
      </c>
      <c r="CH124" s="45" t="s">
        <v>127</v>
      </c>
      <c r="CI124" s="37" t="s">
        <v>127</v>
      </c>
      <c r="CJ124" s="77" t="s">
        <v>127</v>
      </c>
      <c r="CK124" s="98">
        <v>0.18140000000000001</v>
      </c>
      <c r="CL124" s="98">
        <v>0.81859999999999999</v>
      </c>
      <c r="CM124" s="100" t="s">
        <v>409</v>
      </c>
    </row>
    <row r="125" spans="1:91" ht="12.75" customHeight="1" x14ac:dyDescent="0.3">
      <c r="A125" s="37">
        <v>123</v>
      </c>
      <c r="B125" s="37" t="s">
        <v>775</v>
      </c>
      <c r="C125" s="125"/>
      <c r="D125" s="123"/>
      <c r="E125" s="77" t="s">
        <v>127</v>
      </c>
      <c r="F125" s="36" t="s">
        <v>776</v>
      </c>
      <c r="G125" s="81" t="s">
        <v>226</v>
      </c>
      <c r="H125" s="38" t="s">
        <v>227</v>
      </c>
      <c r="I125" s="38" t="s">
        <v>131</v>
      </c>
      <c r="J125" s="38" t="s">
        <v>127</v>
      </c>
      <c r="K125" s="38" t="s">
        <v>609</v>
      </c>
      <c r="L125" s="82" t="s">
        <v>243</v>
      </c>
      <c r="M125" s="38" t="s">
        <v>127</v>
      </c>
      <c r="N125" s="38" t="s">
        <v>127</v>
      </c>
      <c r="O125" s="76">
        <v>45378</v>
      </c>
      <c r="P125" s="37" t="s">
        <v>135</v>
      </c>
      <c r="Q125" s="37" t="s">
        <v>127</v>
      </c>
      <c r="R125" s="37" t="s">
        <v>127</v>
      </c>
      <c r="S125" s="37" t="s">
        <v>127</v>
      </c>
      <c r="T125" s="77" t="s">
        <v>611</v>
      </c>
      <c r="U125" s="37" t="s">
        <v>718</v>
      </c>
      <c r="V125" s="37" t="b">
        <v>0</v>
      </c>
      <c r="W125" s="37" t="s">
        <v>127</v>
      </c>
      <c r="X125" s="123"/>
      <c r="Y125" s="37" t="s">
        <v>127</v>
      </c>
      <c r="Z125" s="37" t="s">
        <v>127</v>
      </c>
      <c r="AA125" s="37" t="s">
        <v>127</v>
      </c>
      <c r="AB125" s="37" t="s">
        <v>127</v>
      </c>
      <c r="AC125" s="78">
        <v>1.2</v>
      </c>
      <c r="AD125" s="78" t="s">
        <v>139</v>
      </c>
      <c r="AE125" s="37" t="s">
        <v>140</v>
      </c>
      <c r="AF125" s="37">
        <v>19245</v>
      </c>
      <c r="AG125" s="37" t="s">
        <v>127</v>
      </c>
      <c r="AH125" s="37" t="b">
        <v>0</v>
      </c>
      <c r="AI125" s="76">
        <v>45246</v>
      </c>
      <c r="AJ125" s="77" t="s">
        <v>142</v>
      </c>
      <c r="AK125" s="37">
        <v>2020</v>
      </c>
      <c r="AL125" s="37" t="s">
        <v>127</v>
      </c>
      <c r="AM125" s="37" t="b">
        <v>0</v>
      </c>
      <c r="AN125" s="37" t="s">
        <v>127</v>
      </c>
      <c r="AO125" s="37" t="s">
        <v>127</v>
      </c>
      <c r="AP125" s="37" t="s">
        <v>127</v>
      </c>
      <c r="AQ125" s="37" t="b">
        <v>0</v>
      </c>
      <c r="AR125" s="37" t="s">
        <v>127</v>
      </c>
      <c r="AS125" s="37" t="s">
        <v>127</v>
      </c>
      <c r="AT125" s="37" t="s">
        <v>127</v>
      </c>
      <c r="AU125" s="37" t="s">
        <v>127</v>
      </c>
      <c r="AV125" s="37" t="s">
        <v>127</v>
      </c>
      <c r="AW125" s="37" t="s">
        <v>127</v>
      </c>
      <c r="AX125" s="37" t="s">
        <v>127</v>
      </c>
      <c r="AY125" s="76" t="s">
        <v>127</v>
      </c>
      <c r="AZ125" s="77" t="s">
        <v>127</v>
      </c>
      <c r="BA125" s="37" t="s">
        <v>127</v>
      </c>
      <c r="BB125" s="37" t="s">
        <v>143</v>
      </c>
      <c r="BC125" s="77" t="s">
        <v>127</v>
      </c>
      <c r="BD125" s="76" t="s">
        <v>127</v>
      </c>
      <c r="BE125" s="37" t="s">
        <v>127</v>
      </c>
      <c r="BF125" s="80" t="s">
        <v>127</v>
      </c>
      <c r="BG125" s="39" t="s">
        <v>127</v>
      </c>
      <c r="BH125" s="39" t="s">
        <v>127</v>
      </c>
      <c r="BI125" s="40" t="b">
        <v>1</v>
      </c>
      <c r="BJ125" s="40" t="s">
        <v>137</v>
      </c>
      <c r="BK125" s="37" t="s">
        <v>127</v>
      </c>
      <c r="BL125" s="41">
        <v>2140.6024282083176</v>
      </c>
      <c r="BM125" s="41">
        <v>252.31103720199991</v>
      </c>
      <c r="BN125" s="41">
        <v>545.59729374500012</v>
      </c>
      <c r="BO125" s="41">
        <v>140.72360327400003</v>
      </c>
      <c r="BP125" s="41">
        <v>86.034713048</v>
      </c>
      <c r="BQ125" s="41">
        <v>54.094912260000015</v>
      </c>
      <c r="BR125" s="41">
        <v>142.68429124920087</v>
      </c>
      <c r="BS125" s="41">
        <v>156.64851125726608</v>
      </c>
      <c r="BT125" s="41">
        <v>171.60290763489573</v>
      </c>
      <c r="BU125" s="41">
        <v>284.26343014881837</v>
      </c>
      <c r="BV125" s="41">
        <v>306.64172838913657</v>
      </c>
      <c r="BW125" s="49">
        <v>0</v>
      </c>
      <c r="BX125" s="37" t="s">
        <v>127</v>
      </c>
      <c r="BY125" s="37" t="s">
        <v>127</v>
      </c>
      <c r="BZ125" s="37" t="s">
        <v>173</v>
      </c>
      <c r="CA125" s="41">
        <v>0</v>
      </c>
      <c r="CB125" s="41">
        <v>0</v>
      </c>
      <c r="CC125" s="41">
        <v>0</v>
      </c>
      <c r="CD125" s="41">
        <v>0</v>
      </c>
      <c r="CE125" s="41">
        <v>0</v>
      </c>
      <c r="CF125" s="41">
        <v>4.8205892850000005</v>
      </c>
      <c r="CG125" s="45">
        <v>0</v>
      </c>
      <c r="CH125" s="45" t="s">
        <v>127</v>
      </c>
      <c r="CI125" s="37" t="s">
        <v>127</v>
      </c>
      <c r="CJ125" s="77" t="s">
        <v>127</v>
      </c>
      <c r="CK125" s="98">
        <v>0</v>
      </c>
      <c r="CL125" s="98">
        <v>1</v>
      </c>
      <c r="CM125" s="100" t="s">
        <v>777</v>
      </c>
    </row>
    <row r="126" spans="1:91" ht="12.75" customHeight="1" x14ac:dyDescent="0.3">
      <c r="A126" s="37">
        <v>124</v>
      </c>
      <c r="B126" s="37" t="s">
        <v>778</v>
      </c>
      <c r="C126" s="125"/>
      <c r="D126" s="123"/>
      <c r="E126" s="77" t="s">
        <v>127</v>
      </c>
      <c r="F126" s="36" t="s">
        <v>779</v>
      </c>
      <c r="G126" s="75" t="s">
        <v>615</v>
      </c>
      <c r="H126" s="37" t="s">
        <v>131</v>
      </c>
      <c r="I126" s="37" t="s">
        <v>127</v>
      </c>
      <c r="J126" s="37" t="s">
        <v>127</v>
      </c>
      <c r="K126" s="37" t="s">
        <v>132</v>
      </c>
      <c r="L126" s="75" t="s">
        <v>149</v>
      </c>
      <c r="M126" s="37" t="s">
        <v>127</v>
      </c>
      <c r="N126" s="37" t="s">
        <v>127</v>
      </c>
      <c r="O126" s="76" t="s">
        <v>127</v>
      </c>
      <c r="P126" s="37" t="s">
        <v>135</v>
      </c>
      <c r="Q126" s="37" t="s">
        <v>127</v>
      </c>
      <c r="R126" s="37" t="s">
        <v>127</v>
      </c>
      <c r="S126" s="37" t="s">
        <v>127</v>
      </c>
      <c r="T126" s="37" t="s">
        <v>137</v>
      </c>
      <c r="U126" s="37" t="s">
        <v>230</v>
      </c>
      <c r="V126" s="37" t="b">
        <v>0</v>
      </c>
      <c r="W126" s="77" t="s">
        <v>127</v>
      </c>
      <c r="X126" s="123"/>
      <c r="Y126" s="37" t="s">
        <v>137</v>
      </c>
      <c r="Z126" s="37" t="s">
        <v>137</v>
      </c>
      <c r="AA126" s="37">
        <v>69</v>
      </c>
      <c r="AB126" s="37" t="s">
        <v>127</v>
      </c>
      <c r="AC126" s="78">
        <v>1.1000000000000001</v>
      </c>
      <c r="AD126" s="78" t="s">
        <v>139</v>
      </c>
      <c r="AE126" s="37" t="s">
        <v>140</v>
      </c>
      <c r="AF126" s="37">
        <v>19246</v>
      </c>
      <c r="AG126" s="37" t="s">
        <v>141</v>
      </c>
      <c r="AH126" s="37" t="b">
        <v>1</v>
      </c>
      <c r="AI126" s="76">
        <v>45268</v>
      </c>
      <c r="AJ126" s="77" t="s">
        <v>142</v>
      </c>
      <c r="AK126" s="37" t="s">
        <v>127</v>
      </c>
      <c r="AL126" s="37" t="s">
        <v>127</v>
      </c>
      <c r="AM126" s="37" t="b">
        <v>0</v>
      </c>
      <c r="AN126" s="37" t="s">
        <v>127</v>
      </c>
      <c r="AO126" s="37" t="s">
        <v>127</v>
      </c>
      <c r="AP126" s="37" t="s">
        <v>137</v>
      </c>
      <c r="AQ126" s="37" t="b">
        <v>0</v>
      </c>
      <c r="AR126" s="37" t="s">
        <v>127</v>
      </c>
      <c r="AS126" s="76" t="s">
        <v>137</v>
      </c>
      <c r="AT126" s="37" t="s">
        <v>127</v>
      </c>
      <c r="AU126" s="37" t="s">
        <v>127</v>
      </c>
      <c r="AV126" s="37" t="s">
        <v>137</v>
      </c>
      <c r="AW126" s="37" t="s">
        <v>137</v>
      </c>
      <c r="AX126" s="37" t="s">
        <v>127</v>
      </c>
      <c r="AY126" s="76" t="s">
        <v>127</v>
      </c>
      <c r="AZ126" s="77" t="s">
        <v>127</v>
      </c>
      <c r="BA126" s="37" t="s">
        <v>127</v>
      </c>
      <c r="BB126" s="37" t="s">
        <v>143</v>
      </c>
      <c r="BC126" s="77" t="s">
        <v>127</v>
      </c>
      <c r="BD126" s="76" t="s">
        <v>127</v>
      </c>
      <c r="BE126" s="37" t="s">
        <v>137</v>
      </c>
      <c r="BF126" s="80" t="s">
        <v>127</v>
      </c>
      <c r="BG126" s="39" t="s">
        <v>127</v>
      </c>
      <c r="BH126" s="37" t="s">
        <v>127</v>
      </c>
      <c r="BI126" s="40" t="b">
        <v>1</v>
      </c>
      <c r="BJ126" s="40" t="s">
        <v>137</v>
      </c>
      <c r="BK126" s="37" t="s">
        <v>137</v>
      </c>
      <c r="BL126" s="110">
        <f>3677.6771540492-SUM(BL127:BL128)</f>
        <v>32.22241983099957</v>
      </c>
      <c r="BM126" s="110">
        <f>0-SUM(BM127:BM128)</f>
        <v>0</v>
      </c>
      <c r="BN126" s="110">
        <f>372.525047665-SUM(BN127:BN128)</f>
        <v>3.2876356149999424</v>
      </c>
      <c r="BO126" s="110">
        <f>-225.479806438-SUM(BO127:BO128)</f>
        <v>63.393625646999993</v>
      </c>
      <c r="BP126" s="110">
        <f>2329.404895919-SUM(BP127:BP128)</f>
        <v>11.335575027000232</v>
      </c>
      <c r="BQ126" s="110">
        <f>902.77306634344-SUM(BQ127:BQ128)</f>
        <v>13.136882640000067</v>
      </c>
      <c r="BR126" s="110">
        <f>298.45395055976-SUM(BR127:BR128)</f>
        <v>-58.931299098000011</v>
      </c>
      <c r="BS126" s="110">
        <f>0-SUM(BS127:BS128)</f>
        <v>0</v>
      </c>
      <c r="BT126" s="110">
        <f>0-SUM(BT127:BT128)</f>
        <v>0</v>
      </c>
      <c r="BU126" s="110">
        <f>0-SUM(BU127:BU128)</f>
        <v>0</v>
      </c>
      <c r="BV126" s="110">
        <f>0-SUM(BV127:BV128)</f>
        <v>0</v>
      </c>
      <c r="BW126" s="111">
        <f>0-SUM(BW127:BW128)</f>
        <v>0</v>
      </c>
      <c r="BX126" s="37" t="s">
        <v>127</v>
      </c>
      <c r="BY126" s="37" t="s">
        <v>127</v>
      </c>
      <c r="BZ126" s="37" t="s">
        <v>173</v>
      </c>
      <c r="CA126" s="41">
        <v>0</v>
      </c>
      <c r="CB126" s="41">
        <v>0</v>
      </c>
      <c r="CC126" s="41">
        <v>0</v>
      </c>
      <c r="CD126" s="41">
        <v>0</v>
      </c>
      <c r="CE126" s="41">
        <v>0</v>
      </c>
      <c r="CF126" s="110">
        <f>257.682196212-SUM(CF127:CF128)</f>
        <v>-58.931299098000011</v>
      </c>
      <c r="CG126" s="45">
        <v>0</v>
      </c>
      <c r="CH126" s="45" t="s">
        <v>137</v>
      </c>
      <c r="CI126" s="37" t="s">
        <v>127</v>
      </c>
      <c r="CJ126" s="77" t="s">
        <v>127</v>
      </c>
      <c r="CK126" s="98">
        <v>0</v>
      </c>
      <c r="CL126" s="98">
        <v>1</v>
      </c>
      <c r="CM126" s="100" t="s">
        <v>780</v>
      </c>
    </row>
    <row r="127" spans="1:91" ht="12.75" customHeight="1" x14ac:dyDescent="0.3">
      <c r="A127" s="37">
        <v>125</v>
      </c>
      <c r="B127" s="37" t="s">
        <v>781</v>
      </c>
      <c r="C127" s="125"/>
      <c r="D127" s="123"/>
      <c r="E127" s="37" t="s">
        <v>127</v>
      </c>
      <c r="F127" s="35" t="s">
        <v>782</v>
      </c>
      <c r="G127" s="81" t="s">
        <v>226</v>
      </c>
      <c r="H127" s="38" t="s">
        <v>131</v>
      </c>
      <c r="I127" s="38" t="s">
        <v>127</v>
      </c>
      <c r="J127" s="38" t="s">
        <v>127</v>
      </c>
      <c r="K127" s="38" t="s">
        <v>609</v>
      </c>
      <c r="L127" s="81" t="s">
        <v>783</v>
      </c>
      <c r="M127" s="38" t="s">
        <v>127</v>
      </c>
      <c r="N127" s="38" t="s">
        <v>127</v>
      </c>
      <c r="O127" s="80" t="s">
        <v>127</v>
      </c>
      <c r="P127" s="37" t="s">
        <v>135</v>
      </c>
      <c r="Q127" s="37" t="s">
        <v>127</v>
      </c>
      <c r="R127" s="37" t="s">
        <v>127</v>
      </c>
      <c r="S127" s="37" t="s">
        <v>127</v>
      </c>
      <c r="T127" s="77" t="s">
        <v>611</v>
      </c>
      <c r="U127" s="37" t="s">
        <v>718</v>
      </c>
      <c r="V127" s="37" t="b">
        <v>0</v>
      </c>
      <c r="W127" s="37" t="s">
        <v>127</v>
      </c>
      <c r="X127" s="123"/>
      <c r="Y127" s="37" t="s">
        <v>127</v>
      </c>
      <c r="Z127" s="37" t="s">
        <v>127</v>
      </c>
      <c r="AA127" s="37" t="s">
        <v>127</v>
      </c>
      <c r="AB127" s="37" t="s">
        <v>127</v>
      </c>
      <c r="AC127" s="78">
        <v>1.2</v>
      </c>
      <c r="AD127" s="78" t="s">
        <v>784</v>
      </c>
      <c r="AE127" s="37" t="s">
        <v>127</v>
      </c>
      <c r="AF127" s="37">
        <v>19246</v>
      </c>
      <c r="AG127" s="37" t="s">
        <v>127</v>
      </c>
      <c r="AH127" s="77" t="b">
        <v>1</v>
      </c>
      <c r="AI127" s="76" t="s">
        <v>127</v>
      </c>
      <c r="AJ127" s="77" t="s">
        <v>142</v>
      </c>
      <c r="AK127" s="37" t="s">
        <v>127</v>
      </c>
      <c r="AL127" s="37" t="s">
        <v>127</v>
      </c>
      <c r="AM127" s="37" t="b">
        <v>0</v>
      </c>
      <c r="AN127" s="37" t="s">
        <v>127</v>
      </c>
      <c r="AO127" s="37" t="s">
        <v>127</v>
      </c>
      <c r="AP127" s="37" t="s">
        <v>127</v>
      </c>
      <c r="AQ127" s="37" t="b">
        <v>0</v>
      </c>
      <c r="AR127" s="37" t="s">
        <v>127</v>
      </c>
      <c r="AS127" s="37" t="s">
        <v>127</v>
      </c>
      <c r="AT127" s="37" t="s">
        <v>127</v>
      </c>
      <c r="AU127" s="37" t="s">
        <v>127</v>
      </c>
      <c r="AV127" s="37" t="s">
        <v>127</v>
      </c>
      <c r="AW127" s="37" t="s">
        <v>127</v>
      </c>
      <c r="AX127" s="77" t="s">
        <v>127</v>
      </c>
      <c r="AY127" s="77" t="s">
        <v>127</v>
      </c>
      <c r="AZ127" s="77" t="s">
        <v>127</v>
      </c>
      <c r="BA127" s="77" t="s">
        <v>127</v>
      </c>
      <c r="BB127" s="37" t="s">
        <v>127</v>
      </c>
      <c r="BC127" s="77" t="s">
        <v>127</v>
      </c>
      <c r="BD127" s="77" t="s">
        <v>127</v>
      </c>
      <c r="BE127" s="37" t="s">
        <v>127</v>
      </c>
      <c r="BF127" s="77" t="s">
        <v>127</v>
      </c>
      <c r="BG127" s="77" t="s">
        <v>127</v>
      </c>
      <c r="BH127" s="77" t="s">
        <v>127</v>
      </c>
      <c r="BI127" s="40" t="b">
        <v>1</v>
      </c>
      <c r="BJ127" s="40" t="s">
        <v>137</v>
      </c>
      <c r="BK127" s="77" t="s">
        <v>127</v>
      </c>
      <c r="BL127" s="41">
        <v>2586.0479482522001</v>
      </c>
      <c r="BM127" s="130">
        <v>0</v>
      </c>
      <c r="BN127" s="130">
        <v>6.9721185949999995</v>
      </c>
      <c r="BO127" s="130">
        <v>33.655684550000004</v>
      </c>
      <c r="BP127" s="130">
        <v>2349.5080882099996</v>
      </c>
      <c r="BQ127" s="130">
        <v>154.83623693444</v>
      </c>
      <c r="BR127" s="130">
        <v>41.075819962759994</v>
      </c>
      <c r="BS127" s="130">
        <v>0</v>
      </c>
      <c r="BT127" s="130">
        <v>0</v>
      </c>
      <c r="BU127" s="130">
        <v>0</v>
      </c>
      <c r="BV127" s="130">
        <v>0</v>
      </c>
      <c r="BW127" s="49">
        <v>0</v>
      </c>
      <c r="BX127" s="37" t="s">
        <v>127</v>
      </c>
      <c r="BY127" s="37" t="s">
        <v>127</v>
      </c>
      <c r="BZ127" s="37" t="s">
        <v>173</v>
      </c>
      <c r="CA127" s="41">
        <v>0</v>
      </c>
      <c r="CB127" s="41">
        <v>0</v>
      </c>
      <c r="CC127" s="41">
        <v>0</v>
      </c>
      <c r="CD127" s="41">
        <v>0</v>
      </c>
      <c r="CE127" s="41">
        <v>0</v>
      </c>
      <c r="CF127" s="41">
        <v>0.30406561499999996</v>
      </c>
      <c r="CG127" s="45">
        <v>0</v>
      </c>
      <c r="CH127" s="45" t="s">
        <v>127</v>
      </c>
      <c r="CI127" s="77" t="s">
        <v>127</v>
      </c>
      <c r="CJ127" s="77" t="s">
        <v>127</v>
      </c>
      <c r="CK127" s="98">
        <v>0</v>
      </c>
      <c r="CL127" s="98">
        <v>1</v>
      </c>
      <c r="CM127" s="100" t="s">
        <v>785</v>
      </c>
    </row>
    <row r="128" spans="1:91" ht="12.75" customHeight="1" x14ac:dyDescent="0.3">
      <c r="A128" s="37">
        <v>126</v>
      </c>
      <c r="B128" s="37" t="s">
        <v>786</v>
      </c>
      <c r="C128" s="123"/>
      <c r="D128" s="123"/>
      <c r="E128" s="37" t="s">
        <v>127</v>
      </c>
      <c r="F128" s="36" t="s">
        <v>787</v>
      </c>
      <c r="G128" s="81" t="s">
        <v>226</v>
      </c>
      <c r="H128" s="38" t="s">
        <v>152</v>
      </c>
      <c r="I128" s="38" t="s">
        <v>152</v>
      </c>
      <c r="J128" s="38" t="s">
        <v>127</v>
      </c>
      <c r="K128" s="38" t="s">
        <v>609</v>
      </c>
      <c r="L128" s="81" t="s">
        <v>788</v>
      </c>
      <c r="M128" s="38" t="s">
        <v>127</v>
      </c>
      <c r="N128" s="38" t="s">
        <v>127</v>
      </c>
      <c r="O128" s="80" t="s">
        <v>127</v>
      </c>
      <c r="P128" s="37" t="s">
        <v>135</v>
      </c>
      <c r="Q128" s="37" t="s">
        <v>127</v>
      </c>
      <c r="R128" s="37" t="s">
        <v>127</v>
      </c>
      <c r="S128" s="37" t="s">
        <v>127</v>
      </c>
      <c r="T128" s="37" t="s">
        <v>127</v>
      </c>
      <c r="U128" s="37" t="s">
        <v>789</v>
      </c>
      <c r="V128" s="37" t="b">
        <v>0</v>
      </c>
      <c r="W128" s="37" t="s">
        <v>127</v>
      </c>
      <c r="X128" s="123"/>
      <c r="Y128" s="37" t="s">
        <v>137</v>
      </c>
      <c r="Z128" s="37" t="s">
        <v>137</v>
      </c>
      <c r="AA128" s="37" t="s">
        <v>127</v>
      </c>
      <c r="AB128" s="37" t="s">
        <v>127</v>
      </c>
      <c r="AC128" s="78">
        <v>1.2</v>
      </c>
      <c r="AD128" s="78">
        <v>2652431</v>
      </c>
      <c r="AE128" s="37" t="s">
        <v>127</v>
      </c>
      <c r="AF128" s="37">
        <v>19246</v>
      </c>
      <c r="AG128" s="37" t="s">
        <v>127</v>
      </c>
      <c r="AH128" s="77" t="b">
        <v>0</v>
      </c>
      <c r="AI128" s="76" t="s">
        <v>127</v>
      </c>
      <c r="AJ128" s="77" t="s">
        <v>142</v>
      </c>
      <c r="AK128" s="37" t="s">
        <v>127</v>
      </c>
      <c r="AL128" s="37" t="s">
        <v>127</v>
      </c>
      <c r="AM128" s="37" t="b">
        <v>0</v>
      </c>
      <c r="AN128" s="37" t="s">
        <v>127</v>
      </c>
      <c r="AO128" s="37" t="s">
        <v>127</v>
      </c>
      <c r="AP128" s="37" t="s">
        <v>127</v>
      </c>
      <c r="AQ128" s="77" t="b">
        <v>0</v>
      </c>
      <c r="AR128" s="37" t="s">
        <v>127</v>
      </c>
      <c r="AS128" s="37" t="s">
        <v>127</v>
      </c>
      <c r="AT128" s="37" t="s">
        <v>127</v>
      </c>
      <c r="AU128" s="37" t="s">
        <v>127</v>
      </c>
      <c r="AV128" s="37" t="s">
        <v>127</v>
      </c>
      <c r="AW128" s="37" t="s">
        <v>127</v>
      </c>
      <c r="AX128" s="77" t="s">
        <v>127</v>
      </c>
      <c r="AY128" s="76" t="s">
        <v>127</v>
      </c>
      <c r="AZ128" s="76" t="s">
        <v>127</v>
      </c>
      <c r="BA128" s="76" t="s">
        <v>127</v>
      </c>
      <c r="BB128" s="37" t="s">
        <v>143</v>
      </c>
      <c r="BC128" s="77" t="s">
        <v>127</v>
      </c>
      <c r="BD128" s="78" t="s">
        <v>127</v>
      </c>
      <c r="BE128" s="37" t="s">
        <v>127</v>
      </c>
      <c r="BF128" s="80" t="s">
        <v>127</v>
      </c>
      <c r="BG128" s="80" t="s">
        <v>127</v>
      </c>
      <c r="BH128" s="80" t="s">
        <v>127</v>
      </c>
      <c r="BI128" s="40" t="b">
        <v>1</v>
      </c>
      <c r="BJ128" s="40" t="s">
        <v>137</v>
      </c>
      <c r="BK128" s="37" t="s">
        <v>127</v>
      </c>
      <c r="BL128" s="41">
        <v>1059.4067859660001</v>
      </c>
      <c r="BM128" s="41">
        <v>0</v>
      </c>
      <c r="BN128" s="41">
        <v>362.26529345500006</v>
      </c>
      <c r="BO128" s="41">
        <v>-322.52911663499998</v>
      </c>
      <c r="BP128" s="41">
        <v>-31.438767317999982</v>
      </c>
      <c r="BQ128" s="41">
        <v>734.79994676899992</v>
      </c>
      <c r="BR128" s="41">
        <v>316.30942969500001</v>
      </c>
      <c r="BS128" s="41">
        <v>0</v>
      </c>
      <c r="BT128" s="41">
        <v>0</v>
      </c>
      <c r="BU128" s="41">
        <v>0</v>
      </c>
      <c r="BV128" s="41">
        <v>0</v>
      </c>
      <c r="BW128" s="49">
        <v>0</v>
      </c>
      <c r="BX128" s="37" t="s">
        <v>127</v>
      </c>
      <c r="BY128" s="37" t="s">
        <v>127</v>
      </c>
      <c r="BZ128" s="37" t="s">
        <v>173</v>
      </c>
      <c r="CA128" s="41">
        <v>0</v>
      </c>
      <c r="CB128" s="41">
        <v>0</v>
      </c>
      <c r="CC128" s="41">
        <v>0</v>
      </c>
      <c r="CD128" s="41">
        <v>0</v>
      </c>
      <c r="CE128" s="41">
        <v>0</v>
      </c>
      <c r="CF128" s="41">
        <v>316.30942969500001</v>
      </c>
      <c r="CG128" s="45">
        <v>1</v>
      </c>
      <c r="CH128" s="45" t="s">
        <v>790</v>
      </c>
      <c r="CI128" s="77" t="s">
        <v>127</v>
      </c>
      <c r="CJ128" s="77" t="s">
        <v>127</v>
      </c>
      <c r="CK128" s="98">
        <v>0</v>
      </c>
      <c r="CL128" s="98">
        <v>1</v>
      </c>
      <c r="CM128" s="99" t="s">
        <v>791</v>
      </c>
    </row>
    <row r="129" spans="1:91" ht="12.75" customHeight="1" x14ac:dyDescent="0.3">
      <c r="A129" s="37">
        <v>127</v>
      </c>
      <c r="B129" s="37" t="s">
        <v>792</v>
      </c>
      <c r="C129" s="125"/>
      <c r="D129" s="123"/>
      <c r="E129" s="77" t="s">
        <v>127</v>
      </c>
      <c r="F129" s="36" t="s">
        <v>793</v>
      </c>
      <c r="G129" s="81" t="s">
        <v>794</v>
      </c>
      <c r="H129" s="38" t="s">
        <v>127</v>
      </c>
      <c r="I129" s="38" t="s">
        <v>127</v>
      </c>
      <c r="J129" s="37" t="s">
        <v>127</v>
      </c>
      <c r="K129" s="38" t="s">
        <v>609</v>
      </c>
      <c r="L129" s="81" t="s">
        <v>243</v>
      </c>
      <c r="M129" s="38" t="s">
        <v>127</v>
      </c>
      <c r="N129" s="38" t="s">
        <v>127</v>
      </c>
      <c r="O129" s="76">
        <v>45378</v>
      </c>
      <c r="P129" s="37" t="s">
        <v>135</v>
      </c>
      <c r="Q129" s="37" t="s">
        <v>127</v>
      </c>
      <c r="R129" s="37" t="s">
        <v>127</v>
      </c>
      <c r="S129" s="37" t="s">
        <v>127</v>
      </c>
      <c r="T129" s="37" t="s">
        <v>127</v>
      </c>
      <c r="U129" s="37" t="s">
        <v>789</v>
      </c>
      <c r="V129" s="37" t="b">
        <v>0</v>
      </c>
      <c r="W129" s="37" t="s">
        <v>127</v>
      </c>
      <c r="X129" s="123"/>
      <c r="Y129" s="37" t="s">
        <v>137</v>
      </c>
      <c r="Z129" s="37" t="s">
        <v>127</v>
      </c>
      <c r="AA129" s="37" t="s">
        <v>127</v>
      </c>
      <c r="AB129" s="37" t="s">
        <v>127</v>
      </c>
      <c r="AC129" s="78">
        <v>1.2</v>
      </c>
      <c r="AD129" s="78" t="s">
        <v>139</v>
      </c>
      <c r="AE129" s="37" t="s">
        <v>140</v>
      </c>
      <c r="AF129" s="37">
        <v>19248</v>
      </c>
      <c r="AG129" s="37" t="s">
        <v>127</v>
      </c>
      <c r="AH129" s="37" t="b">
        <v>1</v>
      </c>
      <c r="AI129" s="76">
        <v>45252</v>
      </c>
      <c r="AJ129" s="77" t="s">
        <v>142</v>
      </c>
      <c r="AK129" s="37">
        <v>2020</v>
      </c>
      <c r="AL129" s="37" t="s">
        <v>127</v>
      </c>
      <c r="AM129" s="37" t="b">
        <v>0</v>
      </c>
      <c r="AN129" s="37" t="s">
        <v>127</v>
      </c>
      <c r="AO129" s="37" t="s">
        <v>127</v>
      </c>
      <c r="AP129" s="37" t="s">
        <v>127</v>
      </c>
      <c r="AQ129" s="37" t="b">
        <v>0</v>
      </c>
      <c r="AR129" s="37" t="s">
        <v>127</v>
      </c>
      <c r="AS129" s="37" t="s">
        <v>127</v>
      </c>
      <c r="AT129" s="37" t="s">
        <v>127</v>
      </c>
      <c r="AU129" s="37" t="s">
        <v>127</v>
      </c>
      <c r="AV129" s="37" t="s">
        <v>127</v>
      </c>
      <c r="AW129" s="37" t="s">
        <v>127</v>
      </c>
      <c r="AX129" s="37" t="s">
        <v>127</v>
      </c>
      <c r="AY129" s="76" t="s">
        <v>127</v>
      </c>
      <c r="AZ129" s="76" t="s">
        <v>127</v>
      </c>
      <c r="BA129" s="76" t="s">
        <v>127</v>
      </c>
      <c r="BB129" s="37" t="s">
        <v>143</v>
      </c>
      <c r="BC129" s="77" t="s">
        <v>127</v>
      </c>
      <c r="BD129" s="76" t="s">
        <v>127</v>
      </c>
      <c r="BE129" s="37" t="s">
        <v>127</v>
      </c>
      <c r="BF129" s="80" t="s">
        <v>127</v>
      </c>
      <c r="BG129" s="80" t="s">
        <v>127</v>
      </c>
      <c r="BH129" s="80" t="s">
        <v>127</v>
      </c>
      <c r="BI129" s="40" t="b">
        <v>0</v>
      </c>
      <c r="BJ129" s="40" t="s">
        <v>137</v>
      </c>
      <c r="BK129" s="37" t="s">
        <v>127</v>
      </c>
      <c r="BL129" s="41">
        <v>1002.9835522406898</v>
      </c>
      <c r="BM129" s="41">
        <v>45.267727406200009</v>
      </c>
      <c r="BN129" s="41">
        <v>201.38638818415998</v>
      </c>
      <c r="BO129" s="41">
        <v>240.03841136291999</v>
      </c>
      <c r="BP129" s="41">
        <v>283.21537080068998</v>
      </c>
      <c r="BQ129" s="41">
        <v>233.07565448672003</v>
      </c>
      <c r="BR129" s="41">
        <v>0</v>
      </c>
      <c r="BS129" s="41">
        <v>0</v>
      </c>
      <c r="BT129" s="41">
        <v>0</v>
      </c>
      <c r="BU129" s="41">
        <v>0</v>
      </c>
      <c r="BV129" s="41">
        <v>0</v>
      </c>
      <c r="BW129" s="49">
        <v>0</v>
      </c>
      <c r="BX129" s="37" t="s">
        <v>127</v>
      </c>
      <c r="BY129" s="37" t="s">
        <v>127</v>
      </c>
      <c r="BZ129" s="37" t="s">
        <v>127</v>
      </c>
      <c r="CA129" s="41">
        <v>0</v>
      </c>
      <c r="CB129" s="41">
        <v>0</v>
      </c>
      <c r="CC129" s="41">
        <v>0</v>
      </c>
      <c r="CD129" s="41">
        <v>0</v>
      </c>
      <c r="CE129" s="41">
        <v>0</v>
      </c>
      <c r="CF129" s="41">
        <v>0</v>
      </c>
      <c r="CG129" s="45">
        <v>0</v>
      </c>
      <c r="CH129" s="45" t="s">
        <v>127</v>
      </c>
      <c r="CI129" s="37" t="s">
        <v>127</v>
      </c>
      <c r="CJ129" s="77" t="s">
        <v>127</v>
      </c>
      <c r="CK129" s="98">
        <v>0</v>
      </c>
      <c r="CL129" s="98">
        <v>1</v>
      </c>
      <c r="CM129" s="100" t="s">
        <v>777</v>
      </c>
    </row>
    <row r="130" spans="1:91" ht="12.65" customHeight="1" x14ac:dyDescent="0.3">
      <c r="A130" s="37">
        <v>128</v>
      </c>
      <c r="B130" s="37" t="s">
        <v>795</v>
      </c>
      <c r="C130" s="125"/>
      <c r="D130" s="123"/>
      <c r="E130" s="77" t="s">
        <v>127</v>
      </c>
      <c r="F130" s="36" t="s">
        <v>796</v>
      </c>
      <c r="G130" s="75" t="s">
        <v>513</v>
      </c>
      <c r="H130" s="37" t="s">
        <v>130</v>
      </c>
      <c r="I130" s="37" t="s">
        <v>127</v>
      </c>
      <c r="J130" s="37" t="s">
        <v>127</v>
      </c>
      <c r="K130" s="37" t="s">
        <v>797</v>
      </c>
      <c r="L130" s="75" t="s">
        <v>282</v>
      </c>
      <c r="M130" s="37" t="s">
        <v>127</v>
      </c>
      <c r="N130" s="37" t="s">
        <v>127</v>
      </c>
      <c r="O130" s="76" t="s">
        <v>127</v>
      </c>
      <c r="P130" s="37" t="s">
        <v>135</v>
      </c>
      <c r="Q130" s="37" t="s">
        <v>127</v>
      </c>
      <c r="R130" s="37" t="s">
        <v>127</v>
      </c>
      <c r="S130" s="37" t="s">
        <v>127</v>
      </c>
      <c r="T130" s="37" t="s">
        <v>127</v>
      </c>
      <c r="U130" s="37" t="s">
        <v>136</v>
      </c>
      <c r="V130" s="37" t="b">
        <v>0</v>
      </c>
      <c r="W130" s="77" t="s">
        <v>127</v>
      </c>
      <c r="X130" s="123"/>
      <c r="Y130" s="37" t="s">
        <v>137</v>
      </c>
      <c r="Z130" s="37" t="s">
        <v>137</v>
      </c>
      <c r="AA130" s="37" t="s">
        <v>153</v>
      </c>
      <c r="AB130" s="37" t="s">
        <v>127</v>
      </c>
      <c r="AC130" s="78">
        <v>1.2</v>
      </c>
      <c r="AD130" s="78" t="s">
        <v>139</v>
      </c>
      <c r="AE130" s="37" t="s">
        <v>140</v>
      </c>
      <c r="AF130" s="37">
        <v>20126</v>
      </c>
      <c r="AG130" s="37" t="s">
        <v>141</v>
      </c>
      <c r="AH130" s="37" t="b">
        <v>1</v>
      </c>
      <c r="AI130" s="76">
        <v>45266</v>
      </c>
      <c r="AJ130" s="77" t="s">
        <v>142</v>
      </c>
      <c r="AK130" s="37" t="s">
        <v>127</v>
      </c>
      <c r="AL130" s="37" t="s">
        <v>127</v>
      </c>
      <c r="AM130" s="37" t="b">
        <v>0</v>
      </c>
      <c r="AN130" s="37" t="s">
        <v>127</v>
      </c>
      <c r="AO130" s="37" t="s">
        <v>127</v>
      </c>
      <c r="AP130" s="37" t="s">
        <v>137</v>
      </c>
      <c r="AQ130" s="37" t="b">
        <v>0</v>
      </c>
      <c r="AR130" s="37" t="s">
        <v>127</v>
      </c>
      <c r="AS130" s="76" t="s">
        <v>137</v>
      </c>
      <c r="AT130" s="37" t="s">
        <v>127</v>
      </c>
      <c r="AU130" s="37" t="s">
        <v>127</v>
      </c>
      <c r="AV130" s="37" t="s">
        <v>137</v>
      </c>
      <c r="AW130" s="37" t="s">
        <v>137</v>
      </c>
      <c r="AX130" s="37" t="s">
        <v>127</v>
      </c>
      <c r="AY130" s="76" t="s">
        <v>127</v>
      </c>
      <c r="AZ130" s="77" t="s">
        <v>127</v>
      </c>
      <c r="BA130" s="37" t="s">
        <v>127</v>
      </c>
      <c r="BB130" s="37" t="s">
        <v>143</v>
      </c>
      <c r="BC130" s="77" t="s">
        <v>127</v>
      </c>
      <c r="BD130" s="76" t="s">
        <v>127</v>
      </c>
      <c r="BE130" s="37" t="s">
        <v>137</v>
      </c>
      <c r="BF130" s="80" t="s">
        <v>127</v>
      </c>
      <c r="BG130" s="39" t="s">
        <v>127</v>
      </c>
      <c r="BH130" s="37" t="s">
        <v>127</v>
      </c>
      <c r="BI130" s="40" t="b">
        <v>1</v>
      </c>
      <c r="BJ130" s="40" t="s">
        <v>137</v>
      </c>
      <c r="BK130" s="37" t="s">
        <v>127</v>
      </c>
      <c r="BL130" s="110">
        <f>503456.439490588-SUM(BL131:BL156)</f>
        <v>462173.68190229684</v>
      </c>
      <c r="BM130" s="110">
        <f>28312.376474558-SUM(BM131:BM156)</f>
        <v>24833.238484558002</v>
      </c>
      <c r="BN130" s="110">
        <f>41814.07966186-SUM(BN131:BN156)</f>
        <v>32661.129401859998</v>
      </c>
      <c r="BO130" s="110">
        <f>46988.54872493-SUM(BO131:BO156)</f>
        <v>35597.133224930003</v>
      </c>
      <c r="BP130" s="110">
        <f>44175.95553565-SUM(BP131:BP156)</f>
        <v>36371.463315649999</v>
      </c>
      <c r="BQ130" s="110">
        <f>46943.23531579-SUM(BQ131:BQ156)</f>
        <v>40881.518925789998</v>
      </c>
      <c r="BR130" s="110">
        <f>41596.6205504766-SUM(BR131:BR156)</f>
        <v>39825.716802185423</v>
      </c>
      <c r="BS130" s="110">
        <f>45841.7764581237-SUM(BS131:BS156)</f>
        <v>45841.776458123699</v>
      </c>
      <c r="BT130" s="110">
        <f>37889.5274373622-SUM(BT131:BT156)</f>
        <v>37889.527437362201</v>
      </c>
      <c r="BU130" s="110">
        <f>38742.901400901-SUM(BU131:BU156)</f>
        <v>38742.901400900999</v>
      </c>
      <c r="BV130" s="110">
        <f>40029.501960234-SUM(BV131:BV156)</f>
        <v>40029.501960234003</v>
      </c>
      <c r="BW130" s="111">
        <f>19527.16692-SUM(BW131:BW156)</f>
        <v>14199.053459999999</v>
      </c>
      <c r="BX130" s="37" t="s">
        <v>127</v>
      </c>
      <c r="BY130" s="37" t="s">
        <v>127</v>
      </c>
      <c r="BZ130" s="37" t="s">
        <v>155</v>
      </c>
      <c r="CA130" s="41">
        <v>23282.023000000001</v>
      </c>
      <c r="CB130" s="41">
        <v>32239.65</v>
      </c>
      <c r="CC130" s="41">
        <v>32795.449999999997</v>
      </c>
      <c r="CD130" s="41">
        <v>35290.68</v>
      </c>
      <c r="CE130" s="41">
        <v>11988.15</v>
      </c>
      <c r="CF130" s="110">
        <f>33689.92-SUM(CF131:CF156)</f>
        <v>27856.70475371357</v>
      </c>
      <c r="CG130" s="45">
        <v>0</v>
      </c>
      <c r="CH130" s="45" t="s">
        <v>137</v>
      </c>
      <c r="CI130" s="37" t="s">
        <v>127</v>
      </c>
      <c r="CJ130" s="77" t="s">
        <v>127</v>
      </c>
      <c r="CK130" s="98">
        <v>0.18140000000000001</v>
      </c>
      <c r="CL130" s="98">
        <v>0.81859999999999999</v>
      </c>
      <c r="CM130" s="100" t="s">
        <v>798</v>
      </c>
    </row>
    <row r="131" spans="1:91" ht="12.75" customHeight="1" x14ac:dyDescent="0.3">
      <c r="A131" s="37">
        <v>129</v>
      </c>
      <c r="B131" s="37" t="s">
        <v>799</v>
      </c>
      <c r="C131" s="124"/>
      <c r="D131" s="124"/>
      <c r="E131" s="37" t="s">
        <v>800</v>
      </c>
      <c r="F131" s="36" t="s">
        <v>796</v>
      </c>
      <c r="G131" s="81" t="s">
        <v>513</v>
      </c>
      <c r="H131" s="37" t="s">
        <v>130</v>
      </c>
      <c r="I131" s="37" t="s">
        <v>127</v>
      </c>
      <c r="J131" s="37" t="s">
        <v>127</v>
      </c>
      <c r="K131" s="37" t="s">
        <v>797</v>
      </c>
      <c r="L131" s="75" t="s">
        <v>282</v>
      </c>
      <c r="M131" s="37" t="s">
        <v>127</v>
      </c>
      <c r="N131" s="37" t="s">
        <v>127</v>
      </c>
      <c r="O131" s="80">
        <v>45400</v>
      </c>
      <c r="P131" s="121" t="s">
        <v>801</v>
      </c>
      <c r="Q131" s="37" t="s">
        <v>127</v>
      </c>
      <c r="R131" s="37" t="s">
        <v>127</v>
      </c>
      <c r="S131" s="37" t="s">
        <v>127</v>
      </c>
      <c r="T131" s="37" t="s">
        <v>127</v>
      </c>
      <c r="U131" s="37" t="s">
        <v>136</v>
      </c>
      <c r="V131" s="37" t="b">
        <v>0</v>
      </c>
      <c r="W131" s="37" t="s">
        <v>127</v>
      </c>
      <c r="X131" s="123"/>
      <c r="Y131" s="37">
        <v>0.1</v>
      </c>
      <c r="Z131" s="37" t="s">
        <v>127</v>
      </c>
      <c r="AA131" s="37" t="s">
        <v>153</v>
      </c>
      <c r="AB131" s="37" t="s">
        <v>127</v>
      </c>
      <c r="AC131" s="78">
        <v>1.1000000000000001</v>
      </c>
      <c r="AD131" s="78">
        <v>2073856</v>
      </c>
      <c r="AE131" s="37" t="s">
        <v>802</v>
      </c>
      <c r="AF131" s="37">
        <v>20126</v>
      </c>
      <c r="AG131" s="37" t="s">
        <v>127</v>
      </c>
      <c r="AH131" s="37" t="b">
        <v>0</v>
      </c>
      <c r="AI131" s="76" t="s">
        <v>127</v>
      </c>
      <c r="AJ131" s="77" t="s">
        <v>142</v>
      </c>
      <c r="AK131" s="37" t="s">
        <v>127</v>
      </c>
      <c r="AL131" s="37" t="s">
        <v>127</v>
      </c>
      <c r="AM131" s="37" t="b">
        <v>0</v>
      </c>
      <c r="AN131" s="37" t="s">
        <v>127</v>
      </c>
      <c r="AO131" s="37" t="s">
        <v>127</v>
      </c>
      <c r="AP131" s="37" t="s">
        <v>127</v>
      </c>
      <c r="AQ131" s="37" t="b">
        <v>0</v>
      </c>
      <c r="AR131" s="37" t="s">
        <v>127</v>
      </c>
      <c r="AS131" s="37" t="s">
        <v>127</v>
      </c>
      <c r="AT131" s="37" t="s">
        <v>127</v>
      </c>
      <c r="AU131" s="37" t="s">
        <v>127</v>
      </c>
      <c r="AV131" s="37" t="s">
        <v>127</v>
      </c>
      <c r="AW131" s="37" t="s">
        <v>127</v>
      </c>
      <c r="AX131" s="37" t="s">
        <v>161</v>
      </c>
      <c r="AY131" s="37" t="s">
        <v>127</v>
      </c>
      <c r="AZ131" s="37" t="s">
        <v>127</v>
      </c>
      <c r="BA131" s="37" t="s">
        <v>127</v>
      </c>
      <c r="BB131" s="129" t="s">
        <v>460</v>
      </c>
      <c r="BC131" s="77" t="s">
        <v>127</v>
      </c>
      <c r="BD131" s="76" t="s">
        <v>127</v>
      </c>
      <c r="BE131" s="37" t="s">
        <v>127</v>
      </c>
      <c r="BF131" s="80" t="s">
        <v>803</v>
      </c>
      <c r="BG131" s="39" t="s">
        <v>127</v>
      </c>
      <c r="BH131" s="37" t="s">
        <v>127</v>
      </c>
      <c r="BI131" s="40" t="b">
        <v>1</v>
      </c>
      <c r="BJ131" s="40" t="s">
        <v>137</v>
      </c>
      <c r="BK131" s="37" t="s">
        <v>127</v>
      </c>
      <c r="BL131" s="41">
        <v>1027.9722757371005</v>
      </c>
      <c r="BM131" s="41">
        <v>0</v>
      </c>
      <c r="BN131" s="41">
        <v>74.467879999999994</v>
      </c>
      <c r="BO131" s="41">
        <v>203.17968999999999</v>
      </c>
      <c r="BP131" s="41">
        <v>378.60663999999986</v>
      </c>
      <c r="BQ131" s="41">
        <v>290.02078999999998</v>
      </c>
      <c r="BR131" s="41">
        <v>81.697275737100526</v>
      </c>
      <c r="BS131" s="41">
        <v>0</v>
      </c>
      <c r="BT131" s="41">
        <v>0</v>
      </c>
      <c r="BU131" s="41">
        <v>0</v>
      </c>
      <c r="BV131" s="41">
        <v>0</v>
      </c>
      <c r="BW131" s="49">
        <v>965.14458999999999</v>
      </c>
      <c r="BX131" s="37" t="s">
        <v>127</v>
      </c>
      <c r="BY131" s="37" t="s">
        <v>127</v>
      </c>
      <c r="BZ131" s="37" t="s">
        <v>173</v>
      </c>
      <c r="CA131" s="41">
        <v>0</v>
      </c>
      <c r="CB131" s="41">
        <v>0</v>
      </c>
      <c r="CC131" s="41">
        <v>0</v>
      </c>
      <c r="CD131" s="41">
        <v>0</v>
      </c>
      <c r="CE131" s="41">
        <v>0</v>
      </c>
      <c r="CF131" s="41">
        <v>941.16338573710061</v>
      </c>
      <c r="CG131" s="45">
        <v>0</v>
      </c>
      <c r="CH131" s="45" t="s">
        <v>137</v>
      </c>
      <c r="CI131" s="37" t="s">
        <v>127</v>
      </c>
      <c r="CJ131" s="77" t="s">
        <v>127</v>
      </c>
      <c r="CK131" s="98">
        <v>0.18140000000000001</v>
      </c>
      <c r="CL131" s="98">
        <v>0.81859999999999999</v>
      </c>
      <c r="CM131" s="100" t="s">
        <v>804</v>
      </c>
    </row>
    <row r="132" spans="1:91" ht="12.75" customHeight="1" x14ac:dyDescent="0.3">
      <c r="A132" s="37">
        <v>130</v>
      </c>
      <c r="B132" s="37" t="s">
        <v>805</v>
      </c>
      <c r="C132" s="124"/>
      <c r="D132" s="124"/>
      <c r="E132" s="37" t="s">
        <v>258</v>
      </c>
      <c r="F132" s="36" t="s">
        <v>796</v>
      </c>
      <c r="G132" s="81" t="s">
        <v>513</v>
      </c>
      <c r="H132" s="37" t="s">
        <v>130</v>
      </c>
      <c r="I132" s="37" t="s">
        <v>127</v>
      </c>
      <c r="J132" s="37" t="s">
        <v>127</v>
      </c>
      <c r="K132" s="37" t="s">
        <v>797</v>
      </c>
      <c r="L132" s="75" t="s">
        <v>282</v>
      </c>
      <c r="M132" s="37" t="s">
        <v>127</v>
      </c>
      <c r="N132" s="37" t="s">
        <v>127</v>
      </c>
      <c r="O132" s="80">
        <v>45367</v>
      </c>
      <c r="P132" s="37">
        <v>53</v>
      </c>
      <c r="Q132" s="37" t="s">
        <v>127</v>
      </c>
      <c r="R132" s="37" t="s">
        <v>127</v>
      </c>
      <c r="S132" s="37" t="s">
        <v>127</v>
      </c>
      <c r="T132" s="37" t="s">
        <v>127</v>
      </c>
      <c r="U132" s="37" t="s">
        <v>136</v>
      </c>
      <c r="V132" s="37" t="b">
        <v>0</v>
      </c>
      <c r="W132" s="37" t="s">
        <v>127</v>
      </c>
      <c r="X132" s="123"/>
      <c r="Y132" s="37">
        <v>0.1</v>
      </c>
      <c r="Z132" s="37" t="s">
        <v>127</v>
      </c>
      <c r="AA132" s="37" t="s">
        <v>153</v>
      </c>
      <c r="AB132" s="37" t="s">
        <v>127</v>
      </c>
      <c r="AC132" s="78">
        <v>1.1000000000000001</v>
      </c>
      <c r="AD132" s="78">
        <v>2294164</v>
      </c>
      <c r="AE132" s="37" t="s">
        <v>806</v>
      </c>
      <c r="AF132" s="37">
        <v>20126</v>
      </c>
      <c r="AG132" s="37" t="s">
        <v>127</v>
      </c>
      <c r="AH132" s="37" t="b">
        <v>0</v>
      </c>
      <c r="AI132" s="76" t="s">
        <v>127</v>
      </c>
      <c r="AJ132" s="77" t="s">
        <v>142</v>
      </c>
      <c r="AK132" s="37" t="s">
        <v>127</v>
      </c>
      <c r="AL132" s="37" t="s">
        <v>127</v>
      </c>
      <c r="AM132" s="37" t="b">
        <v>0</v>
      </c>
      <c r="AN132" s="37" t="s">
        <v>127</v>
      </c>
      <c r="AO132" s="37" t="s">
        <v>127</v>
      </c>
      <c r="AP132" s="37" t="s">
        <v>127</v>
      </c>
      <c r="AQ132" s="37" t="b">
        <v>0</v>
      </c>
      <c r="AR132" s="37" t="s">
        <v>127</v>
      </c>
      <c r="AS132" s="37" t="s">
        <v>127</v>
      </c>
      <c r="AT132" s="37" t="s">
        <v>127</v>
      </c>
      <c r="AU132" s="37" t="s">
        <v>127</v>
      </c>
      <c r="AV132" s="37" t="s">
        <v>127</v>
      </c>
      <c r="AW132" s="37" t="s">
        <v>127</v>
      </c>
      <c r="AX132" s="37" t="s">
        <v>161</v>
      </c>
      <c r="AY132" s="37" t="s">
        <v>127</v>
      </c>
      <c r="AZ132" s="37" t="s">
        <v>127</v>
      </c>
      <c r="BA132" s="37" t="s">
        <v>127</v>
      </c>
      <c r="BB132" s="37" t="s">
        <v>143</v>
      </c>
      <c r="BC132" s="77" t="s">
        <v>127</v>
      </c>
      <c r="BD132" s="76" t="s">
        <v>807</v>
      </c>
      <c r="BE132" s="37" t="s">
        <v>127</v>
      </c>
      <c r="BF132" s="86" t="s">
        <v>808</v>
      </c>
      <c r="BG132" s="39" t="s">
        <v>127</v>
      </c>
      <c r="BH132" s="37" t="s">
        <v>127</v>
      </c>
      <c r="BI132" s="40" t="b">
        <v>0</v>
      </c>
      <c r="BJ132" s="40" t="s">
        <v>137</v>
      </c>
      <c r="BK132" s="37" t="s">
        <v>127</v>
      </c>
      <c r="BL132" s="41">
        <v>1161.1713</v>
      </c>
      <c r="BM132" s="41">
        <v>0</v>
      </c>
      <c r="BN132" s="41">
        <v>0</v>
      </c>
      <c r="BO132" s="41">
        <v>1056.78045</v>
      </c>
      <c r="BP132" s="41">
        <v>104.39084999999999</v>
      </c>
      <c r="BQ132" s="41">
        <v>0</v>
      </c>
      <c r="BR132" s="41">
        <v>0</v>
      </c>
      <c r="BS132" s="41">
        <v>0</v>
      </c>
      <c r="BT132" s="41">
        <v>0</v>
      </c>
      <c r="BU132" s="41">
        <v>0</v>
      </c>
      <c r="BV132" s="41">
        <v>0</v>
      </c>
      <c r="BW132" s="49">
        <v>0</v>
      </c>
      <c r="BX132" s="37" t="s">
        <v>127</v>
      </c>
      <c r="BY132" s="37" t="s">
        <v>127</v>
      </c>
      <c r="BZ132" s="37" t="s">
        <v>252</v>
      </c>
      <c r="CA132" s="41">
        <v>0</v>
      </c>
      <c r="CB132" s="41">
        <v>0</v>
      </c>
      <c r="CC132" s="41">
        <v>1161.17</v>
      </c>
      <c r="CD132" s="41">
        <v>0</v>
      </c>
      <c r="CE132" s="41">
        <v>0</v>
      </c>
      <c r="CF132" s="41">
        <v>0</v>
      </c>
      <c r="CG132" s="45">
        <v>0</v>
      </c>
      <c r="CH132" s="45" t="s">
        <v>137</v>
      </c>
      <c r="CI132" s="37" t="s">
        <v>127</v>
      </c>
      <c r="CJ132" s="77" t="s">
        <v>127</v>
      </c>
      <c r="CK132" s="98">
        <v>0.18140000000000001</v>
      </c>
      <c r="CL132" s="98">
        <v>0.81859999999999999</v>
      </c>
      <c r="CM132" s="100" t="s">
        <v>798</v>
      </c>
    </row>
    <row r="133" spans="1:91" ht="12.75" customHeight="1" x14ac:dyDescent="0.3">
      <c r="A133" s="37">
        <v>131</v>
      </c>
      <c r="B133" s="37" t="s">
        <v>809</v>
      </c>
      <c r="C133" s="124"/>
      <c r="D133" s="124"/>
      <c r="E133" s="37" t="s">
        <v>800</v>
      </c>
      <c r="F133" s="36" t="s">
        <v>796</v>
      </c>
      <c r="G133" s="81" t="s">
        <v>513</v>
      </c>
      <c r="H133" s="37" t="s">
        <v>130</v>
      </c>
      <c r="I133" s="37" t="s">
        <v>127</v>
      </c>
      <c r="J133" s="37" t="s">
        <v>127</v>
      </c>
      <c r="K133" s="37" t="s">
        <v>797</v>
      </c>
      <c r="L133" s="75" t="s">
        <v>282</v>
      </c>
      <c r="M133" s="37" t="s">
        <v>127</v>
      </c>
      <c r="N133" s="37" t="s">
        <v>127</v>
      </c>
      <c r="O133" s="80">
        <v>45192</v>
      </c>
      <c r="P133" s="91" t="s">
        <v>810</v>
      </c>
      <c r="Q133" s="37" t="s">
        <v>127</v>
      </c>
      <c r="R133" s="37" t="s">
        <v>127</v>
      </c>
      <c r="S133" s="37" t="s">
        <v>127</v>
      </c>
      <c r="T133" s="37" t="s">
        <v>127</v>
      </c>
      <c r="U133" s="37" t="s">
        <v>136</v>
      </c>
      <c r="V133" s="37" t="b">
        <v>0</v>
      </c>
      <c r="W133" s="37" t="s">
        <v>127</v>
      </c>
      <c r="X133" s="123"/>
      <c r="Y133" s="37">
        <v>0.1</v>
      </c>
      <c r="Z133" s="37" t="s">
        <v>127</v>
      </c>
      <c r="AA133" s="37" t="s">
        <v>153</v>
      </c>
      <c r="AB133" s="37" t="s">
        <v>127</v>
      </c>
      <c r="AC133" s="78">
        <v>1.1000000000000001</v>
      </c>
      <c r="AD133" s="78">
        <v>2304526</v>
      </c>
      <c r="AE133" s="37" t="s">
        <v>811</v>
      </c>
      <c r="AF133" s="37">
        <v>20126</v>
      </c>
      <c r="AG133" s="37" t="s">
        <v>127</v>
      </c>
      <c r="AH133" s="37" t="b">
        <v>0</v>
      </c>
      <c r="AI133" s="76" t="s">
        <v>127</v>
      </c>
      <c r="AJ133" s="77" t="s">
        <v>142</v>
      </c>
      <c r="AK133" s="37" t="s">
        <v>127</v>
      </c>
      <c r="AL133" s="37" t="s">
        <v>127</v>
      </c>
      <c r="AM133" s="37" t="b">
        <v>0</v>
      </c>
      <c r="AN133" s="37" t="s">
        <v>127</v>
      </c>
      <c r="AO133" s="37" t="s">
        <v>127</v>
      </c>
      <c r="AP133" s="37" t="s">
        <v>127</v>
      </c>
      <c r="AQ133" s="37" t="b">
        <v>0</v>
      </c>
      <c r="AR133" s="37" t="s">
        <v>127</v>
      </c>
      <c r="AS133" s="37" t="s">
        <v>127</v>
      </c>
      <c r="AT133" s="37" t="s">
        <v>127</v>
      </c>
      <c r="AU133" s="37" t="s">
        <v>127</v>
      </c>
      <c r="AV133" s="37" t="s">
        <v>127</v>
      </c>
      <c r="AW133" s="37" t="s">
        <v>127</v>
      </c>
      <c r="AX133" s="37" t="s">
        <v>161</v>
      </c>
      <c r="AY133" s="37" t="s">
        <v>127</v>
      </c>
      <c r="AZ133" s="37" t="s">
        <v>127</v>
      </c>
      <c r="BA133" s="37" t="s">
        <v>127</v>
      </c>
      <c r="BB133" s="37" t="s">
        <v>812</v>
      </c>
      <c r="BC133" s="77" t="s">
        <v>127</v>
      </c>
      <c r="BD133" s="76" t="s">
        <v>127</v>
      </c>
      <c r="BE133" s="37" t="s">
        <v>127</v>
      </c>
      <c r="BF133" s="80" t="s">
        <v>813</v>
      </c>
      <c r="BG133" s="39" t="s">
        <v>127</v>
      </c>
      <c r="BH133" s="37" t="s">
        <v>127</v>
      </c>
      <c r="BI133" s="40" t="b">
        <v>1</v>
      </c>
      <c r="BJ133" s="40" t="s">
        <v>137</v>
      </c>
      <c r="BK133" s="37" t="s">
        <v>127</v>
      </c>
      <c r="BL133" s="41">
        <v>1324.5236720047471</v>
      </c>
      <c r="BM133" s="41">
        <v>0</v>
      </c>
      <c r="BN133" s="41">
        <v>0</v>
      </c>
      <c r="BO133" s="41">
        <v>22.137240000000002</v>
      </c>
      <c r="BP133" s="41">
        <v>57.86692</v>
      </c>
      <c r="BQ133" s="41">
        <v>804.72034000000019</v>
      </c>
      <c r="BR133" s="41">
        <v>439.79917200474694</v>
      </c>
      <c r="BS133" s="41">
        <v>0</v>
      </c>
      <c r="BT133" s="41">
        <v>0</v>
      </c>
      <c r="BU133" s="41">
        <v>0</v>
      </c>
      <c r="BV133" s="41">
        <v>0</v>
      </c>
      <c r="BW133" s="49">
        <v>0</v>
      </c>
      <c r="BX133" s="37" t="s">
        <v>127</v>
      </c>
      <c r="BY133" s="37" t="s">
        <v>127</v>
      </c>
      <c r="BZ133" s="37" t="s">
        <v>198</v>
      </c>
      <c r="CA133" s="41">
        <v>0</v>
      </c>
      <c r="CB133" s="41">
        <v>0</v>
      </c>
      <c r="CC133" s="41">
        <v>0</v>
      </c>
      <c r="CD133" s="41">
        <v>884.72450000000003</v>
      </c>
      <c r="CE133" s="41">
        <v>448.24</v>
      </c>
      <c r="CF133" s="110">
        <v>0</v>
      </c>
      <c r="CG133" s="45">
        <v>0</v>
      </c>
      <c r="CH133" s="45" t="s">
        <v>137</v>
      </c>
      <c r="CI133" s="37" t="s">
        <v>127</v>
      </c>
      <c r="CJ133" s="77" t="s">
        <v>127</v>
      </c>
      <c r="CK133" s="98">
        <v>0.18140000000000001</v>
      </c>
      <c r="CL133" s="98">
        <v>0.81859999999999999</v>
      </c>
      <c r="CM133" s="100" t="s">
        <v>386</v>
      </c>
    </row>
    <row r="134" spans="1:91" ht="12.75" customHeight="1" x14ac:dyDescent="0.3">
      <c r="A134" s="37">
        <v>132</v>
      </c>
      <c r="B134" s="37" t="s">
        <v>814</v>
      </c>
      <c r="C134" s="125"/>
      <c r="D134" s="123"/>
      <c r="E134" s="37" t="s">
        <v>127</v>
      </c>
      <c r="F134" s="36" t="s">
        <v>815</v>
      </c>
      <c r="G134" s="81" t="s">
        <v>513</v>
      </c>
      <c r="H134" s="37" t="s">
        <v>130</v>
      </c>
      <c r="I134" s="37" t="s">
        <v>127</v>
      </c>
      <c r="J134" s="37" t="s">
        <v>127</v>
      </c>
      <c r="K134" s="37" t="s">
        <v>797</v>
      </c>
      <c r="L134" s="75" t="s">
        <v>282</v>
      </c>
      <c r="M134" s="37" t="s">
        <v>127</v>
      </c>
      <c r="N134" s="37" t="s">
        <v>127</v>
      </c>
      <c r="O134" s="77" t="s">
        <v>127</v>
      </c>
      <c r="P134" s="37" t="s">
        <v>135</v>
      </c>
      <c r="Q134" s="37" t="s">
        <v>127</v>
      </c>
      <c r="R134" s="37" t="s">
        <v>127</v>
      </c>
      <c r="S134" s="37" t="s">
        <v>127</v>
      </c>
      <c r="T134" s="37" t="s">
        <v>127</v>
      </c>
      <c r="U134" s="37" t="s">
        <v>136</v>
      </c>
      <c r="V134" s="37" t="b">
        <v>0</v>
      </c>
      <c r="W134" s="37" t="s">
        <v>127</v>
      </c>
      <c r="X134" s="123"/>
      <c r="Y134" s="37" t="s">
        <v>127</v>
      </c>
      <c r="Z134" s="37" t="s">
        <v>127</v>
      </c>
      <c r="AA134" s="37" t="s">
        <v>153</v>
      </c>
      <c r="AB134" s="37" t="s">
        <v>127</v>
      </c>
      <c r="AC134" s="78">
        <v>1.1000000000000001</v>
      </c>
      <c r="AD134" s="78">
        <v>2393889</v>
      </c>
      <c r="AE134" s="37" t="s">
        <v>127</v>
      </c>
      <c r="AF134" s="37">
        <v>20126</v>
      </c>
      <c r="AG134" s="37" t="s">
        <v>127</v>
      </c>
      <c r="AH134" s="37" t="b">
        <v>0</v>
      </c>
      <c r="AI134" s="76" t="s">
        <v>127</v>
      </c>
      <c r="AJ134" s="77" t="s">
        <v>142</v>
      </c>
      <c r="AK134" s="37" t="s">
        <v>127</v>
      </c>
      <c r="AL134" s="37" t="s">
        <v>127</v>
      </c>
      <c r="AM134" s="37" t="b">
        <v>0</v>
      </c>
      <c r="AN134" s="37" t="s">
        <v>127</v>
      </c>
      <c r="AO134" s="37" t="s">
        <v>127</v>
      </c>
      <c r="AP134" s="37" t="s">
        <v>127</v>
      </c>
      <c r="AQ134" s="37" t="b">
        <v>0</v>
      </c>
      <c r="AR134" s="37" t="s">
        <v>127</v>
      </c>
      <c r="AS134" s="37" t="s">
        <v>127</v>
      </c>
      <c r="AT134" s="37" t="s">
        <v>127</v>
      </c>
      <c r="AU134" s="37" t="s">
        <v>127</v>
      </c>
      <c r="AV134" s="37" t="s">
        <v>127</v>
      </c>
      <c r="AW134" s="37" t="s">
        <v>127</v>
      </c>
      <c r="AX134" s="77" t="s">
        <v>127</v>
      </c>
      <c r="AY134" s="92" t="s">
        <v>127</v>
      </c>
      <c r="AZ134" s="92" t="s">
        <v>127</v>
      </c>
      <c r="BA134" s="92" t="s">
        <v>127</v>
      </c>
      <c r="BB134" s="37" t="s">
        <v>127</v>
      </c>
      <c r="BC134" s="77" t="s">
        <v>127</v>
      </c>
      <c r="BD134" s="76" t="s">
        <v>127</v>
      </c>
      <c r="BE134" s="37" t="s">
        <v>127</v>
      </c>
      <c r="BF134" s="80" t="s">
        <v>127</v>
      </c>
      <c r="BG134" s="39" t="s">
        <v>127</v>
      </c>
      <c r="BH134" s="37" t="s">
        <v>127</v>
      </c>
      <c r="BI134" s="40" t="b">
        <v>1</v>
      </c>
      <c r="BJ134" s="40" t="s">
        <v>137</v>
      </c>
      <c r="BK134" s="37" t="s">
        <v>127</v>
      </c>
      <c r="BL134" s="41">
        <v>2034.7078599999995</v>
      </c>
      <c r="BM134" s="41">
        <v>0</v>
      </c>
      <c r="BN134" s="41">
        <v>350.27471999999972</v>
      </c>
      <c r="BO134" s="41">
        <v>924.61300000000028</v>
      </c>
      <c r="BP134" s="41">
        <v>283.10908000000001</v>
      </c>
      <c r="BQ134" s="41">
        <v>66.969119999999876</v>
      </c>
      <c r="BR134" s="41">
        <v>409.74194000000017</v>
      </c>
      <c r="BS134" s="41">
        <v>0</v>
      </c>
      <c r="BT134" s="41">
        <v>0</v>
      </c>
      <c r="BU134" s="41">
        <v>0</v>
      </c>
      <c r="BV134" s="41">
        <v>0</v>
      </c>
      <c r="BW134" s="49">
        <v>1847.2625700000001</v>
      </c>
      <c r="BX134" s="37" t="s">
        <v>127</v>
      </c>
      <c r="BY134" s="37" t="s">
        <v>127</v>
      </c>
      <c r="BZ134" s="37" t="s">
        <v>173</v>
      </c>
      <c r="CA134" s="41">
        <v>0</v>
      </c>
      <c r="CB134" s="41">
        <v>0</v>
      </c>
      <c r="CC134" s="41">
        <v>0</v>
      </c>
      <c r="CD134" s="41">
        <v>0</v>
      </c>
      <c r="CE134" s="41">
        <v>0</v>
      </c>
      <c r="CF134" s="41">
        <v>409.74194000000017</v>
      </c>
      <c r="CG134" s="45">
        <v>0</v>
      </c>
      <c r="CH134" s="45" t="s">
        <v>137</v>
      </c>
      <c r="CI134" s="37" t="s">
        <v>127</v>
      </c>
      <c r="CJ134" s="77" t="s">
        <v>127</v>
      </c>
      <c r="CK134" s="98">
        <v>0.18140000000000001</v>
      </c>
      <c r="CL134" s="98">
        <v>0.81859999999999999</v>
      </c>
      <c r="CM134" s="100" t="s">
        <v>798</v>
      </c>
    </row>
    <row r="135" spans="1:91" ht="12.75" customHeight="1" x14ac:dyDescent="0.3">
      <c r="A135" s="37">
        <v>133</v>
      </c>
      <c r="B135" s="37" t="s">
        <v>816</v>
      </c>
      <c r="C135" s="124"/>
      <c r="D135" s="124"/>
      <c r="E135" s="37" t="s">
        <v>377</v>
      </c>
      <c r="F135" s="36" t="s">
        <v>796</v>
      </c>
      <c r="G135" s="81" t="s">
        <v>513</v>
      </c>
      <c r="H135" s="37" t="s">
        <v>130</v>
      </c>
      <c r="I135" s="37" t="s">
        <v>127</v>
      </c>
      <c r="J135" s="37" t="s">
        <v>127</v>
      </c>
      <c r="K135" s="37" t="s">
        <v>797</v>
      </c>
      <c r="L135" s="75" t="s">
        <v>282</v>
      </c>
      <c r="M135" s="37" t="s">
        <v>127</v>
      </c>
      <c r="N135" s="37" t="s">
        <v>127</v>
      </c>
      <c r="O135" s="80">
        <v>44421</v>
      </c>
      <c r="P135" s="37">
        <v>48</v>
      </c>
      <c r="Q135" s="37" t="s">
        <v>127</v>
      </c>
      <c r="R135" s="37" t="s">
        <v>127</v>
      </c>
      <c r="S135" s="37" t="s">
        <v>127</v>
      </c>
      <c r="T135" s="37" t="s">
        <v>127</v>
      </c>
      <c r="U135" s="37" t="s">
        <v>136</v>
      </c>
      <c r="V135" s="37" t="b">
        <v>0</v>
      </c>
      <c r="W135" s="37" t="s">
        <v>127</v>
      </c>
      <c r="X135" s="123"/>
      <c r="Y135" s="37" t="s">
        <v>127</v>
      </c>
      <c r="Z135" s="37" t="s">
        <v>127</v>
      </c>
      <c r="AA135" s="37" t="s">
        <v>153</v>
      </c>
      <c r="AB135" s="37" t="s">
        <v>127</v>
      </c>
      <c r="AC135" s="78">
        <v>1.1000000000000001</v>
      </c>
      <c r="AD135" s="78">
        <v>2398230</v>
      </c>
      <c r="AE135" s="37" t="s">
        <v>817</v>
      </c>
      <c r="AF135" s="37">
        <v>20126</v>
      </c>
      <c r="AG135" s="37" t="s">
        <v>127</v>
      </c>
      <c r="AH135" s="37" t="b">
        <v>0</v>
      </c>
      <c r="AI135" s="76" t="s">
        <v>127</v>
      </c>
      <c r="AJ135" s="77" t="s">
        <v>142</v>
      </c>
      <c r="AK135" s="37" t="s">
        <v>127</v>
      </c>
      <c r="AL135" s="37" t="s">
        <v>127</v>
      </c>
      <c r="AM135" s="37" t="b">
        <v>0</v>
      </c>
      <c r="AN135" s="37" t="s">
        <v>127</v>
      </c>
      <c r="AO135" s="37" t="s">
        <v>127</v>
      </c>
      <c r="AP135" s="37" t="s">
        <v>127</v>
      </c>
      <c r="AQ135" s="37" t="b">
        <v>0</v>
      </c>
      <c r="AR135" s="37" t="s">
        <v>127</v>
      </c>
      <c r="AS135" s="37" t="s">
        <v>127</v>
      </c>
      <c r="AT135" s="37" t="s">
        <v>127</v>
      </c>
      <c r="AU135" s="37" t="s">
        <v>127</v>
      </c>
      <c r="AV135" s="37" t="s">
        <v>127</v>
      </c>
      <c r="AW135" s="37" t="s">
        <v>127</v>
      </c>
      <c r="AX135" s="37" t="s">
        <v>127</v>
      </c>
      <c r="AY135" s="37" t="s">
        <v>127</v>
      </c>
      <c r="AZ135" s="37" t="s">
        <v>127</v>
      </c>
      <c r="BA135" s="37" t="s">
        <v>127</v>
      </c>
      <c r="BB135" s="37" t="s">
        <v>127</v>
      </c>
      <c r="BC135" s="77" t="s">
        <v>127</v>
      </c>
      <c r="BD135" s="76" t="s">
        <v>127</v>
      </c>
      <c r="BE135" s="37" t="s">
        <v>127</v>
      </c>
      <c r="BF135" s="37" t="s">
        <v>127</v>
      </c>
      <c r="BG135" s="39" t="s">
        <v>127</v>
      </c>
      <c r="BH135" s="37" t="s">
        <v>127</v>
      </c>
      <c r="BI135" s="40" t="b">
        <v>1</v>
      </c>
      <c r="BJ135" s="40" t="s">
        <v>137</v>
      </c>
      <c r="BK135" s="37" t="s">
        <v>127</v>
      </c>
      <c r="BL135" s="41">
        <v>1016.9981715685434</v>
      </c>
      <c r="BM135" s="41">
        <v>0</v>
      </c>
      <c r="BN135" s="41">
        <v>0</v>
      </c>
      <c r="BO135" s="41">
        <v>142.11240999999998</v>
      </c>
      <c r="BP135" s="41">
        <v>713.6049099999999</v>
      </c>
      <c r="BQ135" s="41">
        <v>119.78341999999992</v>
      </c>
      <c r="BR135" s="41">
        <v>41.497431568543497</v>
      </c>
      <c r="BS135" s="41">
        <v>0</v>
      </c>
      <c r="BT135" s="41">
        <v>0</v>
      </c>
      <c r="BU135" s="41">
        <v>0</v>
      </c>
      <c r="BV135" s="41">
        <v>0</v>
      </c>
      <c r="BW135" s="49">
        <v>949.39833999999996</v>
      </c>
      <c r="BX135" s="37" t="s">
        <v>127</v>
      </c>
      <c r="BY135" s="37" t="s">
        <v>127</v>
      </c>
      <c r="BZ135" s="37" t="s">
        <v>173</v>
      </c>
      <c r="CA135" s="41">
        <v>0</v>
      </c>
      <c r="CB135" s="41">
        <v>0</v>
      </c>
      <c r="CC135" s="41">
        <v>0</v>
      </c>
      <c r="CD135" s="41">
        <v>0</v>
      </c>
      <c r="CE135" s="41">
        <v>0</v>
      </c>
      <c r="CF135" s="41">
        <v>929.70887156854337</v>
      </c>
      <c r="CG135" s="45">
        <v>0</v>
      </c>
      <c r="CH135" s="45">
        <v>0</v>
      </c>
      <c r="CI135" s="37" t="s">
        <v>127</v>
      </c>
      <c r="CJ135" s="77" t="s">
        <v>127</v>
      </c>
      <c r="CK135" s="98">
        <v>0.18140000000000001</v>
      </c>
      <c r="CL135" s="98">
        <v>0.81859999999999999</v>
      </c>
      <c r="CM135" s="100" t="s">
        <v>189</v>
      </c>
    </row>
    <row r="136" spans="1:91" ht="12.75" customHeight="1" x14ac:dyDescent="0.3">
      <c r="A136" s="37">
        <v>134</v>
      </c>
      <c r="B136" s="37" t="s">
        <v>818</v>
      </c>
      <c r="C136" s="124"/>
      <c r="D136" s="124"/>
      <c r="E136" s="37" t="s">
        <v>258</v>
      </c>
      <c r="F136" s="36" t="s">
        <v>796</v>
      </c>
      <c r="G136" s="81" t="s">
        <v>513</v>
      </c>
      <c r="H136" s="37" t="s">
        <v>130</v>
      </c>
      <c r="I136" s="37" t="s">
        <v>127</v>
      </c>
      <c r="J136" s="37" t="s">
        <v>127</v>
      </c>
      <c r="K136" s="37" t="s">
        <v>797</v>
      </c>
      <c r="L136" s="75" t="s">
        <v>282</v>
      </c>
      <c r="M136" s="37" t="s">
        <v>127</v>
      </c>
      <c r="N136" s="37" t="s">
        <v>127</v>
      </c>
      <c r="O136" s="80">
        <v>45068</v>
      </c>
      <c r="P136" s="37" t="s">
        <v>819</v>
      </c>
      <c r="Q136" s="37" t="s">
        <v>127</v>
      </c>
      <c r="R136" s="37" t="s">
        <v>127</v>
      </c>
      <c r="S136" s="37" t="s">
        <v>127</v>
      </c>
      <c r="T136" s="37" t="s">
        <v>127</v>
      </c>
      <c r="U136" s="37" t="s">
        <v>136</v>
      </c>
      <c r="V136" s="37" t="b">
        <v>0</v>
      </c>
      <c r="W136" s="37" t="s">
        <v>127</v>
      </c>
      <c r="X136" s="123"/>
      <c r="Y136" s="37" t="s">
        <v>127</v>
      </c>
      <c r="Z136" s="37" t="s">
        <v>127</v>
      </c>
      <c r="AA136" s="37" t="s">
        <v>153</v>
      </c>
      <c r="AB136" s="37" t="s">
        <v>127</v>
      </c>
      <c r="AC136" s="78">
        <v>1.1000000000000001</v>
      </c>
      <c r="AD136" s="78">
        <v>2652158</v>
      </c>
      <c r="AE136" s="37" t="s">
        <v>820</v>
      </c>
      <c r="AF136" s="37">
        <v>20126</v>
      </c>
      <c r="AG136" s="37" t="s">
        <v>127</v>
      </c>
      <c r="AH136" s="37" t="b">
        <v>0</v>
      </c>
      <c r="AI136" s="76" t="s">
        <v>127</v>
      </c>
      <c r="AJ136" s="77" t="s">
        <v>142</v>
      </c>
      <c r="AK136" s="37" t="s">
        <v>127</v>
      </c>
      <c r="AL136" s="37" t="s">
        <v>127</v>
      </c>
      <c r="AM136" s="37" t="b">
        <v>0</v>
      </c>
      <c r="AN136" s="37" t="s">
        <v>127</v>
      </c>
      <c r="AO136" s="37" t="s">
        <v>127</v>
      </c>
      <c r="AP136" s="37" t="s">
        <v>127</v>
      </c>
      <c r="AQ136" s="37" t="b">
        <v>0</v>
      </c>
      <c r="AR136" s="37" t="s">
        <v>127</v>
      </c>
      <c r="AS136" s="37" t="s">
        <v>127</v>
      </c>
      <c r="AT136" s="37" t="s">
        <v>127</v>
      </c>
      <c r="AU136" s="37" t="s">
        <v>127</v>
      </c>
      <c r="AV136" s="37" t="s">
        <v>127</v>
      </c>
      <c r="AW136" s="37" t="s">
        <v>127</v>
      </c>
      <c r="AX136" s="37" t="s">
        <v>127</v>
      </c>
      <c r="AY136" s="37" t="s">
        <v>127</v>
      </c>
      <c r="AZ136" s="37" t="s">
        <v>127</v>
      </c>
      <c r="BA136" s="37" t="s">
        <v>127</v>
      </c>
      <c r="BB136" s="37" t="s">
        <v>127</v>
      </c>
      <c r="BC136" s="77" t="s">
        <v>127</v>
      </c>
      <c r="BD136" s="76" t="s">
        <v>127</v>
      </c>
      <c r="BE136" s="37" t="s">
        <v>127</v>
      </c>
      <c r="BF136" s="37" t="s">
        <v>127</v>
      </c>
      <c r="BG136" s="39" t="s">
        <v>127</v>
      </c>
      <c r="BH136" s="37" t="s">
        <v>127</v>
      </c>
      <c r="BI136" s="40" t="b">
        <v>1</v>
      </c>
      <c r="BJ136" s="40" t="s">
        <v>137</v>
      </c>
      <c r="BK136" s="37" t="s">
        <v>127</v>
      </c>
      <c r="BL136" s="41">
        <v>1572.8301199999996</v>
      </c>
      <c r="BM136" s="41">
        <v>0.22614000000000001</v>
      </c>
      <c r="BN136" s="41">
        <v>183.44577999999996</v>
      </c>
      <c r="BO136" s="41">
        <v>139.60224999999997</v>
      </c>
      <c r="BP136" s="41">
        <v>796.67345000000034</v>
      </c>
      <c r="BQ136" s="41">
        <v>433.50052999999997</v>
      </c>
      <c r="BR136" s="41">
        <v>19.381970000000003</v>
      </c>
      <c r="BS136" s="41">
        <v>0</v>
      </c>
      <c r="BT136" s="41">
        <v>0</v>
      </c>
      <c r="BU136" s="41">
        <v>0</v>
      </c>
      <c r="BV136" s="41">
        <v>0</v>
      </c>
      <c r="BW136" s="49">
        <v>0</v>
      </c>
      <c r="BX136" s="37" t="s">
        <v>127</v>
      </c>
      <c r="BY136" s="37" t="s">
        <v>127</v>
      </c>
      <c r="BZ136" s="37" t="s">
        <v>198</v>
      </c>
      <c r="CA136" s="41">
        <v>0</v>
      </c>
      <c r="CB136" s="41">
        <v>0</v>
      </c>
      <c r="CC136" s="41">
        <v>0</v>
      </c>
      <c r="CD136" s="41">
        <v>1415.96</v>
      </c>
      <c r="CE136" s="41">
        <v>20.66</v>
      </c>
      <c r="CF136" s="41">
        <v>16.480510000000002</v>
      </c>
      <c r="CG136" s="45">
        <v>0</v>
      </c>
      <c r="CH136" s="45">
        <v>0</v>
      </c>
      <c r="CI136" s="37" t="s">
        <v>127</v>
      </c>
      <c r="CJ136" s="77" t="s">
        <v>127</v>
      </c>
      <c r="CK136" s="98">
        <v>0.18140000000000001</v>
      </c>
      <c r="CL136" s="98">
        <v>0.81859999999999999</v>
      </c>
      <c r="CM136" s="100" t="s">
        <v>189</v>
      </c>
    </row>
    <row r="137" spans="1:91" ht="12.75" customHeight="1" x14ac:dyDescent="0.3">
      <c r="A137" s="37">
        <v>135</v>
      </c>
      <c r="B137" s="37" t="s">
        <v>821</v>
      </c>
      <c r="C137" s="124"/>
      <c r="D137" s="124"/>
      <c r="E137" s="37" t="s">
        <v>377</v>
      </c>
      <c r="F137" s="36" t="s">
        <v>796</v>
      </c>
      <c r="G137" s="81" t="s">
        <v>513</v>
      </c>
      <c r="H137" s="37" t="s">
        <v>130</v>
      </c>
      <c r="I137" s="37" t="s">
        <v>127</v>
      </c>
      <c r="J137" s="37" t="s">
        <v>127</v>
      </c>
      <c r="K137" s="37" t="s">
        <v>797</v>
      </c>
      <c r="L137" s="75" t="s">
        <v>282</v>
      </c>
      <c r="M137" s="37" t="s">
        <v>127</v>
      </c>
      <c r="N137" s="37" t="s">
        <v>127</v>
      </c>
      <c r="O137" s="76">
        <v>44421</v>
      </c>
      <c r="P137" s="37">
        <v>31</v>
      </c>
      <c r="Q137" s="37" t="s">
        <v>127</v>
      </c>
      <c r="R137" s="37" t="s">
        <v>127</v>
      </c>
      <c r="S137" s="37" t="s">
        <v>127</v>
      </c>
      <c r="T137" s="37" t="s">
        <v>127</v>
      </c>
      <c r="U137" s="37" t="s">
        <v>136</v>
      </c>
      <c r="V137" s="37" t="b">
        <v>0</v>
      </c>
      <c r="W137" s="37" t="s">
        <v>127</v>
      </c>
      <c r="X137" s="123"/>
      <c r="Y137" s="37" t="s">
        <v>127</v>
      </c>
      <c r="Z137" s="37" t="s">
        <v>127</v>
      </c>
      <c r="AA137" s="37" t="s">
        <v>153</v>
      </c>
      <c r="AB137" s="37" t="s">
        <v>127</v>
      </c>
      <c r="AC137" s="78">
        <v>1.1000000000000001</v>
      </c>
      <c r="AD137" s="78">
        <v>2985070</v>
      </c>
      <c r="AE137" s="37" t="s">
        <v>822</v>
      </c>
      <c r="AF137" s="37">
        <v>20126</v>
      </c>
      <c r="AG137" s="37" t="s">
        <v>127</v>
      </c>
      <c r="AH137" s="37" t="b">
        <v>0</v>
      </c>
      <c r="AI137" s="76" t="s">
        <v>127</v>
      </c>
      <c r="AJ137" s="77" t="s">
        <v>142</v>
      </c>
      <c r="AK137" s="37" t="s">
        <v>127</v>
      </c>
      <c r="AL137" s="37" t="s">
        <v>127</v>
      </c>
      <c r="AM137" s="37" t="b">
        <v>0</v>
      </c>
      <c r="AN137" s="37" t="s">
        <v>127</v>
      </c>
      <c r="AO137" s="37" t="s">
        <v>127</v>
      </c>
      <c r="AP137" s="37" t="s">
        <v>127</v>
      </c>
      <c r="AQ137" s="37" t="b">
        <v>0</v>
      </c>
      <c r="AR137" s="37" t="s">
        <v>127</v>
      </c>
      <c r="AS137" s="37" t="s">
        <v>127</v>
      </c>
      <c r="AT137" s="37" t="s">
        <v>127</v>
      </c>
      <c r="AU137" s="37" t="s">
        <v>127</v>
      </c>
      <c r="AV137" s="37" t="s">
        <v>127</v>
      </c>
      <c r="AW137" s="37" t="s">
        <v>127</v>
      </c>
      <c r="AX137" s="37" t="s">
        <v>161</v>
      </c>
      <c r="AY137" s="37" t="s">
        <v>127</v>
      </c>
      <c r="AZ137" s="37" t="s">
        <v>127</v>
      </c>
      <c r="BA137" s="37" t="s">
        <v>127</v>
      </c>
      <c r="BB137" s="37" t="s">
        <v>143</v>
      </c>
      <c r="BC137" s="77" t="s">
        <v>127</v>
      </c>
      <c r="BD137" s="76" t="s">
        <v>823</v>
      </c>
      <c r="BE137" s="37" t="s">
        <v>127</v>
      </c>
      <c r="BF137" s="86" t="s">
        <v>824</v>
      </c>
      <c r="BG137" s="39" t="s">
        <v>127</v>
      </c>
      <c r="BH137" s="37" t="s">
        <v>127</v>
      </c>
      <c r="BI137" s="40" t="b">
        <v>0</v>
      </c>
      <c r="BJ137" s="40" t="s">
        <v>137</v>
      </c>
      <c r="BK137" s="37" t="s">
        <v>127</v>
      </c>
      <c r="BL137" s="41">
        <v>1144.5727699999998</v>
      </c>
      <c r="BM137" s="41">
        <v>0</v>
      </c>
      <c r="BN137" s="41">
        <v>89.235660000000038</v>
      </c>
      <c r="BO137" s="41">
        <v>957.06552000000022</v>
      </c>
      <c r="BP137" s="41">
        <v>69.723760000000027</v>
      </c>
      <c r="BQ137" s="41">
        <v>28.547830000000005</v>
      </c>
      <c r="BR137" s="41">
        <v>0</v>
      </c>
      <c r="BS137" s="41">
        <v>0</v>
      </c>
      <c r="BT137" s="41">
        <v>0</v>
      </c>
      <c r="BU137" s="41">
        <v>0</v>
      </c>
      <c r="BV137" s="41">
        <v>0</v>
      </c>
      <c r="BW137" s="49">
        <v>0</v>
      </c>
      <c r="BX137" s="37" t="s">
        <v>127</v>
      </c>
      <c r="BY137" s="37" t="s">
        <v>127</v>
      </c>
      <c r="BZ137" s="37" t="s">
        <v>483</v>
      </c>
      <c r="CA137" s="41">
        <v>0</v>
      </c>
      <c r="CB137" s="41">
        <v>959.92</v>
      </c>
      <c r="CC137" s="41">
        <v>33.28</v>
      </c>
      <c r="CD137" s="41">
        <v>22.97</v>
      </c>
      <c r="CE137" s="41">
        <v>0</v>
      </c>
      <c r="CF137" s="41">
        <v>0</v>
      </c>
      <c r="CG137" s="45">
        <v>0</v>
      </c>
      <c r="CH137" s="45">
        <v>0</v>
      </c>
      <c r="CI137" s="37" t="s">
        <v>127</v>
      </c>
      <c r="CJ137" s="77" t="s">
        <v>127</v>
      </c>
      <c r="CK137" s="98">
        <v>0.18140000000000001</v>
      </c>
      <c r="CL137" s="98">
        <v>0.81859999999999999</v>
      </c>
      <c r="CM137" s="100" t="s">
        <v>189</v>
      </c>
    </row>
    <row r="138" spans="1:91" ht="12.75" customHeight="1" x14ac:dyDescent="0.3">
      <c r="A138" s="37">
        <v>136</v>
      </c>
      <c r="B138" s="37" t="s">
        <v>825</v>
      </c>
      <c r="C138" s="124"/>
      <c r="D138" s="124"/>
      <c r="E138" s="37" t="s">
        <v>246</v>
      </c>
      <c r="F138" s="36" t="s">
        <v>796</v>
      </c>
      <c r="G138" s="81" t="s">
        <v>513</v>
      </c>
      <c r="H138" s="37" t="s">
        <v>130</v>
      </c>
      <c r="I138" s="37" t="s">
        <v>127</v>
      </c>
      <c r="J138" s="37" t="s">
        <v>127</v>
      </c>
      <c r="K138" s="37" t="s">
        <v>797</v>
      </c>
      <c r="L138" s="75" t="s">
        <v>282</v>
      </c>
      <c r="M138" s="37" t="s">
        <v>127</v>
      </c>
      <c r="N138" s="37" t="s">
        <v>127</v>
      </c>
      <c r="O138" s="80">
        <v>44981</v>
      </c>
      <c r="P138" s="37">
        <v>28</v>
      </c>
      <c r="Q138" s="37" t="s">
        <v>127</v>
      </c>
      <c r="R138" s="37" t="s">
        <v>127</v>
      </c>
      <c r="S138" s="37" t="s">
        <v>127</v>
      </c>
      <c r="T138" s="37" t="s">
        <v>127</v>
      </c>
      <c r="U138" s="37" t="s">
        <v>136</v>
      </c>
      <c r="V138" s="37" t="b">
        <v>0</v>
      </c>
      <c r="W138" s="37" t="s">
        <v>127</v>
      </c>
      <c r="X138" s="123"/>
      <c r="Y138" s="37">
        <v>0.1</v>
      </c>
      <c r="Z138" s="37" t="s">
        <v>127</v>
      </c>
      <c r="AA138" s="37" t="s">
        <v>153</v>
      </c>
      <c r="AB138" s="37" t="s">
        <v>127</v>
      </c>
      <c r="AC138" s="78">
        <v>1.1000000000000001</v>
      </c>
      <c r="AD138" s="78">
        <v>2985572</v>
      </c>
      <c r="AE138" s="37" t="s">
        <v>826</v>
      </c>
      <c r="AF138" s="37">
        <v>20126</v>
      </c>
      <c r="AG138" s="37" t="s">
        <v>127</v>
      </c>
      <c r="AH138" s="37" t="b">
        <v>0</v>
      </c>
      <c r="AI138" s="76" t="s">
        <v>127</v>
      </c>
      <c r="AJ138" s="77" t="s">
        <v>142</v>
      </c>
      <c r="AK138" s="37" t="s">
        <v>127</v>
      </c>
      <c r="AL138" s="37" t="s">
        <v>127</v>
      </c>
      <c r="AM138" s="37" t="b">
        <v>0</v>
      </c>
      <c r="AN138" s="37" t="s">
        <v>127</v>
      </c>
      <c r="AO138" s="37" t="s">
        <v>127</v>
      </c>
      <c r="AP138" s="37" t="s">
        <v>127</v>
      </c>
      <c r="AQ138" s="37" t="b">
        <v>0</v>
      </c>
      <c r="AR138" s="37" t="s">
        <v>127</v>
      </c>
      <c r="AS138" s="37" t="s">
        <v>127</v>
      </c>
      <c r="AT138" s="37" t="s">
        <v>127</v>
      </c>
      <c r="AU138" s="37" t="s">
        <v>127</v>
      </c>
      <c r="AV138" s="37" t="s">
        <v>127</v>
      </c>
      <c r="AW138" s="37" t="s">
        <v>127</v>
      </c>
      <c r="AX138" s="37" t="s">
        <v>161</v>
      </c>
      <c r="AY138" s="37" t="s">
        <v>127</v>
      </c>
      <c r="AZ138" s="37" t="s">
        <v>127</v>
      </c>
      <c r="BA138" s="37" t="s">
        <v>127</v>
      </c>
      <c r="BB138" s="37" t="s">
        <v>143</v>
      </c>
      <c r="BC138" s="77" t="s">
        <v>127</v>
      </c>
      <c r="BD138" s="76" t="s">
        <v>127</v>
      </c>
      <c r="BE138" s="37" t="s">
        <v>127</v>
      </c>
      <c r="BF138" s="80" t="s">
        <v>827</v>
      </c>
      <c r="BG138" s="39" t="s">
        <v>127</v>
      </c>
      <c r="BH138" s="37" t="s">
        <v>127</v>
      </c>
      <c r="BI138" s="40" t="b">
        <v>0</v>
      </c>
      <c r="BJ138" s="40" t="s">
        <v>137</v>
      </c>
      <c r="BK138" s="37" t="s">
        <v>127</v>
      </c>
      <c r="BL138" s="41">
        <v>2045.8659499999994</v>
      </c>
      <c r="BM138" s="41">
        <v>341.57096000000007</v>
      </c>
      <c r="BN138" s="41">
        <v>1266.6744099999999</v>
      </c>
      <c r="BO138" s="41">
        <v>247.43771000000001</v>
      </c>
      <c r="BP138" s="41">
        <v>-7.2775599999999949</v>
      </c>
      <c r="BQ138" s="41">
        <v>9.5656900000000018</v>
      </c>
      <c r="BR138" s="41">
        <v>0</v>
      </c>
      <c r="BS138" s="41">
        <v>0</v>
      </c>
      <c r="BT138" s="41">
        <v>0</v>
      </c>
      <c r="BU138" s="41">
        <v>0</v>
      </c>
      <c r="BV138" s="41">
        <v>0</v>
      </c>
      <c r="BW138" s="49">
        <v>0</v>
      </c>
      <c r="BX138" s="37" t="s">
        <v>127</v>
      </c>
      <c r="BY138" s="37" t="s">
        <v>127</v>
      </c>
      <c r="BZ138" s="37" t="s">
        <v>203</v>
      </c>
      <c r="CA138" s="41">
        <v>1693.604</v>
      </c>
      <c r="CB138" s="41">
        <v>228.22</v>
      </c>
      <c r="CC138" s="41">
        <v>-11.97</v>
      </c>
      <c r="CD138" s="41">
        <v>8.61</v>
      </c>
      <c r="CE138" s="41">
        <v>0</v>
      </c>
      <c r="CF138" s="41">
        <v>0</v>
      </c>
      <c r="CG138" s="45">
        <v>0</v>
      </c>
      <c r="CH138" s="45" t="s">
        <v>137</v>
      </c>
      <c r="CI138" s="37" t="s">
        <v>127</v>
      </c>
      <c r="CJ138" s="77" t="s">
        <v>127</v>
      </c>
      <c r="CK138" s="98">
        <v>0.18140000000000001</v>
      </c>
      <c r="CL138" s="98">
        <v>0.81859999999999999</v>
      </c>
      <c r="CM138" s="100" t="s">
        <v>386</v>
      </c>
    </row>
    <row r="139" spans="1:91" ht="12.75" customHeight="1" x14ac:dyDescent="0.3">
      <c r="A139" s="37">
        <v>137</v>
      </c>
      <c r="B139" s="37" t="s">
        <v>828</v>
      </c>
      <c r="C139" s="124"/>
      <c r="D139" s="124"/>
      <c r="E139" s="37" t="s">
        <v>258</v>
      </c>
      <c r="F139" s="36" t="s">
        <v>796</v>
      </c>
      <c r="G139" s="81" t="s">
        <v>513</v>
      </c>
      <c r="H139" s="37" t="s">
        <v>130</v>
      </c>
      <c r="I139" s="37" t="s">
        <v>127</v>
      </c>
      <c r="J139" s="37" t="s">
        <v>127</v>
      </c>
      <c r="K139" s="37" t="s">
        <v>797</v>
      </c>
      <c r="L139" s="75" t="s">
        <v>282</v>
      </c>
      <c r="M139" s="37" t="s">
        <v>127</v>
      </c>
      <c r="N139" s="37" t="s">
        <v>127</v>
      </c>
      <c r="O139" s="80">
        <v>45367</v>
      </c>
      <c r="P139" s="37">
        <v>42.5</v>
      </c>
      <c r="Q139" s="37" t="s">
        <v>127</v>
      </c>
      <c r="R139" s="37" t="s">
        <v>127</v>
      </c>
      <c r="S139" s="37" t="s">
        <v>127</v>
      </c>
      <c r="T139" s="37" t="s">
        <v>127</v>
      </c>
      <c r="U139" s="37" t="s">
        <v>136</v>
      </c>
      <c r="V139" s="37" t="b">
        <v>0</v>
      </c>
      <c r="W139" s="37" t="s">
        <v>127</v>
      </c>
      <c r="X139" s="123"/>
      <c r="Y139" s="37">
        <v>0.1</v>
      </c>
      <c r="Z139" s="37" t="s">
        <v>127</v>
      </c>
      <c r="AA139" s="37" t="s">
        <v>153</v>
      </c>
      <c r="AB139" s="37" t="s">
        <v>127</v>
      </c>
      <c r="AC139" s="78">
        <v>1.1000000000000001</v>
      </c>
      <c r="AD139" s="78">
        <v>2986686</v>
      </c>
      <c r="AE139" s="37" t="s">
        <v>829</v>
      </c>
      <c r="AF139" s="37">
        <v>20126</v>
      </c>
      <c r="AG139" s="37" t="s">
        <v>127</v>
      </c>
      <c r="AH139" s="37" t="b">
        <v>0</v>
      </c>
      <c r="AI139" s="76" t="s">
        <v>127</v>
      </c>
      <c r="AJ139" s="77" t="s">
        <v>142</v>
      </c>
      <c r="AK139" s="37" t="s">
        <v>127</v>
      </c>
      <c r="AL139" s="37" t="s">
        <v>127</v>
      </c>
      <c r="AM139" s="37" t="b">
        <v>0</v>
      </c>
      <c r="AN139" s="37" t="s">
        <v>127</v>
      </c>
      <c r="AO139" s="37" t="s">
        <v>127</v>
      </c>
      <c r="AP139" s="37" t="s">
        <v>127</v>
      </c>
      <c r="AQ139" s="37" t="b">
        <v>0</v>
      </c>
      <c r="AR139" s="37" t="s">
        <v>127</v>
      </c>
      <c r="AS139" s="37" t="s">
        <v>127</v>
      </c>
      <c r="AT139" s="37" t="s">
        <v>127</v>
      </c>
      <c r="AU139" s="37" t="s">
        <v>127</v>
      </c>
      <c r="AV139" s="37" t="s">
        <v>127</v>
      </c>
      <c r="AW139" s="37" t="s">
        <v>127</v>
      </c>
      <c r="AX139" s="37" t="s">
        <v>161</v>
      </c>
      <c r="AY139" s="37" t="s">
        <v>127</v>
      </c>
      <c r="AZ139" s="37" t="s">
        <v>127</v>
      </c>
      <c r="BA139" s="37" t="s">
        <v>127</v>
      </c>
      <c r="BB139" s="37" t="s">
        <v>432</v>
      </c>
      <c r="BC139" s="77" t="s">
        <v>127</v>
      </c>
      <c r="BD139" s="76" t="s">
        <v>127</v>
      </c>
      <c r="BE139" s="37" t="s">
        <v>127</v>
      </c>
      <c r="BF139" s="80" t="s">
        <v>830</v>
      </c>
      <c r="BG139" s="39" t="s">
        <v>127</v>
      </c>
      <c r="BH139" s="37" t="s">
        <v>127</v>
      </c>
      <c r="BI139" s="40" t="b">
        <v>1</v>
      </c>
      <c r="BJ139" s="40" t="s">
        <v>137</v>
      </c>
      <c r="BK139" s="37" t="s">
        <v>127</v>
      </c>
      <c r="BL139" s="41">
        <v>1685.6405389807851</v>
      </c>
      <c r="BM139" s="41">
        <v>93.15312000000003</v>
      </c>
      <c r="BN139" s="41">
        <v>141.40729999999999</v>
      </c>
      <c r="BO139" s="41">
        <v>67.195399999999978</v>
      </c>
      <c r="BP139" s="41">
        <v>411.37605999999988</v>
      </c>
      <c r="BQ139" s="41">
        <v>760.67893000000004</v>
      </c>
      <c r="BR139" s="41">
        <v>122.78513898078469</v>
      </c>
      <c r="BS139" s="41">
        <v>0</v>
      </c>
      <c r="BT139" s="41">
        <v>0</v>
      </c>
      <c r="BU139" s="41">
        <v>0</v>
      </c>
      <c r="BV139" s="41">
        <v>0</v>
      </c>
      <c r="BW139" s="49">
        <v>1566.3079600000001</v>
      </c>
      <c r="BX139" s="37" t="s">
        <v>127</v>
      </c>
      <c r="BY139" s="37" t="s">
        <v>127</v>
      </c>
      <c r="BZ139" s="37" t="s">
        <v>173</v>
      </c>
      <c r="CA139" s="41">
        <v>0</v>
      </c>
      <c r="CB139" s="41">
        <v>0</v>
      </c>
      <c r="CC139" s="41">
        <v>0</v>
      </c>
      <c r="CD139" s="41">
        <v>0</v>
      </c>
      <c r="CE139" s="41">
        <v>0</v>
      </c>
      <c r="CF139" s="41">
        <v>1553.2624989807848</v>
      </c>
      <c r="CG139" s="45">
        <v>0</v>
      </c>
      <c r="CH139" s="45" t="s">
        <v>137</v>
      </c>
      <c r="CI139" s="37" t="s">
        <v>127</v>
      </c>
      <c r="CJ139" s="77" t="s">
        <v>127</v>
      </c>
      <c r="CK139" s="98">
        <v>0.18140000000000001</v>
      </c>
      <c r="CL139" s="98">
        <v>0.81859999999999999</v>
      </c>
      <c r="CM139" s="100" t="s">
        <v>386</v>
      </c>
    </row>
    <row r="140" spans="1:91" ht="12.75" customHeight="1" x14ac:dyDescent="0.3">
      <c r="A140" s="37">
        <v>138</v>
      </c>
      <c r="B140" s="37" t="s">
        <v>831</v>
      </c>
      <c r="C140" s="124"/>
      <c r="D140" s="124"/>
      <c r="E140" s="37" t="s">
        <v>258</v>
      </c>
      <c r="F140" s="36" t="s">
        <v>796</v>
      </c>
      <c r="G140" s="81" t="s">
        <v>513</v>
      </c>
      <c r="H140" s="37" t="s">
        <v>130</v>
      </c>
      <c r="I140" s="37" t="s">
        <v>127</v>
      </c>
      <c r="J140" s="37" t="s">
        <v>127</v>
      </c>
      <c r="K140" s="37" t="s">
        <v>797</v>
      </c>
      <c r="L140" s="75" t="s">
        <v>282</v>
      </c>
      <c r="M140" s="37" t="s">
        <v>127</v>
      </c>
      <c r="N140" s="37" t="s">
        <v>127</v>
      </c>
      <c r="O140" s="76">
        <v>45330</v>
      </c>
      <c r="P140" s="37">
        <v>47</v>
      </c>
      <c r="Q140" s="37" t="s">
        <v>127</v>
      </c>
      <c r="R140" s="37" t="s">
        <v>127</v>
      </c>
      <c r="S140" s="37" t="s">
        <v>127</v>
      </c>
      <c r="T140" s="37" t="s">
        <v>127</v>
      </c>
      <c r="U140" s="37" t="s">
        <v>136</v>
      </c>
      <c r="V140" s="37" t="b">
        <v>0</v>
      </c>
      <c r="W140" s="37" t="s">
        <v>127</v>
      </c>
      <c r="X140" s="123"/>
      <c r="Y140" s="37" t="s">
        <v>127</v>
      </c>
      <c r="Z140" s="37" t="s">
        <v>127</v>
      </c>
      <c r="AA140" s="37" t="s">
        <v>153</v>
      </c>
      <c r="AB140" s="37" t="s">
        <v>127</v>
      </c>
      <c r="AC140" s="78">
        <v>1.1000000000000001</v>
      </c>
      <c r="AD140" s="78">
        <v>2986901</v>
      </c>
      <c r="AE140" s="37" t="s">
        <v>832</v>
      </c>
      <c r="AF140" s="37">
        <v>20126</v>
      </c>
      <c r="AG140" s="37" t="s">
        <v>127</v>
      </c>
      <c r="AH140" s="37" t="b">
        <v>0</v>
      </c>
      <c r="AI140" s="76" t="s">
        <v>127</v>
      </c>
      <c r="AJ140" s="77" t="s">
        <v>142</v>
      </c>
      <c r="AK140" s="37" t="s">
        <v>127</v>
      </c>
      <c r="AL140" s="37" t="s">
        <v>127</v>
      </c>
      <c r="AM140" s="37" t="b">
        <v>0</v>
      </c>
      <c r="AN140" s="37" t="s">
        <v>127</v>
      </c>
      <c r="AO140" s="37" t="s">
        <v>127</v>
      </c>
      <c r="AP140" s="37" t="s">
        <v>127</v>
      </c>
      <c r="AQ140" s="37" t="b">
        <v>0</v>
      </c>
      <c r="AR140" s="37" t="s">
        <v>127</v>
      </c>
      <c r="AS140" s="37" t="s">
        <v>127</v>
      </c>
      <c r="AT140" s="37" t="s">
        <v>127</v>
      </c>
      <c r="AU140" s="37" t="s">
        <v>127</v>
      </c>
      <c r="AV140" s="37" t="s">
        <v>127</v>
      </c>
      <c r="AW140" s="37" t="s">
        <v>127</v>
      </c>
      <c r="AX140" s="37" t="s">
        <v>161</v>
      </c>
      <c r="AY140" s="37" t="s">
        <v>127</v>
      </c>
      <c r="AZ140" s="37" t="s">
        <v>127</v>
      </c>
      <c r="BA140" s="37" t="s">
        <v>127</v>
      </c>
      <c r="BB140" s="37" t="s">
        <v>143</v>
      </c>
      <c r="BC140" s="77" t="s">
        <v>127</v>
      </c>
      <c r="BD140" s="76" t="s">
        <v>833</v>
      </c>
      <c r="BE140" s="37" t="s">
        <v>127</v>
      </c>
      <c r="BF140" s="86" t="s">
        <v>834</v>
      </c>
      <c r="BG140" s="39" t="s">
        <v>127</v>
      </c>
      <c r="BH140" s="37" t="s">
        <v>127</v>
      </c>
      <c r="BI140" s="40" t="b">
        <v>0</v>
      </c>
      <c r="BJ140" s="40" t="s">
        <v>137</v>
      </c>
      <c r="BK140" s="37" t="s">
        <v>127</v>
      </c>
      <c r="BL140" s="41">
        <v>1770.7207499999993</v>
      </c>
      <c r="BM140" s="41">
        <v>162.64075999999997</v>
      </c>
      <c r="BN140" s="41">
        <v>1280.6391599999997</v>
      </c>
      <c r="BO140" s="41">
        <v>140.23000000000002</v>
      </c>
      <c r="BP140" s="41">
        <v>90.526229999999998</v>
      </c>
      <c r="BQ140" s="41">
        <v>12.596740000000004</v>
      </c>
      <c r="BR140" s="41">
        <v>0</v>
      </c>
      <c r="BS140" s="41">
        <v>0</v>
      </c>
      <c r="BT140" s="41">
        <v>0</v>
      </c>
      <c r="BU140" s="41">
        <v>0</v>
      </c>
      <c r="BV140" s="41">
        <v>0</v>
      </c>
      <c r="BW140" s="49">
        <v>0</v>
      </c>
      <c r="BX140" s="37" t="s">
        <v>127</v>
      </c>
      <c r="BY140" s="37" t="s">
        <v>127</v>
      </c>
      <c r="BZ140" s="37" t="s">
        <v>483</v>
      </c>
      <c r="CA140" s="41">
        <v>0</v>
      </c>
      <c r="CB140" s="41">
        <v>1499.33</v>
      </c>
      <c r="CC140" s="41">
        <v>77.78</v>
      </c>
      <c r="CD140" s="41">
        <v>11.34</v>
      </c>
      <c r="CE140" s="41">
        <v>0</v>
      </c>
      <c r="CF140" s="41">
        <v>0</v>
      </c>
      <c r="CG140" s="45">
        <v>0</v>
      </c>
      <c r="CH140" s="45">
        <v>0</v>
      </c>
      <c r="CI140" s="37" t="s">
        <v>127</v>
      </c>
      <c r="CJ140" s="77" t="s">
        <v>127</v>
      </c>
      <c r="CK140" s="98">
        <v>0.18140000000000001</v>
      </c>
      <c r="CL140" s="98">
        <v>0.81859999999999999</v>
      </c>
      <c r="CM140" s="100" t="s">
        <v>189</v>
      </c>
    </row>
    <row r="141" spans="1:91" ht="12.75" customHeight="1" x14ac:dyDescent="0.3">
      <c r="A141" s="37">
        <v>139</v>
      </c>
      <c r="B141" s="37" t="s">
        <v>835</v>
      </c>
      <c r="C141" s="124"/>
      <c r="D141" s="124"/>
      <c r="E141" s="37" t="s">
        <v>258</v>
      </c>
      <c r="F141" s="36" t="s">
        <v>796</v>
      </c>
      <c r="G141" s="81" t="s">
        <v>513</v>
      </c>
      <c r="H141" s="37" t="s">
        <v>130</v>
      </c>
      <c r="I141" s="37" t="s">
        <v>127</v>
      </c>
      <c r="J141" s="37" t="s">
        <v>127</v>
      </c>
      <c r="K141" s="37" t="s">
        <v>797</v>
      </c>
      <c r="L141" s="75" t="s">
        <v>282</v>
      </c>
      <c r="M141" s="37" t="s">
        <v>127</v>
      </c>
      <c r="N141" s="37" t="s">
        <v>127</v>
      </c>
      <c r="O141" s="80">
        <v>44268</v>
      </c>
      <c r="P141" s="37">
        <v>52</v>
      </c>
      <c r="Q141" s="37" t="s">
        <v>127</v>
      </c>
      <c r="R141" s="37" t="s">
        <v>127</v>
      </c>
      <c r="S141" s="37" t="s">
        <v>127</v>
      </c>
      <c r="T141" s="37" t="s">
        <v>127</v>
      </c>
      <c r="U141" s="37" t="s">
        <v>136</v>
      </c>
      <c r="V141" s="37" t="b">
        <v>0</v>
      </c>
      <c r="W141" s="37" t="s">
        <v>127</v>
      </c>
      <c r="X141" s="123"/>
      <c r="Y141" s="37" t="s">
        <v>127</v>
      </c>
      <c r="Z141" s="37" t="s">
        <v>127</v>
      </c>
      <c r="AA141" s="37" t="s">
        <v>153</v>
      </c>
      <c r="AB141" s="37" t="s">
        <v>127</v>
      </c>
      <c r="AC141" s="78">
        <v>1.1000000000000001</v>
      </c>
      <c r="AD141" s="78">
        <v>2987437</v>
      </c>
      <c r="AE141" s="37" t="s">
        <v>836</v>
      </c>
      <c r="AF141" s="37">
        <v>20126</v>
      </c>
      <c r="AG141" s="37" t="s">
        <v>127</v>
      </c>
      <c r="AH141" s="37" t="b">
        <v>0</v>
      </c>
      <c r="AI141" s="76" t="s">
        <v>127</v>
      </c>
      <c r="AJ141" s="77" t="s">
        <v>142</v>
      </c>
      <c r="AK141" s="37" t="s">
        <v>127</v>
      </c>
      <c r="AL141" s="37" t="s">
        <v>127</v>
      </c>
      <c r="AM141" s="37" t="b">
        <v>0</v>
      </c>
      <c r="AN141" s="37" t="s">
        <v>127</v>
      </c>
      <c r="AO141" s="37" t="s">
        <v>127</v>
      </c>
      <c r="AP141" s="37" t="s">
        <v>127</v>
      </c>
      <c r="AQ141" s="37" t="b">
        <v>0</v>
      </c>
      <c r="AR141" s="37" t="s">
        <v>127</v>
      </c>
      <c r="AS141" s="37" t="s">
        <v>127</v>
      </c>
      <c r="AT141" s="37" t="s">
        <v>127</v>
      </c>
      <c r="AU141" s="37" t="s">
        <v>127</v>
      </c>
      <c r="AV141" s="37" t="s">
        <v>127</v>
      </c>
      <c r="AW141" s="37" t="s">
        <v>127</v>
      </c>
      <c r="AX141" s="37" t="s">
        <v>161</v>
      </c>
      <c r="AY141" s="37" t="s">
        <v>127</v>
      </c>
      <c r="AZ141" s="37" t="s">
        <v>127</v>
      </c>
      <c r="BA141" s="37" t="s">
        <v>127</v>
      </c>
      <c r="BB141" s="129" t="s">
        <v>758</v>
      </c>
      <c r="BC141" s="77" t="s">
        <v>127</v>
      </c>
      <c r="BD141" s="76" t="s">
        <v>837</v>
      </c>
      <c r="BE141" s="37" t="s">
        <v>127</v>
      </c>
      <c r="BF141" s="86" t="s">
        <v>838</v>
      </c>
      <c r="BG141" s="39" t="s">
        <v>127</v>
      </c>
      <c r="BH141" s="37" t="s">
        <v>127</v>
      </c>
      <c r="BI141" s="40" t="b">
        <v>1</v>
      </c>
      <c r="BJ141" s="40" t="s">
        <v>137</v>
      </c>
      <c r="BK141" s="37" t="s">
        <v>127</v>
      </c>
      <c r="BL141" s="41">
        <v>1741.5074299999992</v>
      </c>
      <c r="BM141" s="41">
        <v>9.7990499999999976</v>
      </c>
      <c r="BN141" s="41">
        <v>10.028189999999997</v>
      </c>
      <c r="BO141" s="41">
        <v>-25.922290000000004</v>
      </c>
      <c r="BP141" s="41">
        <v>4.3397400000000017</v>
      </c>
      <c r="BQ141" s="41">
        <v>1366.2403999999997</v>
      </c>
      <c r="BR141" s="41">
        <v>347.48009999999994</v>
      </c>
      <c r="BS141" s="41">
        <v>0</v>
      </c>
      <c r="BT141" s="41">
        <v>0</v>
      </c>
      <c r="BU141" s="41">
        <v>0</v>
      </c>
      <c r="BV141" s="41">
        <v>0</v>
      </c>
      <c r="BW141" s="49">
        <v>0</v>
      </c>
      <c r="BX141" s="37" t="s">
        <v>127</v>
      </c>
      <c r="BY141" s="37" t="s">
        <v>127</v>
      </c>
      <c r="BZ141" s="37" t="s">
        <v>479</v>
      </c>
      <c r="CA141" s="41">
        <v>0</v>
      </c>
      <c r="CB141" s="41">
        <v>22.15</v>
      </c>
      <c r="CC141" s="41">
        <v>3.75</v>
      </c>
      <c r="CD141" s="41">
        <v>1171.45</v>
      </c>
      <c r="CE141" s="41">
        <v>309.14999999999998</v>
      </c>
      <c r="CF141" s="41">
        <v>297.93991000000005</v>
      </c>
      <c r="CG141" s="45">
        <v>0</v>
      </c>
      <c r="CH141" s="45">
        <v>0</v>
      </c>
      <c r="CI141" s="37" t="s">
        <v>127</v>
      </c>
      <c r="CJ141" s="77" t="s">
        <v>127</v>
      </c>
      <c r="CK141" s="98">
        <v>0.18140000000000001</v>
      </c>
      <c r="CL141" s="98">
        <v>0.81859999999999999</v>
      </c>
      <c r="CM141" s="100" t="s">
        <v>189</v>
      </c>
    </row>
    <row r="142" spans="1:91" ht="12.75" customHeight="1" x14ac:dyDescent="0.3">
      <c r="A142" s="37">
        <v>140</v>
      </c>
      <c r="B142" s="37" t="s">
        <v>839</v>
      </c>
      <c r="C142" s="124"/>
      <c r="D142" s="124"/>
      <c r="E142" s="37" t="s">
        <v>258</v>
      </c>
      <c r="F142" s="36" t="s">
        <v>796</v>
      </c>
      <c r="G142" s="81" t="s">
        <v>513</v>
      </c>
      <c r="H142" s="37" t="s">
        <v>130</v>
      </c>
      <c r="I142" s="37" t="s">
        <v>127</v>
      </c>
      <c r="J142" s="37" t="s">
        <v>127</v>
      </c>
      <c r="K142" s="37" t="s">
        <v>797</v>
      </c>
      <c r="L142" s="75" t="s">
        <v>282</v>
      </c>
      <c r="M142" s="37" t="s">
        <v>127</v>
      </c>
      <c r="N142" s="37" t="s">
        <v>127</v>
      </c>
      <c r="O142" s="80">
        <v>44644</v>
      </c>
      <c r="P142" s="37">
        <v>40</v>
      </c>
      <c r="Q142" s="37" t="s">
        <v>127</v>
      </c>
      <c r="R142" s="37" t="s">
        <v>127</v>
      </c>
      <c r="S142" s="37" t="s">
        <v>127</v>
      </c>
      <c r="T142" s="37" t="s">
        <v>127</v>
      </c>
      <c r="U142" s="37" t="s">
        <v>136</v>
      </c>
      <c r="V142" s="37" t="b">
        <v>0</v>
      </c>
      <c r="W142" s="37" t="s">
        <v>127</v>
      </c>
      <c r="X142" s="123"/>
      <c r="Y142" s="37" t="s">
        <v>127</v>
      </c>
      <c r="Z142" s="37" t="s">
        <v>127</v>
      </c>
      <c r="AA142" s="37" t="s">
        <v>153</v>
      </c>
      <c r="AB142" s="37" t="s">
        <v>127</v>
      </c>
      <c r="AC142" s="78">
        <v>1.1000000000000001</v>
      </c>
      <c r="AD142" s="78">
        <v>2987652</v>
      </c>
      <c r="AE142" s="37" t="s">
        <v>840</v>
      </c>
      <c r="AF142" s="37">
        <v>20126</v>
      </c>
      <c r="AG142" s="37" t="s">
        <v>127</v>
      </c>
      <c r="AH142" s="37" t="b">
        <v>0</v>
      </c>
      <c r="AI142" s="76" t="s">
        <v>127</v>
      </c>
      <c r="AJ142" s="77" t="s">
        <v>142</v>
      </c>
      <c r="AK142" s="37" t="s">
        <v>127</v>
      </c>
      <c r="AL142" s="37" t="s">
        <v>127</v>
      </c>
      <c r="AM142" s="37" t="b">
        <v>0</v>
      </c>
      <c r="AN142" s="37" t="s">
        <v>127</v>
      </c>
      <c r="AO142" s="37" t="s">
        <v>127</v>
      </c>
      <c r="AP142" s="37" t="s">
        <v>127</v>
      </c>
      <c r="AQ142" s="37" t="b">
        <v>0</v>
      </c>
      <c r="AR142" s="37" t="s">
        <v>127</v>
      </c>
      <c r="AS142" s="37" t="s">
        <v>127</v>
      </c>
      <c r="AT142" s="37" t="s">
        <v>127</v>
      </c>
      <c r="AU142" s="37" t="s">
        <v>127</v>
      </c>
      <c r="AV142" s="37" t="s">
        <v>127</v>
      </c>
      <c r="AW142" s="37" t="s">
        <v>127</v>
      </c>
      <c r="AX142" s="37" t="s">
        <v>161</v>
      </c>
      <c r="AY142" s="37" t="s">
        <v>127</v>
      </c>
      <c r="AZ142" s="37" t="s">
        <v>127</v>
      </c>
      <c r="BA142" s="37" t="s">
        <v>127</v>
      </c>
      <c r="BB142" s="37" t="s">
        <v>143</v>
      </c>
      <c r="BC142" s="77" t="s">
        <v>127</v>
      </c>
      <c r="BD142" s="76" t="s">
        <v>841</v>
      </c>
      <c r="BE142" s="37" t="s">
        <v>127</v>
      </c>
      <c r="BF142" s="86" t="s">
        <v>842</v>
      </c>
      <c r="BG142" s="39" t="s">
        <v>127</v>
      </c>
      <c r="BH142" s="37" t="s">
        <v>127</v>
      </c>
      <c r="BI142" s="40" t="b">
        <v>0</v>
      </c>
      <c r="BJ142" s="40" t="s">
        <v>137</v>
      </c>
      <c r="BK142" s="37" t="s">
        <v>127</v>
      </c>
      <c r="BL142" s="41">
        <v>1443.8443400000001</v>
      </c>
      <c r="BM142" s="41">
        <v>155.60632000000001</v>
      </c>
      <c r="BN142" s="41">
        <v>1147.5633400000002</v>
      </c>
      <c r="BO142" s="41">
        <v>3.288149999999995</v>
      </c>
      <c r="BP142" s="41">
        <v>7.9325799999999997</v>
      </c>
      <c r="BQ142" s="41">
        <v>19.293740000000003</v>
      </c>
      <c r="BR142" s="41">
        <v>0</v>
      </c>
      <c r="BS142" s="41">
        <v>0</v>
      </c>
      <c r="BT142" s="41">
        <v>0</v>
      </c>
      <c r="BU142" s="41">
        <v>0</v>
      </c>
      <c r="BV142" s="41">
        <v>0</v>
      </c>
      <c r="BW142" s="49">
        <v>0</v>
      </c>
      <c r="BX142" s="37" t="s">
        <v>127</v>
      </c>
      <c r="BY142" s="37" t="s">
        <v>127</v>
      </c>
      <c r="BZ142" s="37" t="s">
        <v>203</v>
      </c>
      <c r="CA142" s="41">
        <v>1249.847</v>
      </c>
      <c r="CB142" s="41">
        <v>2.82</v>
      </c>
      <c r="CC142" s="41">
        <v>6.8</v>
      </c>
      <c r="CD142" s="41">
        <v>16.54</v>
      </c>
      <c r="CE142" s="41">
        <v>0</v>
      </c>
      <c r="CF142" s="41">
        <v>0</v>
      </c>
      <c r="CG142" s="45">
        <v>0</v>
      </c>
      <c r="CH142" s="45">
        <v>0</v>
      </c>
      <c r="CI142" s="37" t="s">
        <v>127</v>
      </c>
      <c r="CJ142" s="77" t="s">
        <v>127</v>
      </c>
      <c r="CK142" s="98">
        <v>0.18140000000000001</v>
      </c>
      <c r="CL142" s="98">
        <v>0.81859999999999999</v>
      </c>
      <c r="CM142" s="100" t="s">
        <v>189</v>
      </c>
    </row>
    <row r="143" spans="1:91" ht="12.75" customHeight="1" x14ac:dyDescent="0.3">
      <c r="A143" s="37">
        <v>141</v>
      </c>
      <c r="B143" s="37" t="s">
        <v>843</v>
      </c>
      <c r="C143" s="124"/>
      <c r="D143" s="124"/>
      <c r="E143" s="37" t="s">
        <v>200</v>
      </c>
      <c r="F143" s="36" t="s">
        <v>796</v>
      </c>
      <c r="G143" s="81" t="s">
        <v>513</v>
      </c>
      <c r="H143" s="37" t="s">
        <v>130</v>
      </c>
      <c r="I143" s="37" t="s">
        <v>127</v>
      </c>
      <c r="J143" s="37" t="s">
        <v>127</v>
      </c>
      <c r="K143" s="37" t="s">
        <v>797</v>
      </c>
      <c r="L143" s="75" t="s">
        <v>282</v>
      </c>
      <c r="M143" s="37" t="s">
        <v>127</v>
      </c>
      <c r="N143" s="37" t="s">
        <v>127</v>
      </c>
      <c r="O143" s="76">
        <v>44981</v>
      </c>
      <c r="P143" s="91" t="s">
        <v>844</v>
      </c>
      <c r="Q143" s="37" t="s">
        <v>127</v>
      </c>
      <c r="R143" s="37" t="s">
        <v>127</v>
      </c>
      <c r="S143" s="37" t="s">
        <v>127</v>
      </c>
      <c r="T143" s="37" t="s">
        <v>127</v>
      </c>
      <c r="U143" s="37" t="s">
        <v>136</v>
      </c>
      <c r="V143" s="37" t="b">
        <v>0</v>
      </c>
      <c r="W143" s="37" t="s">
        <v>127</v>
      </c>
      <c r="X143" s="123"/>
      <c r="Y143" s="37" t="s">
        <v>127</v>
      </c>
      <c r="Z143" s="37" t="s">
        <v>127</v>
      </c>
      <c r="AA143" s="37" t="s">
        <v>153</v>
      </c>
      <c r="AB143" s="37" t="s">
        <v>127</v>
      </c>
      <c r="AC143" s="78">
        <v>1.1000000000000001</v>
      </c>
      <c r="AD143" s="78">
        <v>2987975</v>
      </c>
      <c r="AE143" s="37" t="s">
        <v>845</v>
      </c>
      <c r="AF143" s="37">
        <v>20126</v>
      </c>
      <c r="AG143" s="37" t="s">
        <v>127</v>
      </c>
      <c r="AH143" s="37" t="b">
        <v>0</v>
      </c>
      <c r="AI143" s="76" t="s">
        <v>127</v>
      </c>
      <c r="AJ143" s="77" t="s">
        <v>142</v>
      </c>
      <c r="AK143" s="37" t="s">
        <v>127</v>
      </c>
      <c r="AL143" s="37" t="s">
        <v>127</v>
      </c>
      <c r="AM143" s="37" t="b">
        <v>0</v>
      </c>
      <c r="AN143" s="37" t="s">
        <v>127</v>
      </c>
      <c r="AO143" s="37" t="s">
        <v>127</v>
      </c>
      <c r="AP143" s="37" t="s">
        <v>127</v>
      </c>
      <c r="AQ143" s="37" t="b">
        <v>0</v>
      </c>
      <c r="AR143" s="37" t="s">
        <v>127</v>
      </c>
      <c r="AS143" s="37" t="s">
        <v>127</v>
      </c>
      <c r="AT143" s="37" t="s">
        <v>127</v>
      </c>
      <c r="AU143" s="37" t="s">
        <v>127</v>
      </c>
      <c r="AV143" s="37" t="s">
        <v>127</v>
      </c>
      <c r="AW143" s="37" t="s">
        <v>127</v>
      </c>
      <c r="AX143" s="37" t="s">
        <v>161</v>
      </c>
      <c r="AY143" s="37" t="s">
        <v>127</v>
      </c>
      <c r="AZ143" s="37" t="s">
        <v>127</v>
      </c>
      <c r="BA143" s="37" t="s">
        <v>127</v>
      </c>
      <c r="BB143" s="37" t="s">
        <v>143</v>
      </c>
      <c r="BC143" s="77" t="s">
        <v>127</v>
      </c>
      <c r="BD143" s="76" t="s">
        <v>846</v>
      </c>
      <c r="BE143" s="37" t="s">
        <v>127</v>
      </c>
      <c r="BF143" s="86" t="s">
        <v>847</v>
      </c>
      <c r="BG143" s="39" t="s">
        <v>127</v>
      </c>
      <c r="BH143" s="37" t="s">
        <v>127</v>
      </c>
      <c r="BI143" s="40" t="b">
        <v>1</v>
      </c>
      <c r="BJ143" s="40" t="s">
        <v>137</v>
      </c>
      <c r="BK143" s="37" t="s">
        <v>127</v>
      </c>
      <c r="BL143" s="41">
        <v>1998.8429499999993</v>
      </c>
      <c r="BM143" s="41">
        <v>1352.2521200000001</v>
      </c>
      <c r="BN143" s="41">
        <v>150.05614999999997</v>
      </c>
      <c r="BO143" s="41">
        <v>190.58428999999995</v>
      </c>
      <c r="BP143" s="41">
        <v>3.9360999999999997</v>
      </c>
      <c r="BQ143" s="41">
        <v>-1.7859999999999997E-2</v>
      </c>
      <c r="BR143" s="41">
        <v>0.1905</v>
      </c>
      <c r="BS143" s="41">
        <v>0</v>
      </c>
      <c r="BT143" s="41">
        <v>0</v>
      </c>
      <c r="BU143" s="41">
        <v>0</v>
      </c>
      <c r="BV143" s="41">
        <v>0</v>
      </c>
      <c r="BW143" s="49">
        <v>0</v>
      </c>
      <c r="BX143" s="37" t="s">
        <v>127</v>
      </c>
      <c r="BY143" s="37" t="s">
        <v>127</v>
      </c>
      <c r="BZ143" s="37" t="s">
        <v>155</v>
      </c>
      <c r="CA143" s="41">
        <v>128.989</v>
      </c>
      <c r="CB143" s="41">
        <v>163.44</v>
      </c>
      <c r="CC143" s="41">
        <v>3.38</v>
      </c>
      <c r="CD143" s="41">
        <v>-0.02</v>
      </c>
      <c r="CE143" s="41">
        <v>0.87</v>
      </c>
      <c r="CF143" s="41">
        <v>0.16333</v>
      </c>
      <c r="CG143" s="45">
        <v>0</v>
      </c>
      <c r="CH143" s="45">
        <v>0</v>
      </c>
      <c r="CI143" s="37" t="s">
        <v>127</v>
      </c>
      <c r="CJ143" s="77" t="s">
        <v>127</v>
      </c>
      <c r="CK143" s="98">
        <v>0.18140000000000001</v>
      </c>
      <c r="CL143" s="98">
        <v>0.81859999999999999</v>
      </c>
      <c r="CM143" s="100" t="s">
        <v>189</v>
      </c>
    </row>
    <row r="144" spans="1:91" ht="12.75" customHeight="1" x14ac:dyDescent="0.3">
      <c r="A144" s="37">
        <v>142</v>
      </c>
      <c r="B144" s="37" t="s">
        <v>848</v>
      </c>
      <c r="C144" s="124"/>
      <c r="D144" s="124"/>
      <c r="E144" s="37" t="s">
        <v>288</v>
      </c>
      <c r="F144" s="36" t="s">
        <v>796</v>
      </c>
      <c r="G144" s="81" t="s">
        <v>513</v>
      </c>
      <c r="H144" s="37" t="s">
        <v>130</v>
      </c>
      <c r="I144" s="37" t="s">
        <v>127</v>
      </c>
      <c r="J144" s="37" t="s">
        <v>127</v>
      </c>
      <c r="K144" s="37" t="s">
        <v>797</v>
      </c>
      <c r="L144" s="75" t="s">
        <v>282</v>
      </c>
      <c r="M144" s="37" t="s">
        <v>127</v>
      </c>
      <c r="N144" s="37" t="s">
        <v>127</v>
      </c>
      <c r="O144" s="80">
        <v>44320</v>
      </c>
      <c r="P144" s="37">
        <v>54.8</v>
      </c>
      <c r="Q144" s="37" t="s">
        <v>127</v>
      </c>
      <c r="R144" s="37" t="s">
        <v>127</v>
      </c>
      <c r="S144" s="37" t="s">
        <v>127</v>
      </c>
      <c r="T144" s="37" t="s">
        <v>127</v>
      </c>
      <c r="U144" s="37" t="s">
        <v>136</v>
      </c>
      <c r="V144" s="37" t="b">
        <v>0</v>
      </c>
      <c r="W144" s="37" t="s">
        <v>127</v>
      </c>
      <c r="X144" s="123"/>
      <c r="Y144" s="37" t="s">
        <v>127</v>
      </c>
      <c r="Z144" s="37" t="s">
        <v>127</v>
      </c>
      <c r="AA144" s="37" t="s">
        <v>153</v>
      </c>
      <c r="AB144" s="37" t="s">
        <v>127</v>
      </c>
      <c r="AC144" s="78">
        <v>1.1000000000000001</v>
      </c>
      <c r="AD144" s="78">
        <v>2988970</v>
      </c>
      <c r="AE144" s="37" t="s">
        <v>849</v>
      </c>
      <c r="AF144" s="37">
        <v>20126</v>
      </c>
      <c r="AG144" s="37" t="s">
        <v>127</v>
      </c>
      <c r="AH144" s="37" t="b">
        <v>0</v>
      </c>
      <c r="AI144" s="76" t="s">
        <v>127</v>
      </c>
      <c r="AJ144" s="77" t="s">
        <v>142</v>
      </c>
      <c r="AK144" s="37" t="s">
        <v>127</v>
      </c>
      <c r="AL144" s="37" t="s">
        <v>127</v>
      </c>
      <c r="AM144" s="37" t="b">
        <v>0</v>
      </c>
      <c r="AN144" s="37" t="s">
        <v>127</v>
      </c>
      <c r="AO144" s="37" t="s">
        <v>127</v>
      </c>
      <c r="AP144" s="37" t="s">
        <v>127</v>
      </c>
      <c r="AQ144" s="37" t="b">
        <v>0</v>
      </c>
      <c r="AR144" s="37" t="s">
        <v>127</v>
      </c>
      <c r="AS144" s="37" t="s">
        <v>127</v>
      </c>
      <c r="AT144" s="37" t="s">
        <v>127</v>
      </c>
      <c r="AU144" s="37" t="s">
        <v>127</v>
      </c>
      <c r="AV144" s="37" t="s">
        <v>127</v>
      </c>
      <c r="AW144" s="37" t="s">
        <v>127</v>
      </c>
      <c r="AX144" s="37" t="s">
        <v>161</v>
      </c>
      <c r="AY144" s="37" t="s">
        <v>127</v>
      </c>
      <c r="AZ144" s="37" t="s">
        <v>127</v>
      </c>
      <c r="BA144" s="37" t="s">
        <v>127</v>
      </c>
      <c r="BB144" s="37" t="s">
        <v>812</v>
      </c>
      <c r="BC144" s="77" t="s">
        <v>127</v>
      </c>
      <c r="BD144" s="76" t="s">
        <v>847</v>
      </c>
      <c r="BE144" s="37" t="s">
        <v>127</v>
      </c>
      <c r="BF144" s="86" t="s">
        <v>850</v>
      </c>
      <c r="BG144" s="39" t="s">
        <v>127</v>
      </c>
      <c r="BH144" s="37" t="s">
        <v>127</v>
      </c>
      <c r="BI144" s="40" t="b">
        <v>1</v>
      </c>
      <c r="BJ144" s="40" t="s">
        <v>137</v>
      </c>
      <c r="BK144" s="37" t="s">
        <v>127</v>
      </c>
      <c r="BL144" s="41">
        <v>2954.4686100000004</v>
      </c>
      <c r="BM144" s="41">
        <v>808.78845999999999</v>
      </c>
      <c r="BN144" s="41">
        <v>1230.7434400000006</v>
      </c>
      <c r="BO144" s="41">
        <v>68.057369999999977</v>
      </c>
      <c r="BP144" s="41">
        <v>13.932879999999997</v>
      </c>
      <c r="BQ144" s="41">
        <v>46.805230000000002</v>
      </c>
      <c r="BR144" s="41">
        <v>27.42295</v>
      </c>
      <c r="BS144" s="41">
        <v>0</v>
      </c>
      <c r="BT144" s="41">
        <v>0</v>
      </c>
      <c r="BU144" s="41">
        <v>0</v>
      </c>
      <c r="BV144" s="41">
        <v>0</v>
      </c>
      <c r="BW144" s="49">
        <v>0</v>
      </c>
      <c r="BX144" s="37" t="s">
        <v>127</v>
      </c>
      <c r="BY144" s="37" t="s">
        <v>127</v>
      </c>
      <c r="BZ144" s="37" t="s">
        <v>155</v>
      </c>
      <c r="CA144" s="41">
        <v>2411.643</v>
      </c>
      <c r="CB144" s="41">
        <v>61.42</v>
      </c>
      <c r="CC144" s="41">
        <v>12.89</v>
      </c>
      <c r="CD144" s="41">
        <v>42.16</v>
      </c>
      <c r="CE144" s="41">
        <v>34.909999999999997</v>
      </c>
      <c r="CF144" s="41">
        <v>24.68638</v>
      </c>
      <c r="CG144" s="45">
        <v>0</v>
      </c>
      <c r="CH144" s="45">
        <v>0</v>
      </c>
      <c r="CI144" s="37" t="s">
        <v>127</v>
      </c>
      <c r="CJ144" s="77" t="s">
        <v>127</v>
      </c>
      <c r="CK144" s="98">
        <v>0.18140000000000001</v>
      </c>
      <c r="CL144" s="98">
        <v>0.81859999999999999</v>
      </c>
      <c r="CM144" s="100" t="s">
        <v>189</v>
      </c>
    </row>
    <row r="145" spans="1:91" ht="12.75" customHeight="1" x14ac:dyDescent="0.3">
      <c r="A145" s="37">
        <v>143</v>
      </c>
      <c r="B145" s="37" t="s">
        <v>851</v>
      </c>
      <c r="C145" s="124"/>
      <c r="D145" s="124"/>
      <c r="E145" s="37" t="s">
        <v>258</v>
      </c>
      <c r="F145" s="36" t="s">
        <v>796</v>
      </c>
      <c r="G145" s="81" t="s">
        <v>513</v>
      </c>
      <c r="H145" s="37" t="s">
        <v>130</v>
      </c>
      <c r="I145" s="37" t="s">
        <v>127</v>
      </c>
      <c r="J145" s="37" t="s">
        <v>127</v>
      </c>
      <c r="K145" s="37" t="s">
        <v>797</v>
      </c>
      <c r="L145" s="75" t="s">
        <v>282</v>
      </c>
      <c r="M145" s="37" t="s">
        <v>127</v>
      </c>
      <c r="N145" s="37" t="s">
        <v>127</v>
      </c>
      <c r="O145" s="76">
        <v>45367</v>
      </c>
      <c r="P145" s="37" t="s">
        <v>135</v>
      </c>
      <c r="Q145" s="37" t="s">
        <v>127</v>
      </c>
      <c r="R145" s="37" t="s">
        <v>127</v>
      </c>
      <c r="S145" s="37" t="s">
        <v>127</v>
      </c>
      <c r="T145" s="37" t="s">
        <v>127</v>
      </c>
      <c r="U145" s="37" t="s">
        <v>136</v>
      </c>
      <c r="V145" s="37" t="b">
        <v>0</v>
      </c>
      <c r="W145" s="37" t="s">
        <v>127</v>
      </c>
      <c r="X145" s="123"/>
      <c r="Y145" s="37" t="s">
        <v>127</v>
      </c>
      <c r="Z145" s="37" t="s">
        <v>127</v>
      </c>
      <c r="AA145" s="37" t="s">
        <v>153</v>
      </c>
      <c r="AB145" s="37" t="s">
        <v>127</v>
      </c>
      <c r="AC145" s="78">
        <v>1.1000000000000001</v>
      </c>
      <c r="AD145" s="78">
        <v>2989519</v>
      </c>
      <c r="AE145" s="37" t="s">
        <v>806</v>
      </c>
      <c r="AF145" s="37">
        <v>20126</v>
      </c>
      <c r="AG145" s="37" t="s">
        <v>127</v>
      </c>
      <c r="AH145" s="37" t="b">
        <v>0</v>
      </c>
      <c r="AI145" s="76" t="s">
        <v>127</v>
      </c>
      <c r="AJ145" s="77" t="s">
        <v>142</v>
      </c>
      <c r="AK145" s="37" t="s">
        <v>127</v>
      </c>
      <c r="AL145" s="37" t="s">
        <v>127</v>
      </c>
      <c r="AM145" s="37" t="b">
        <v>0</v>
      </c>
      <c r="AN145" s="37" t="s">
        <v>127</v>
      </c>
      <c r="AO145" s="37" t="s">
        <v>127</v>
      </c>
      <c r="AP145" s="37" t="s">
        <v>127</v>
      </c>
      <c r="AQ145" s="37" t="b">
        <v>0</v>
      </c>
      <c r="AR145" s="37" t="s">
        <v>127</v>
      </c>
      <c r="AS145" s="37" t="s">
        <v>127</v>
      </c>
      <c r="AT145" s="37" t="s">
        <v>127</v>
      </c>
      <c r="AU145" s="37" t="s">
        <v>127</v>
      </c>
      <c r="AV145" s="37" t="s">
        <v>127</v>
      </c>
      <c r="AW145" s="37" t="s">
        <v>127</v>
      </c>
      <c r="AX145" s="37" t="s">
        <v>161</v>
      </c>
      <c r="AY145" s="37" t="s">
        <v>127</v>
      </c>
      <c r="AZ145" s="37" t="s">
        <v>127</v>
      </c>
      <c r="BA145" s="37" t="s">
        <v>127</v>
      </c>
      <c r="BB145" s="37" t="s">
        <v>812</v>
      </c>
      <c r="BC145" s="77" t="s">
        <v>127</v>
      </c>
      <c r="BD145" s="76" t="s">
        <v>807</v>
      </c>
      <c r="BE145" s="37" t="s">
        <v>127</v>
      </c>
      <c r="BF145" s="86" t="s">
        <v>808</v>
      </c>
      <c r="BG145" s="39" t="s">
        <v>127</v>
      </c>
      <c r="BH145" s="37" t="s">
        <v>127</v>
      </c>
      <c r="BI145" s="40" t="b">
        <v>1</v>
      </c>
      <c r="BJ145" s="40" t="s">
        <v>137</v>
      </c>
      <c r="BK145" s="37" t="s">
        <v>127</v>
      </c>
      <c r="BL145" s="41">
        <v>1592.5016899999996</v>
      </c>
      <c r="BM145" s="41">
        <v>121.76685999999998</v>
      </c>
      <c r="BN145" s="41">
        <v>98.277249999999981</v>
      </c>
      <c r="BO145" s="41">
        <v>375.88017000000008</v>
      </c>
      <c r="BP145" s="41">
        <v>775.60012999999981</v>
      </c>
      <c r="BQ145" s="41">
        <v>31.705170000000027</v>
      </c>
      <c r="BR145" s="41">
        <v>172.51153999999997</v>
      </c>
      <c r="BS145" s="41">
        <v>0</v>
      </c>
      <c r="BT145" s="41">
        <v>0</v>
      </c>
      <c r="BU145" s="41">
        <v>0</v>
      </c>
      <c r="BV145" s="41">
        <v>0</v>
      </c>
      <c r="BW145" s="49">
        <v>0</v>
      </c>
      <c r="BX145" s="37" t="s">
        <v>127</v>
      </c>
      <c r="BY145" s="37" t="s">
        <v>127</v>
      </c>
      <c r="BZ145" s="37" t="s">
        <v>162</v>
      </c>
      <c r="CA145" s="41">
        <v>0</v>
      </c>
      <c r="CB145" s="41">
        <v>0</v>
      </c>
      <c r="CC145" s="41">
        <v>1278.42</v>
      </c>
      <c r="CD145" s="41">
        <v>30.81</v>
      </c>
      <c r="CE145" s="41">
        <v>166.6</v>
      </c>
      <c r="CF145" s="41">
        <v>155.94253</v>
      </c>
      <c r="CG145" s="45">
        <v>0</v>
      </c>
      <c r="CH145" s="45">
        <v>0</v>
      </c>
      <c r="CI145" s="37" t="s">
        <v>127</v>
      </c>
      <c r="CJ145" s="77" t="s">
        <v>127</v>
      </c>
      <c r="CK145" s="98">
        <v>0.18140000000000001</v>
      </c>
      <c r="CL145" s="98">
        <v>0.81859999999999999</v>
      </c>
      <c r="CM145" s="100" t="s">
        <v>852</v>
      </c>
    </row>
    <row r="146" spans="1:91" ht="12.75" customHeight="1" x14ac:dyDescent="0.3">
      <c r="A146" s="37">
        <v>144</v>
      </c>
      <c r="B146" s="37" t="s">
        <v>853</v>
      </c>
      <c r="C146" s="124"/>
      <c r="D146" s="124"/>
      <c r="E146" s="37" t="s">
        <v>800</v>
      </c>
      <c r="F146" s="36" t="s">
        <v>796</v>
      </c>
      <c r="G146" s="81" t="s">
        <v>513</v>
      </c>
      <c r="H146" s="37" t="s">
        <v>130</v>
      </c>
      <c r="I146" s="37" t="s">
        <v>127</v>
      </c>
      <c r="J146" s="37" t="s">
        <v>127</v>
      </c>
      <c r="K146" s="37" t="s">
        <v>797</v>
      </c>
      <c r="L146" s="75" t="s">
        <v>282</v>
      </c>
      <c r="M146" s="37" t="s">
        <v>127</v>
      </c>
      <c r="N146" s="37" t="s">
        <v>127</v>
      </c>
      <c r="O146" s="76">
        <v>45192</v>
      </c>
      <c r="P146" s="37">
        <v>68</v>
      </c>
      <c r="Q146" s="37" t="s">
        <v>127</v>
      </c>
      <c r="R146" s="37" t="s">
        <v>127</v>
      </c>
      <c r="S146" s="37" t="s">
        <v>127</v>
      </c>
      <c r="T146" s="37" t="s">
        <v>127</v>
      </c>
      <c r="U146" s="37" t="s">
        <v>136</v>
      </c>
      <c r="V146" s="37" t="b">
        <v>0</v>
      </c>
      <c r="W146" s="37" t="s">
        <v>127</v>
      </c>
      <c r="X146" s="123"/>
      <c r="Y146" s="37" t="s">
        <v>127</v>
      </c>
      <c r="Z146" s="37" t="s">
        <v>127</v>
      </c>
      <c r="AA146" s="37" t="s">
        <v>153</v>
      </c>
      <c r="AB146" s="37" t="s">
        <v>127</v>
      </c>
      <c r="AC146" s="78">
        <v>1.1000000000000001</v>
      </c>
      <c r="AD146" s="78">
        <v>2989637</v>
      </c>
      <c r="AE146" s="37" t="s">
        <v>854</v>
      </c>
      <c r="AF146" s="37">
        <v>20126</v>
      </c>
      <c r="AG146" s="37" t="s">
        <v>127</v>
      </c>
      <c r="AH146" s="37" t="b">
        <v>0</v>
      </c>
      <c r="AI146" s="76" t="s">
        <v>127</v>
      </c>
      <c r="AJ146" s="77" t="s">
        <v>142</v>
      </c>
      <c r="AK146" s="37" t="s">
        <v>127</v>
      </c>
      <c r="AL146" s="37" t="s">
        <v>127</v>
      </c>
      <c r="AM146" s="37" t="b">
        <v>0</v>
      </c>
      <c r="AN146" s="37" t="s">
        <v>127</v>
      </c>
      <c r="AO146" s="37" t="s">
        <v>127</v>
      </c>
      <c r="AP146" s="37" t="s">
        <v>127</v>
      </c>
      <c r="AQ146" s="37" t="b">
        <v>0</v>
      </c>
      <c r="AR146" s="37" t="s">
        <v>127</v>
      </c>
      <c r="AS146" s="37" t="s">
        <v>127</v>
      </c>
      <c r="AT146" s="37" t="s">
        <v>127</v>
      </c>
      <c r="AU146" s="37" t="s">
        <v>127</v>
      </c>
      <c r="AV146" s="37" t="s">
        <v>127</v>
      </c>
      <c r="AW146" s="37" t="s">
        <v>127</v>
      </c>
      <c r="AX146" s="37" t="s">
        <v>127</v>
      </c>
      <c r="AY146" s="37" t="s">
        <v>127</v>
      </c>
      <c r="AZ146" s="37" t="s">
        <v>127</v>
      </c>
      <c r="BA146" s="37" t="s">
        <v>127</v>
      </c>
      <c r="BB146" s="37" t="s">
        <v>127</v>
      </c>
      <c r="BC146" s="77" t="s">
        <v>127</v>
      </c>
      <c r="BD146" s="76" t="s">
        <v>127</v>
      </c>
      <c r="BE146" s="37" t="s">
        <v>127</v>
      </c>
      <c r="BF146" s="37" t="s">
        <v>127</v>
      </c>
      <c r="BG146" s="39" t="s">
        <v>127</v>
      </c>
      <c r="BH146" s="37" t="s">
        <v>127</v>
      </c>
      <c r="BI146" s="40" t="b">
        <v>1</v>
      </c>
      <c r="BJ146" s="40" t="s">
        <v>137</v>
      </c>
      <c r="BK146" s="37" t="s">
        <v>127</v>
      </c>
      <c r="BL146" s="41">
        <v>1523.0641799999996</v>
      </c>
      <c r="BM146" s="41">
        <v>70.905299999999983</v>
      </c>
      <c r="BN146" s="41">
        <v>137.00028</v>
      </c>
      <c r="BO146" s="41">
        <v>267.24595000000011</v>
      </c>
      <c r="BP146" s="41">
        <v>535.34696999999994</v>
      </c>
      <c r="BQ146" s="41">
        <v>459.82114999999999</v>
      </c>
      <c r="BR146" s="41">
        <v>8.6531899999999986</v>
      </c>
      <c r="BS146" s="41">
        <v>0</v>
      </c>
      <c r="BT146" s="41">
        <v>0</v>
      </c>
      <c r="BU146" s="41">
        <v>0</v>
      </c>
      <c r="BV146" s="41">
        <v>0</v>
      </c>
      <c r="BW146" s="49">
        <v>0</v>
      </c>
      <c r="BX146" s="37" t="s">
        <v>127</v>
      </c>
      <c r="BY146" s="37" t="s">
        <v>127</v>
      </c>
      <c r="BZ146" s="37" t="s">
        <v>198</v>
      </c>
      <c r="CA146" s="41">
        <v>0</v>
      </c>
      <c r="CB146" s="41">
        <v>0</v>
      </c>
      <c r="CC146" s="41">
        <v>0</v>
      </c>
      <c r="CD146" s="41">
        <v>1410.83</v>
      </c>
      <c r="CE146" s="41">
        <v>11.77</v>
      </c>
      <c r="CF146" s="41">
        <v>1418.9991</v>
      </c>
      <c r="CG146" s="45">
        <v>0</v>
      </c>
      <c r="CH146" s="45">
        <v>0</v>
      </c>
      <c r="CI146" s="37" t="s">
        <v>127</v>
      </c>
      <c r="CJ146" s="77" t="s">
        <v>127</v>
      </c>
      <c r="CK146" s="98">
        <v>0.18140000000000001</v>
      </c>
      <c r="CL146" s="98">
        <v>0.81859999999999999</v>
      </c>
      <c r="CM146" s="100" t="s">
        <v>189</v>
      </c>
    </row>
    <row r="147" spans="1:91" ht="12.75" customHeight="1" x14ac:dyDescent="0.3">
      <c r="A147" s="37">
        <v>145</v>
      </c>
      <c r="B147" s="37" t="s">
        <v>855</v>
      </c>
      <c r="C147" s="124"/>
      <c r="D147" s="124"/>
      <c r="E147" s="37" t="s">
        <v>856</v>
      </c>
      <c r="F147" s="36" t="s">
        <v>796</v>
      </c>
      <c r="G147" s="81" t="s">
        <v>513</v>
      </c>
      <c r="H147" s="37" t="s">
        <v>130</v>
      </c>
      <c r="I147" s="37" t="s">
        <v>127</v>
      </c>
      <c r="J147" s="37" t="s">
        <v>127</v>
      </c>
      <c r="K147" s="37" t="s">
        <v>797</v>
      </c>
      <c r="L147" s="75" t="s">
        <v>282</v>
      </c>
      <c r="M147" s="37" t="s">
        <v>127</v>
      </c>
      <c r="N147" s="37" t="s">
        <v>127</v>
      </c>
      <c r="O147" s="76">
        <v>45330</v>
      </c>
      <c r="P147" s="37">
        <v>13</v>
      </c>
      <c r="Q147" s="37" t="s">
        <v>127</v>
      </c>
      <c r="R147" s="37" t="s">
        <v>127</v>
      </c>
      <c r="S147" s="37" t="s">
        <v>127</v>
      </c>
      <c r="T147" s="37" t="s">
        <v>127</v>
      </c>
      <c r="U147" s="37" t="s">
        <v>136</v>
      </c>
      <c r="V147" s="37" t="b">
        <v>0</v>
      </c>
      <c r="W147" s="37" t="s">
        <v>127</v>
      </c>
      <c r="X147" s="123"/>
      <c r="Y147" s="37" t="s">
        <v>127</v>
      </c>
      <c r="Z147" s="37" t="s">
        <v>127</v>
      </c>
      <c r="AA147" s="37" t="s">
        <v>153</v>
      </c>
      <c r="AB147" s="37" t="s">
        <v>127</v>
      </c>
      <c r="AC147" s="78">
        <v>1.1000000000000001</v>
      </c>
      <c r="AD147" s="78">
        <v>2990340</v>
      </c>
      <c r="AE147" s="37" t="s">
        <v>857</v>
      </c>
      <c r="AF147" s="37">
        <v>20126</v>
      </c>
      <c r="AG147" s="37" t="s">
        <v>127</v>
      </c>
      <c r="AH147" s="37" t="b">
        <v>0</v>
      </c>
      <c r="AI147" s="76" t="s">
        <v>127</v>
      </c>
      <c r="AJ147" s="77" t="s">
        <v>142</v>
      </c>
      <c r="AK147" s="37" t="s">
        <v>127</v>
      </c>
      <c r="AL147" s="37" t="s">
        <v>127</v>
      </c>
      <c r="AM147" s="37" t="b">
        <v>0</v>
      </c>
      <c r="AN147" s="37" t="s">
        <v>127</v>
      </c>
      <c r="AO147" s="37" t="s">
        <v>127</v>
      </c>
      <c r="AP147" s="37" t="s">
        <v>127</v>
      </c>
      <c r="AQ147" s="37" t="b">
        <v>0</v>
      </c>
      <c r="AR147" s="37" t="s">
        <v>127</v>
      </c>
      <c r="AS147" s="37" t="s">
        <v>127</v>
      </c>
      <c r="AT147" s="37" t="s">
        <v>127</v>
      </c>
      <c r="AU147" s="37" t="s">
        <v>127</v>
      </c>
      <c r="AV147" s="37" t="s">
        <v>127</v>
      </c>
      <c r="AW147" s="37" t="s">
        <v>127</v>
      </c>
      <c r="AX147" s="37" t="s">
        <v>161</v>
      </c>
      <c r="AY147" s="37" t="s">
        <v>127</v>
      </c>
      <c r="AZ147" s="37" t="s">
        <v>127</v>
      </c>
      <c r="BA147" s="37" t="s">
        <v>127</v>
      </c>
      <c r="BB147" s="37" t="s">
        <v>154</v>
      </c>
      <c r="BC147" s="77" t="s">
        <v>127</v>
      </c>
      <c r="BD147" s="76" t="s">
        <v>858</v>
      </c>
      <c r="BE147" s="37" t="s">
        <v>127</v>
      </c>
      <c r="BF147" s="86" t="s">
        <v>859</v>
      </c>
      <c r="BG147" s="39" t="s">
        <v>127</v>
      </c>
      <c r="BH147" s="37" t="s">
        <v>127</v>
      </c>
      <c r="BI147" s="40" t="b">
        <v>0</v>
      </c>
      <c r="BJ147" s="40" t="s">
        <v>137</v>
      </c>
      <c r="BK147" s="37" t="s">
        <v>127</v>
      </c>
      <c r="BL147" s="41">
        <v>3793.5168600000002</v>
      </c>
      <c r="BM147" s="41">
        <v>92.151949999999985</v>
      </c>
      <c r="BN147" s="41">
        <v>556.38452000000007</v>
      </c>
      <c r="BO147" s="41">
        <v>3142.9796099999994</v>
      </c>
      <c r="BP147" s="41">
        <v>2.0007799999999998</v>
      </c>
      <c r="BQ147" s="41">
        <v>0</v>
      </c>
      <c r="BR147" s="41">
        <v>0</v>
      </c>
      <c r="BS147" s="41">
        <v>0</v>
      </c>
      <c r="BT147" s="41">
        <v>0</v>
      </c>
      <c r="BU147" s="41">
        <v>0</v>
      </c>
      <c r="BV147" s="41">
        <v>0</v>
      </c>
      <c r="BW147" s="49">
        <v>0</v>
      </c>
      <c r="BX147" s="37" t="s">
        <v>127</v>
      </c>
      <c r="BY147" s="37" t="s">
        <v>127</v>
      </c>
      <c r="BZ147" s="37" t="s">
        <v>264</v>
      </c>
      <c r="CA147" s="41">
        <v>0</v>
      </c>
      <c r="CB147" s="41">
        <v>3475.09</v>
      </c>
      <c r="CC147" s="41">
        <v>1.8</v>
      </c>
      <c r="CD147" s="41">
        <v>0</v>
      </c>
      <c r="CE147" s="41">
        <v>0</v>
      </c>
      <c r="CF147" s="41">
        <v>0</v>
      </c>
      <c r="CG147" s="45">
        <v>0</v>
      </c>
      <c r="CH147" s="45">
        <v>0</v>
      </c>
      <c r="CI147" s="37" t="s">
        <v>127</v>
      </c>
      <c r="CJ147" s="77" t="s">
        <v>127</v>
      </c>
      <c r="CK147" s="98">
        <v>0.18140000000000001</v>
      </c>
      <c r="CL147" s="98">
        <v>0.81859999999999999</v>
      </c>
      <c r="CM147" s="100" t="s">
        <v>189</v>
      </c>
    </row>
    <row r="148" spans="1:91" ht="12.75" customHeight="1" x14ac:dyDescent="0.3">
      <c r="A148" s="37">
        <v>146</v>
      </c>
      <c r="B148" s="37" t="s">
        <v>860</v>
      </c>
      <c r="C148" s="124"/>
      <c r="D148" s="124"/>
      <c r="E148" s="37" t="s">
        <v>258</v>
      </c>
      <c r="F148" s="36" t="s">
        <v>796</v>
      </c>
      <c r="G148" s="81" t="s">
        <v>513</v>
      </c>
      <c r="H148" s="37" t="s">
        <v>130</v>
      </c>
      <c r="I148" s="37" t="s">
        <v>127</v>
      </c>
      <c r="J148" s="37" t="s">
        <v>127</v>
      </c>
      <c r="K148" s="37" t="s">
        <v>797</v>
      </c>
      <c r="L148" s="75" t="s">
        <v>282</v>
      </c>
      <c r="M148" s="37" t="s">
        <v>127</v>
      </c>
      <c r="N148" s="37" t="s">
        <v>127</v>
      </c>
      <c r="O148" s="80">
        <v>44728</v>
      </c>
      <c r="P148" s="37" t="s">
        <v>127</v>
      </c>
      <c r="Q148" s="37" t="s">
        <v>127</v>
      </c>
      <c r="R148" s="37" t="s">
        <v>127</v>
      </c>
      <c r="S148" s="37" t="s">
        <v>127</v>
      </c>
      <c r="T148" s="37" t="s">
        <v>127</v>
      </c>
      <c r="U148" s="37" t="s">
        <v>136</v>
      </c>
      <c r="V148" s="37" t="b">
        <v>0</v>
      </c>
      <c r="W148" s="37" t="s">
        <v>127</v>
      </c>
      <c r="X148" s="123"/>
      <c r="Y148" s="37" t="s">
        <v>127</v>
      </c>
      <c r="Z148" s="37" t="s">
        <v>127</v>
      </c>
      <c r="AA148" s="37" t="s">
        <v>153</v>
      </c>
      <c r="AB148" s="37" t="s">
        <v>127</v>
      </c>
      <c r="AC148" s="78">
        <v>1.1000000000000001</v>
      </c>
      <c r="AD148" s="78">
        <v>2990404</v>
      </c>
      <c r="AE148" s="37" t="s">
        <v>861</v>
      </c>
      <c r="AF148" s="37">
        <v>20126</v>
      </c>
      <c r="AG148" s="37" t="s">
        <v>127</v>
      </c>
      <c r="AH148" s="37" t="b">
        <v>0</v>
      </c>
      <c r="AI148" s="76" t="s">
        <v>127</v>
      </c>
      <c r="AJ148" s="77" t="s">
        <v>142</v>
      </c>
      <c r="AK148" s="37" t="s">
        <v>127</v>
      </c>
      <c r="AL148" s="37" t="s">
        <v>127</v>
      </c>
      <c r="AM148" s="37" t="b">
        <v>0</v>
      </c>
      <c r="AN148" s="37" t="s">
        <v>127</v>
      </c>
      <c r="AO148" s="37" t="s">
        <v>127</v>
      </c>
      <c r="AP148" s="37" t="s">
        <v>127</v>
      </c>
      <c r="AQ148" s="37" t="b">
        <v>0</v>
      </c>
      <c r="AR148" s="37" t="s">
        <v>127</v>
      </c>
      <c r="AS148" s="37" t="s">
        <v>127</v>
      </c>
      <c r="AT148" s="37" t="s">
        <v>127</v>
      </c>
      <c r="AU148" s="37" t="s">
        <v>127</v>
      </c>
      <c r="AV148" s="37" t="s">
        <v>127</v>
      </c>
      <c r="AW148" s="37" t="s">
        <v>127</v>
      </c>
      <c r="AX148" s="37" t="s">
        <v>127</v>
      </c>
      <c r="AY148" s="37" t="s">
        <v>127</v>
      </c>
      <c r="AZ148" s="37" t="s">
        <v>127</v>
      </c>
      <c r="BA148" s="37" t="s">
        <v>127</v>
      </c>
      <c r="BB148" s="37" t="s">
        <v>127</v>
      </c>
      <c r="BC148" s="77" t="s">
        <v>127</v>
      </c>
      <c r="BD148" s="76" t="s">
        <v>127</v>
      </c>
      <c r="BE148" s="37" t="s">
        <v>127</v>
      </c>
      <c r="BF148" s="37" t="s">
        <v>127</v>
      </c>
      <c r="BG148" s="39" t="s">
        <v>127</v>
      </c>
      <c r="BH148" s="37" t="s">
        <v>127</v>
      </c>
      <c r="BI148" s="40" t="b">
        <v>1</v>
      </c>
      <c r="BJ148" s="40" t="s">
        <v>137</v>
      </c>
      <c r="BK148" s="37" t="s">
        <v>127</v>
      </c>
      <c r="BL148" s="41">
        <v>1290.6365699999999</v>
      </c>
      <c r="BM148" s="41">
        <v>270.27694999999994</v>
      </c>
      <c r="BN148" s="41">
        <v>310.7082400000001</v>
      </c>
      <c r="BO148" s="41">
        <v>539.27031999999997</v>
      </c>
      <c r="BP148" s="41">
        <v>32.071939999999991</v>
      </c>
      <c r="BQ148" s="41">
        <v>115.53502999999999</v>
      </c>
      <c r="BR148" s="41">
        <v>22.774090000000001</v>
      </c>
      <c r="BS148" s="41">
        <v>0</v>
      </c>
      <c r="BT148" s="41">
        <v>0</v>
      </c>
      <c r="BU148" s="41">
        <v>0</v>
      </c>
      <c r="BV148" s="41">
        <v>0</v>
      </c>
      <c r="BW148" s="49">
        <v>0</v>
      </c>
      <c r="BX148" s="37" t="s">
        <v>127</v>
      </c>
      <c r="BY148" s="37" t="s">
        <v>127</v>
      </c>
      <c r="BZ148" s="37" t="s">
        <v>479</v>
      </c>
      <c r="CA148" s="41">
        <v>0</v>
      </c>
      <c r="CB148" s="41">
        <v>1034.43</v>
      </c>
      <c r="CC148" s="41">
        <v>29.24</v>
      </c>
      <c r="CD148" s="41">
        <v>104.04</v>
      </c>
      <c r="CE148" s="41">
        <v>28.27</v>
      </c>
      <c r="CF148" s="41">
        <v>22.774090000000001</v>
      </c>
      <c r="CG148" s="45">
        <v>0</v>
      </c>
      <c r="CH148" s="45">
        <v>0</v>
      </c>
      <c r="CI148" s="37" t="s">
        <v>127</v>
      </c>
      <c r="CJ148" s="77" t="s">
        <v>127</v>
      </c>
      <c r="CK148" s="98">
        <v>0.18140000000000001</v>
      </c>
      <c r="CL148" s="98">
        <v>0.81859999999999999</v>
      </c>
      <c r="CM148" s="100" t="s">
        <v>189</v>
      </c>
    </row>
    <row r="149" spans="1:91" ht="12.75" customHeight="1" x14ac:dyDescent="0.3">
      <c r="A149" s="37">
        <v>147</v>
      </c>
      <c r="B149" s="37" t="s">
        <v>862</v>
      </c>
      <c r="C149" s="125"/>
      <c r="D149" s="123"/>
      <c r="E149" s="37" t="s">
        <v>127</v>
      </c>
      <c r="F149" s="36" t="s">
        <v>796</v>
      </c>
      <c r="G149" s="81" t="s">
        <v>513</v>
      </c>
      <c r="H149" s="37" t="s">
        <v>130</v>
      </c>
      <c r="I149" s="37" t="s">
        <v>127</v>
      </c>
      <c r="J149" s="37" t="s">
        <v>127</v>
      </c>
      <c r="K149" s="37" t="s">
        <v>797</v>
      </c>
      <c r="L149" s="75" t="s">
        <v>282</v>
      </c>
      <c r="M149" s="37" t="s">
        <v>127</v>
      </c>
      <c r="N149" s="37" t="s">
        <v>127</v>
      </c>
      <c r="O149" s="80">
        <v>45367</v>
      </c>
      <c r="P149" s="37">
        <v>72</v>
      </c>
      <c r="Q149" s="37" t="s">
        <v>127</v>
      </c>
      <c r="R149" s="37" t="s">
        <v>127</v>
      </c>
      <c r="S149" s="37" t="s">
        <v>127</v>
      </c>
      <c r="T149" s="37" t="s">
        <v>127</v>
      </c>
      <c r="U149" s="37" t="s">
        <v>136</v>
      </c>
      <c r="V149" s="37" t="b">
        <v>0</v>
      </c>
      <c r="W149" s="37" t="s">
        <v>127</v>
      </c>
      <c r="X149" s="123"/>
      <c r="Y149" s="37" t="s">
        <v>127</v>
      </c>
      <c r="Z149" s="37" t="s">
        <v>127</v>
      </c>
      <c r="AA149" s="37" t="s">
        <v>153</v>
      </c>
      <c r="AB149" s="37" t="s">
        <v>127</v>
      </c>
      <c r="AC149" s="78">
        <v>1.1000000000000001</v>
      </c>
      <c r="AD149" s="78">
        <v>2991005</v>
      </c>
      <c r="AE149" s="37" t="s">
        <v>863</v>
      </c>
      <c r="AF149" s="37">
        <v>20126</v>
      </c>
      <c r="AG149" s="37" t="s">
        <v>127</v>
      </c>
      <c r="AH149" s="37" t="b">
        <v>0</v>
      </c>
      <c r="AI149" s="76" t="s">
        <v>127</v>
      </c>
      <c r="AJ149" s="77" t="s">
        <v>142</v>
      </c>
      <c r="AK149" s="37" t="s">
        <v>127</v>
      </c>
      <c r="AL149" s="37" t="s">
        <v>127</v>
      </c>
      <c r="AM149" s="37" t="b">
        <v>0</v>
      </c>
      <c r="AN149" s="37" t="s">
        <v>127</v>
      </c>
      <c r="AO149" s="37" t="s">
        <v>127</v>
      </c>
      <c r="AP149" s="37" t="s">
        <v>127</v>
      </c>
      <c r="AQ149" s="37" t="b">
        <v>0</v>
      </c>
      <c r="AR149" s="37" t="s">
        <v>127</v>
      </c>
      <c r="AS149" s="37" t="s">
        <v>127</v>
      </c>
      <c r="AT149" s="37" t="s">
        <v>127</v>
      </c>
      <c r="AU149" s="37" t="s">
        <v>127</v>
      </c>
      <c r="AV149" s="37" t="s">
        <v>127</v>
      </c>
      <c r="AW149" s="37" t="s">
        <v>127</v>
      </c>
      <c r="AX149" s="37" t="s">
        <v>161</v>
      </c>
      <c r="AY149" s="37" t="s">
        <v>127</v>
      </c>
      <c r="AZ149" s="37" t="s">
        <v>127</v>
      </c>
      <c r="BA149" s="37" t="s">
        <v>127</v>
      </c>
      <c r="BB149" s="37" t="s">
        <v>812</v>
      </c>
      <c r="BC149" s="77" t="s">
        <v>127</v>
      </c>
      <c r="BD149" s="76" t="s">
        <v>127</v>
      </c>
      <c r="BE149" s="37" t="s">
        <v>127</v>
      </c>
      <c r="BF149" s="80" t="s">
        <v>864</v>
      </c>
      <c r="BG149" s="39" t="s">
        <v>127</v>
      </c>
      <c r="BH149" s="37" t="s">
        <v>127</v>
      </c>
      <c r="BI149" s="40" t="b">
        <v>1</v>
      </c>
      <c r="BJ149" s="40" t="s">
        <v>137</v>
      </c>
      <c r="BK149" s="37" t="s">
        <v>127</v>
      </c>
      <c r="BL149" s="41">
        <v>1337.702119999999</v>
      </c>
      <c r="BM149" s="41">
        <v>0</v>
      </c>
      <c r="BN149" s="41">
        <v>-16.691469999999995</v>
      </c>
      <c r="BO149" s="41">
        <v>90.064370000000025</v>
      </c>
      <c r="BP149" s="41">
        <v>1069.4700599999999</v>
      </c>
      <c r="BQ149" s="41">
        <v>163.39595999999995</v>
      </c>
      <c r="BR149" s="41">
        <v>31.463200000000001</v>
      </c>
      <c r="BS149" s="41">
        <v>0</v>
      </c>
      <c r="BT149" s="41">
        <v>0</v>
      </c>
      <c r="BU149" s="41">
        <v>0</v>
      </c>
      <c r="BV149" s="41">
        <v>0</v>
      </c>
      <c r="BW149" s="49">
        <v>0</v>
      </c>
      <c r="BX149" s="37" t="s">
        <v>127</v>
      </c>
      <c r="BY149" s="37" t="s">
        <v>127</v>
      </c>
      <c r="BZ149" s="37" t="s">
        <v>198</v>
      </c>
      <c r="CA149" s="41">
        <v>0</v>
      </c>
      <c r="CB149" s="41">
        <v>0</v>
      </c>
      <c r="CC149" s="41">
        <v>0</v>
      </c>
      <c r="CD149" s="41">
        <v>1166.47</v>
      </c>
      <c r="CE149" s="41">
        <v>42.58</v>
      </c>
      <c r="CF149" s="41">
        <v>28.336139999999993</v>
      </c>
      <c r="CG149" s="45">
        <v>0</v>
      </c>
      <c r="CH149" s="45" t="s">
        <v>137</v>
      </c>
      <c r="CI149" s="37" t="s">
        <v>127</v>
      </c>
      <c r="CJ149" s="77" t="s">
        <v>127</v>
      </c>
      <c r="CK149" s="98">
        <v>0.18140000000000001</v>
      </c>
      <c r="CL149" s="98">
        <v>0.81859999999999999</v>
      </c>
      <c r="CM149" s="100" t="s">
        <v>386</v>
      </c>
    </row>
    <row r="150" spans="1:91" ht="12.75" customHeight="1" x14ac:dyDescent="0.3">
      <c r="A150" s="37">
        <v>148</v>
      </c>
      <c r="B150" s="37" t="s">
        <v>865</v>
      </c>
      <c r="C150" s="124"/>
      <c r="D150" s="124"/>
      <c r="E150" s="37" t="s">
        <v>258</v>
      </c>
      <c r="F150" s="36" t="s">
        <v>796</v>
      </c>
      <c r="G150" s="81" t="s">
        <v>513</v>
      </c>
      <c r="H150" s="37" t="s">
        <v>130</v>
      </c>
      <c r="I150" s="37" t="s">
        <v>127</v>
      </c>
      <c r="J150" s="37" t="s">
        <v>127</v>
      </c>
      <c r="K150" s="37" t="s">
        <v>797</v>
      </c>
      <c r="L150" s="75" t="s">
        <v>282</v>
      </c>
      <c r="M150" s="37" t="s">
        <v>127</v>
      </c>
      <c r="N150" s="37" t="s">
        <v>127</v>
      </c>
      <c r="O150" s="80">
        <v>44642</v>
      </c>
      <c r="P150" s="37">
        <v>58</v>
      </c>
      <c r="Q150" s="37" t="s">
        <v>127</v>
      </c>
      <c r="R150" s="37" t="s">
        <v>127</v>
      </c>
      <c r="S150" s="37" t="s">
        <v>127</v>
      </c>
      <c r="T150" s="37" t="s">
        <v>127</v>
      </c>
      <c r="U150" s="37" t="s">
        <v>136</v>
      </c>
      <c r="V150" s="37" t="b">
        <v>0</v>
      </c>
      <c r="W150" s="37" t="s">
        <v>127</v>
      </c>
      <c r="X150" s="123"/>
      <c r="Y150" s="37" t="s">
        <v>127</v>
      </c>
      <c r="Z150" s="37" t="s">
        <v>127</v>
      </c>
      <c r="AA150" s="37" t="s">
        <v>153</v>
      </c>
      <c r="AB150" s="37" t="s">
        <v>127</v>
      </c>
      <c r="AC150" s="78">
        <v>1.1000000000000001</v>
      </c>
      <c r="AD150" s="78">
        <v>2991059</v>
      </c>
      <c r="AE150" s="37" t="s">
        <v>866</v>
      </c>
      <c r="AF150" s="37">
        <v>20126</v>
      </c>
      <c r="AG150" s="37" t="s">
        <v>127</v>
      </c>
      <c r="AH150" s="37" t="b">
        <v>0</v>
      </c>
      <c r="AI150" s="76" t="s">
        <v>127</v>
      </c>
      <c r="AJ150" s="77" t="s">
        <v>142</v>
      </c>
      <c r="AK150" s="37" t="s">
        <v>127</v>
      </c>
      <c r="AL150" s="37" t="s">
        <v>127</v>
      </c>
      <c r="AM150" s="37" t="b">
        <v>0</v>
      </c>
      <c r="AN150" s="37" t="s">
        <v>127</v>
      </c>
      <c r="AO150" s="37" t="s">
        <v>127</v>
      </c>
      <c r="AP150" s="37" t="s">
        <v>127</v>
      </c>
      <c r="AQ150" s="37" t="b">
        <v>0</v>
      </c>
      <c r="AR150" s="37" t="s">
        <v>127</v>
      </c>
      <c r="AS150" s="37" t="s">
        <v>127</v>
      </c>
      <c r="AT150" s="37" t="s">
        <v>127</v>
      </c>
      <c r="AU150" s="37" t="s">
        <v>127</v>
      </c>
      <c r="AV150" s="37" t="s">
        <v>127</v>
      </c>
      <c r="AW150" s="37" t="s">
        <v>127</v>
      </c>
      <c r="AX150" s="37" t="s">
        <v>161</v>
      </c>
      <c r="AY150" s="37" t="s">
        <v>127</v>
      </c>
      <c r="AZ150" s="37" t="s">
        <v>127</v>
      </c>
      <c r="BA150" s="37" t="s">
        <v>127</v>
      </c>
      <c r="BB150" s="37" t="s">
        <v>812</v>
      </c>
      <c r="BC150" s="77" t="s">
        <v>127</v>
      </c>
      <c r="BD150" s="76" t="s">
        <v>867</v>
      </c>
      <c r="BE150" s="37" t="s">
        <v>127</v>
      </c>
      <c r="BF150" s="86" t="s">
        <v>868</v>
      </c>
      <c r="BG150" s="39" t="s">
        <v>127</v>
      </c>
      <c r="BH150" s="37" t="s">
        <v>127</v>
      </c>
      <c r="BI150" s="40" t="b">
        <v>1</v>
      </c>
      <c r="BJ150" s="40" t="s">
        <v>137</v>
      </c>
      <c r="BK150" s="37" t="s">
        <v>127</v>
      </c>
      <c r="BL150" s="41">
        <v>1457.3883600000001</v>
      </c>
      <c r="BM150" s="41">
        <v>0</v>
      </c>
      <c r="BN150" s="41">
        <v>493.62252999999998</v>
      </c>
      <c r="BO150" s="41">
        <v>352.13463999999999</v>
      </c>
      <c r="BP150" s="41">
        <v>539.65564000000018</v>
      </c>
      <c r="BQ150" s="41">
        <v>66.41061999999998</v>
      </c>
      <c r="BR150" s="41">
        <v>5.5649299999999995</v>
      </c>
      <c r="BS150" s="41">
        <v>0</v>
      </c>
      <c r="BT150" s="41">
        <v>0</v>
      </c>
      <c r="BU150" s="41">
        <v>0</v>
      </c>
      <c r="BV150" s="41">
        <v>0</v>
      </c>
      <c r="BW150" s="49">
        <v>0</v>
      </c>
      <c r="BX150" s="37" t="s">
        <v>127</v>
      </c>
      <c r="BY150" s="37" t="s">
        <v>127</v>
      </c>
      <c r="BZ150" s="37" t="s">
        <v>162</v>
      </c>
      <c r="CA150" s="41">
        <v>0</v>
      </c>
      <c r="CB150" s="41">
        <v>0</v>
      </c>
      <c r="CC150" s="41">
        <v>1215.81</v>
      </c>
      <c r="CD150" s="41">
        <v>61.74</v>
      </c>
      <c r="CE150" s="41">
        <v>51.21</v>
      </c>
      <c r="CF150" s="41">
        <v>5.2459799999999994</v>
      </c>
      <c r="CG150" s="45">
        <v>0</v>
      </c>
      <c r="CH150" s="45">
        <v>0</v>
      </c>
      <c r="CI150" s="37" t="s">
        <v>127</v>
      </c>
      <c r="CJ150" s="77" t="s">
        <v>127</v>
      </c>
      <c r="CK150" s="98">
        <v>0.18140000000000001</v>
      </c>
      <c r="CL150" s="98">
        <v>0.81859999999999999</v>
      </c>
      <c r="CM150" s="100" t="s">
        <v>189</v>
      </c>
    </row>
    <row r="151" spans="1:91" ht="12.75" customHeight="1" x14ac:dyDescent="0.3">
      <c r="A151" s="37">
        <v>149</v>
      </c>
      <c r="B151" s="37" t="s">
        <v>869</v>
      </c>
      <c r="C151" s="124"/>
      <c r="D151" s="124"/>
      <c r="E151" s="37" t="s">
        <v>685</v>
      </c>
      <c r="F151" s="36" t="s">
        <v>796</v>
      </c>
      <c r="G151" s="81" t="s">
        <v>513</v>
      </c>
      <c r="H151" s="37" t="s">
        <v>130</v>
      </c>
      <c r="I151" s="37" t="s">
        <v>127</v>
      </c>
      <c r="J151" s="37" t="s">
        <v>127</v>
      </c>
      <c r="K151" s="37" t="s">
        <v>797</v>
      </c>
      <c r="L151" s="75" t="s">
        <v>282</v>
      </c>
      <c r="M151" s="37" t="s">
        <v>127</v>
      </c>
      <c r="N151" s="37" t="s">
        <v>127</v>
      </c>
      <c r="O151" s="80">
        <v>45205</v>
      </c>
      <c r="P151" s="37">
        <v>45</v>
      </c>
      <c r="Q151" s="37" t="s">
        <v>127</v>
      </c>
      <c r="R151" s="37" t="s">
        <v>127</v>
      </c>
      <c r="S151" s="37" t="s">
        <v>127</v>
      </c>
      <c r="T151" s="37" t="s">
        <v>127</v>
      </c>
      <c r="U151" s="37" t="s">
        <v>136</v>
      </c>
      <c r="V151" s="37" t="b">
        <v>0</v>
      </c>
      <c r="W151" s="37" t="s">
        <v>127</v>
      </c>
      <c r="X151" s="123"/>
      <c r="Y151" s="37" t="s">
        <v>127</v>
      </c>
      <c r="Z151" s="37" t="s">
        <v>127</v>
      </c>
      <c r="AA151" s="37" t="s">
        <v>153</v>
      </c>
      <c r="AB151" s="37" t="s">
        <v>127</v>
      </c>
      <c r="AC151" s="78">
        <v>1.1000000000000001</v>
      </c>
      <c r="AD151" s="78">
        <v>2991070</v>
      </c>
      <c r="AE151" s="37" t="s">
        <v>870</v>
      </c>
      <c r="AF151" s="37">
        <v>20126</v>
      </c>
      <c r="AG151" s="37" t="s">
        <v>127</v>
      </c>
      <c r="AH151" s="37" t="b">
        <v>0</v>
      </c>
      <c r="AI151" s="76" t="s">
        <v>127</v>
      </c>
      <c r="AJ151" s="77" t="s">
        <v>142</v>
      </c>
      <c r="AK151" s="37" t="s">
        <v>127</v>
      </c>
      <c r="AL151" s="37" t="s">
        <v>127</v>
      </c>
      <c r="AM151" s="37" t="b">
        <v>0</v>
      </c>
      <c r="AN151" s="37" t="s">
        <v>127</v>
      </c>
      <c r="AO151" s="37" t="s">
        <v>127</v>
      </c>
      <c r="AP151" s="37" t="s">
        <v>127</v>
      </c>
      <c r="AQ151" s="37" t="b">
        <v>0</v>
      </c>
      <c r="AR151" s="37" t="s">
        <v>127</v>
      </c>
      <c r="AS151" s="37" t="s">
        <v>127</v>
      </c>
      <c r="AT151" s="37" t="s">
        <v>127</v>
      </c>
      <c r="AU151" s="37" t="s">
        <v>127</v>
      </c>
      <c r="AV151" s="37" t="s">
        <v>127</v>
      </c>
      <c r="AW151" s="37" t="s">
        <v>127</v>
      </c>
      <c r="AX151" s="37" t="s">
        <v>161</v>
      </c>
      <c r="AY151" s="37" t="s">
        <v>127</v>
      </c>
      <c r="AZ151" s="37" t="s">
        <v>127</v>
      </c>
      <c r="BA151" s="37" t="s">
        <v>127</v>
      </c>
      <c r="BB151" s="37" t="s">
        <v>812</v>
      </c>
      <c r="BC151" s="77" t="s">
        <v>127</v>
      </c>
      <c r="BD151" s="76" t="s">
        <v>871</v>
      </c>
      <c r="BE151" s="37" t="s">
        <v>127</v>
      </c>
      <c r="BF151" s="86" t="s">
        <v>872</v>
      </c>
      <c r="BG151" s="39" t="s">
        <v>127</v>
      </c>
      <c r="BH151" s="37" t="s">
        <v>127</v>
      </c>
      <c r="BI151" s="40" t="b">
        <v>1</v>
      </c>
      <c r="BJ151" s="40" t="s">
        <v>137</v>
      </c>
      <c r="BK151" s="37" t="s">
        <v>127</v>
      </c>
      <c r="BL151" s="41">
        <v>1103.5142599999999</v>
      </c>
      <c r="BM151" s="41">
        <v>0</v>
      </c>
      <c r="BN151" s="41">
        <v>492.43376000000006</v>
      </c>
      <c r="BO151" s="41">
        <v>508.37350999999995</v>
      </c>
      <c r="BP151" s="41">
        <v>56.805109999999999</v>
      </c>
      <c r="BQ151" s="41">
        <v>36.1282</v>
      </c>
      <c r="BR151" s="41">
        <v>9.7736800000000006</v>
      </c>
      <c r="BS151" s="41">
        <v>0</v>
      </c>
      <c r="BT151" s="41">
        <v>0</v>
      </c>
      <c r="BU151" s="41">
        <v>0</v>
      </c>
      <c r="BV151" s="41">
        <v>0</v>
      </c>
      <c r="BW151" s="49">
        <v>0</v>
      </c>
      <c r="BX151" s="37" t="s">
        <v>127</v>
      </c>
      <c r="BY151" s="37" t="s">
        <v>127</v>
      </c>
      <c r="BZ151" s="37" t="s">
        <v>479</v>
      </c>
      <c r="CA151" s="41">
        <v>0</v>
      </c>
      <c r="CB151" s="41">
        <v>870.31</v>
      </c>
      <c r="CC151" s="41">
        <v>45.63</v>
      </c>
      <c r="CD151" s="41">
        <v>30.98</v>
      </c>
      <c r="CE151" s="41">
        <v>9.9600000000000009</v>
      </c>
      <c r="CF151" s="41">
        <v>8.3802500000000002</v>
      </c>
      <c r="CG151" s="45">
        <v>0</v>
      </c>
      <c r="CH151" s="45">
        <v>0</v>
      </c>
      <c r="CI151" s="37" t="s">
        <v>127</v>
      </c>
      <c r="CJ151" s="77" t="s">
        <v>127</v>
      </c>
      <c r="CK151" s="98">
        <v>0.18140000000000001</v>
      </c>
      <c r="CL151" s="98">
        <v>0.81859999999999999</v>
      </c>
      <c r="CM151" s="100" t="s">
        <v>189</v>
      </c>
    </row>
    <row r="152" spans="1:91" ht="12.75" customHeight="1" x14ac:dyDescent="0.3">
      <c r="A152" s="37">
        <v>150</v>
      </c>
      <c r="B152" s="37" t="s">
        <v>873</v>
      </c>
      <c r="C152" s="124"/>
      <c r="D152" s="124"/>
      <c r="E152" s="37" t="s">
        <v>685</v>
      </c>
      <c r="F152" s="36" t="s">
        <v>796</v>
      </c>
      <c r="G152" s="81" t="s">
        <v>513</v>
      </c>
      <c r="H152" s="37" t="s">
        <v>130</v>
      </c>
      <c r="I152" s="37" t="s">
        <v>127</v>
      </c>
      <c r="J152" s="37" t="s">
        <v>127</v>
      </c>
      <c r="K152" s="37" t="s">
        <v>797</v>
      </c>
      <c r="L152" s="75" t="s">
        <v>282</v>
      </c>
      <c r="M152" s="37" t="s">
        <v>127</v>
      </c>
      <c r="N152" s="37" t="s">
        <v>127</v>
      </c>
      <c r="O152" s="76">
        <v>45205</v>
      </c>
      <c r="P152" s="37">
        <v>29</v>
      </c>
      <c r="Q152" s="37" t="s">
        <v>127</v>
      </c>
      <c r="R152" s="37" t="s">
        <v>127</v>
      </c>
      <c r="S152" s="37" t="s">
        <v>127</v>
      </c>
      <c r="T152" s="37" t="s">
        <v>127</v>
      </c>
      <c r="U152" s="37" t="s">
        <v>136</v>
      </c>
      <c r="V152" s="37" t="b">
        <v>0</v>
      </c>
      <c r="W152" s="37" t="s">
        <v>127</v>
      </c>
      <c r="X152" s="123"/>
      <c r="Y152" s="37" t="s">
        <v>127</v>
      </c>
      <c r="Z152" s="37" t="s">
        <v>127</v>
      </c>
      <c r="AA152" s="37" t="s">
        <v>153</v>
      </c>
      <c r="AB152" s="37" t="s">
        <v>127</v>
      </c>
      <c r="AC152" s="78">
        <v>1.1000000000000001</v>
      </c>
      <c r="AD152" s="78">
        <v>2991072</v>
      </c>
      <c r="AE152" s="37" t="s">
        <v>874</v>
      </c>
      <c r="AF152" s="37">
        <v>20126</v>
      </c>
      <c r="AG152" s="37" t="s">
        <v>127</v>
      </c>
      <c r="AH152" s="37" t="b">
        <v>0</v>
      </c>
      <c r="AI152" s="76" t="s">
        <v>127</v>
      </c>
      <c r="AJ152" s="77" t="s">
        <v>142</v>
      </c>
      <c r="AK152" s="37" t="s">
        <v>127</v>
      </c>
      <c r="AL152" s="37" t="s">
        <v>127</v>
      </c>
      <c r="AM152" s="37" t="b">
        <v>0</v>
      </c>
      <c r="AN152" s="37" t="s">
        <v>127</v>
      </c>
      <c r="AO152" s="37" t="s">
        <v>127</v>
      </c>
      <c r="AP152" s="37" t="s">
        <v>127</v>
      </c>
      <c r="AQ152" s="37" t="b">
        <v>0</v>
      </c>
      <c r="AR152" s="37" t="s">
        <v>127</v>
      </c>
      <c r="AS152" s="37" t="s">
        <v>127</v>
      </c>
      <c r="AT152" s="37" t="s">
        <v>127</v>
      </c>
      <c r="AU152" s="37" t="s">
        <v>127</v>
      </c>
      <c r="AV152" s="37" t="s">
        <v>127</v>
      </c>
      <c r="AW152" s="37" t="s">
        <v>127</v>
      </c>
      <c r="AX152" s="37" t="s">
        <v>161</v>
      </c>
      <c r="AY152" s="37" t="s">
        <v>127</v>
      </c>
      <c r="AZ152" s="37" t="s">
        <v>127</v>
      </c>
      <c r="BA152" s="37" t="s">
        <v>127</v>
      </c>
      <c r="BB152" s="37" t="s">
        <v>812</v>
      </c>
      <c r="BC152" s="77" t="s">
        <v>127</v>
      </c>
      <c r="BD152" s="76" t="s">
        <v>875</v>
      </c>
      <c r="BE152" s="37" t="s">
        <v>127</v>
      </c>
      <c r="BF152" s="86" t="s">
        <v>876</v>
      </c>
      <c r="BG152" s="39" t="s">
        <v>127</v>
      </c>
      <c r="BH152" s="37" t="s">
        <v>127</v>
      </c>
      <c r="BI152" s="40" t="b">
        <v>1</v>
      </c>
      <c r="BJ152" s="40" t="s">
        <v>137</v>
      </c>
      <c r="BK152" s="37" t="s">
        <v>127</v>
      </c>
      <c r="BL152" s="41">
        <v>1137.7509599999998</v>
      </c>
      <c r="BM152" s="41">
        <v>0</v>
      </c>
      <c r="BN152" s="41">
        <v>301.34737000000007</v>
      </c>
      <c r="BO152" s="41">
        <v>716.06424000000027</v>
      </c>
      <c r="BP152" s="41">
        <v>74.231539999999995</v>
      </c>
      <c r="BQ152" s="41">
        <v>29.173210000000005</v>
      </c>
      <c r="BR152" s="41">
        <v>16.934600000000003</v>
      </c>
      <c r="BS152" s="41">
        <v>0</v>
      </c>
      <c r="BT152" s="41">
        <v>0</v>
      </c>
      <c r="BU152" s="41">
        <v>0</v>
      </c>
      <c r="BV152" s="41">
        <v>0</v>
      </c>
      <c r="BW152" s="49">
        <v>0</v>
      </c>
      <c r="BX152" s="37" t="s">
        <v>127</v>
      </c>
      <c r="BY152" s="37" t="s">
        <v>127</v>
      </c>
      <c r="BZ152" s="37" t="s">
        <v>479</v>
      </c>
      <c r="CA152" s="41">
        <v>0</v>
      </c>
      <c r="CB152" s="41">
        <v>885.58</v>
      </c>
      <c r="CC152" s="41">
        <v>64.14</v>
      </c>
      <c r="CD152" s="41">
        <v>25.01</v>
      </c>
      <c r="CE152" s="41">
        <v>19.899999999999999</v>
      </c>
      <c r="CF152" s="41">
        <v>14.519740000000002</v>
      </c>
      <c r="CG152" s="45">
        <v>0</v>
      </c>
      <c r="CH152" s="45">
        <v>0</v>
      </c>
      <c r="CI152" s="37" t="s">
        <v>127</v>
      </c>
      <c r="CJ152" s="77" t="s">
        <v>127</v>
      </c>
      <c r="CK152" s="98">
        <v>0.18140000000000001</v>
      </c>
      <c r="CL152" s="98">
        <v>0.81859999999999999</v>
      </c>
      <c r="CM152" s="100" t="s">
        <v>189</v>
      </c>
    </row>
    <row r="153" spans="1:91" ht="12.75" customHeight="1" x14ac:dyDescent="0.3">
      <c r="A153" s="37">
        <v>151</v>
      </c>
      <c r="B153" s="37" t="s">
        <v>877</v>
      </c>
      <c r="C153" s="124"/>
      <c r="D153" s="124"/>
      <c r="E153" s="37" t="s">
        <v>685</v>
      </c>
      <c r="F153" s="36" t="s">
        <v>796</v>
      </c>
      <c r="G153" s="81" t="s">
        <v>513</v>
      </c>
      <c r="H153" s="37" t="s">
        <v>130</v>
      </c>
      <c r="I153" s="37" t="s">
        <v>127</v>
      </c>
      <c r="J153" s="37" t="s">
        <v>127</v>
      </c>
      <c r="K153" s="37" t="s">
        <v>797</v>
      </c>
      <c r="L153" s="75" t="s">
        <v>282</v>
      </c>
      <c r="M153" s="37" t="s">
        <v>127</v>
      </c>
      <c r="N153" s="37" t="s">
        <v>127</v>
      </c>
      <c r="O153" s="76">
        <v>45205</v>
      </c>
      <c r="P153" s="37">
        <v>42</v>
      </c>
      <c r="Q153" s="37" t="s">
        <v>127</v>
      </c>
      <c r="R153" s="37" t="s">
        <v>127</v>
      </c>
      <c r="S153" s="37" t="s">
        <v>127</v>
      </c>
      <c r="T153" s="37" t="s">
        <v>127</v>
      </c>
      <c r="U153" s="37" t="s">
        <v>136</v>
      </c>
      <c r="V153" s="37" t="b">
        <v>0</v>
      </c>
      <c r="W153" s="37" t="s">
        <v>127</v>
      </c>
      <c r="X153" s="123"/>
      <c r="Y153" s="37" t="s">
        <v>127</v>
      </c>
      <c r="Z153" s="37" t="s">
        <v>127</v>
      </c>
      <c r="AA153" s="37" t="s">
        <v>153</v>
      </c>
      <c r="AB153" s="37" t="s">
        <v>127</v>
      </c>
      <c r="AC153" s="78">
        <v>1.1000000000000001</v>
      </c>
      <c r="AD153" s="78">
        <v>2991074</v>
      </c>
      <c r="AE153" s="37" t="s">
        <v>878</v>
      </c>
      <c r="AF153" s="37">
        <v>20126</v>
      </c>
      <c r="AG153" s="37" t="s">
        <v>127</v>
      </c>
      <c r="AH153" s="37" t="b">
        <v>0</v>
      </c>
      <c r="AI153" s="76" t="s">
        <v>127</v>
      </c>
      <c r="AJ153" s="77" t="s">
        <v>142</v>
      </c>
      <c r="AK153" s="37" t="s">
        <v>127</v>
      </c>
      <c r="AL153" s="37" t="s">
        <v>127</v>
      </c>
      <c r="AM153" s="37" t="b">
        <v>0</v>
      </c>
      <c r="AN153" s="37" t="s">
        <v>127</v>
      </c>
      <c r="AO153" s="37" t="s">
        <v>127</v>
      </c>
      <c r="AP153" s="37" t="s">
        <v>127</v>
      </c>
      <c r="AQ153" s="37" t="b">
        <v>0</v>
      </c>
      <c r="AR153" s="37" t="s">
        <v>127</v>
      </c>
      <c r="AS153" s="37" t="s">
        <v>127</v>
      </c>
      <c r="AT153" s="37" t="s">
        <v>127</v>
      </c>
      <c r="AU153" s="37" t="s">
        <v>127</v>
      </c>
      <c r="AV153" s="37" t="s">
        <v>127</v>
      </c>
      <c r="AW153" s="37" t="s">
        <v>127</v>
      </c>
      <c r="AX153" s="37" t="s">
        <v>161</v>
      </c>
      <c r="AY153" s="37" t="s">
        <v>127</v>
      </c>
      <c r="AZ153" s="37" t="s">
        <v>127</v>
      </c>
      <c r="BA153" s="37" t="s">
        <v>127</v>
      </c>
      <c r="BB153" s="37" t="s">
        <v>812</v>
      </c>
      <c r="BC153" s="77" t="s">
        <v>127</v>
      </c>
      <c r="BD153" s="76" t="s">
        <v>879</v>
      </c>
      <c r="BE153" s="37" t="s">
        <v>127</v>
      </c>
      <c r="BF153" s="86" t="s">
        <v>880</v>
      </c>
      <c r="BG153" s="39" t="s">
        <v>127</v>
      </c>
      <c r="BH153" s="37" t="s">
        <v>127</v>
      </c>
      <c r="BI153" s="40" t="b">
        <v>1</v>
      </c>
      <c r="BJ153" s="40" t="s">
        <v>137</v>
      </c>
      <c r="BK153" s="37" t="s">
        <v>127</v>
      </c>
      <c r="BL153" s="41">
        <v>1464.23758</v>
      </c>
      <c r="BM153" s="41">
        <v>0</v>
      </c>
      <c r="BN153" s="41">
        <v>482.64021000000014</v>
      </c>
      <c r="BO153" s="41">
        <v>173.00902999999994</v>
      </c>
      <c r="BP153" s="41">
        <v>-22.748679999999997</v>
      </c>
      <c r="BQ153" s="41">
        <v>788.89082999999994</v>
      </c>
      <c r="BR153" s="41">
        <v>42.446189999999994</v>
      </c>
      <c r="BS153" s="41">
        <v>0</v>
      </c>
      <c r="BT153" s="41">
        <v>0</v>
      </c>
      <c r="BU153" s="41">
        <v>0</v>
      </c>
      <c r="BV153" s="41">
        <v>0</v>
      </c>
      <c r="BW153" s="49">
        <v>0</v>
      </c>
      <c r="BX153" s="37" t="s">
        <v>127</v>
      </c>
      <c r="BY153" s="37" t="s">
        <v>127</v>
      </c>
      <c r="BZ153" s="37" t="s">
        <v>479</v>
      </c>
      <c r="CA153" s="41">
        <v>0</v>
      </c>
      <c r="CB153" s="41">
        <v>569.87</v>
      </c>
      <c r="CC153" s="41">
        <v>-25.36</v>
      </c>
      <c r="CD153" s="41">
        <v>704.09</v>
      </c>
      <c r="CE153" s="41">
        <v>37.97</v>
      </c>
      <c r="CF153" s="41">
        <v>36.859309999999994</v>
      </c>
      <c r="CG153" s="45">
        <v>0</v>
      </c>
      <c r="CH153" s="45">
        <v>0</v>
      </c>
      <c r="CI153" s="37" t="s">
        <v>127</v>
      </c>
      <c r="CJ153" s="77" t="s">
        <v>127</v>
      </c>
      <c r="CK153" s="98">
        <v>0.18140000000000001</v>
      </c>
      <c r="CL153" s="98">
        <v>0.81859999999999999</v>
      </c>
      <c r="CM153" s="100" t="s">
        <v>189</v>
      </c>
    </row>
    <row r="154" spans="1:91" ht="12.75" customHeight="1" x14ac:dyDescent="0.3">
      <c r="A154" s="37">
        <v>152</v>
      </c>
      <c r="B154" s="37" t="s">
        <v>881</v>
      </c>
      <c r="C154" s="124"/>
      <c r="D154" s="124"/>
      <c r="E154" s="37" t="s">
        <v>800</v>
      </c>
      <c r="F154" s="36" t="s">
        <v>796</v>
      </c>
      <c r="G154" s="81" t="s">
        <v>513</v>
      </c>
      <c r="H154" s="37" t="s">
        <v>130</v>
      </c>
      <c r="I154" s="37" t="s">
        <v>127</v>
      </c>
      <c r="J154" s="37" t="s">
        <v>127</v>
      </c>
      <c r="K154" s="37" t="s">
        <v>797</v>
      </c>
      <c r="L154" s="75" t="s">
        <v>282</v>
      </c>
      <c r="M154" s="37" t="s">
        <v>127</v>
      </c>
      <c r="N154" s="37" t="s">
        <v>127</v>
      </c>
      <c r="O154" s="80">
        <v>45192</v>
      </c>
      <c r="P154" s="37">
        <v>38</v>
      </c>
      <c r="Q154" s="37" t="s">
        <v>127</v>
      </c>
      <c r="R154" s="37" t="s">
        <v>127</v>
      </c>
      <c r="S154" s="37" t="s">
        <v>127</v>
      </c>
      <c r="T154" s="37" t="s">
        <v>127</v>
      </c>
      <c r="U154" s="37" t="s">
        <v>136</v>
      </c>
      <c r="V154" s="37" t="b">
        <v>0</v>
      </c>
      <c r="W154" s="37" t="s">
        <v>127</v>
      </c>
      <c r="X154" s="123"/>
      <c r="Y154" s="37" t="s">
        <v>127</v>
      </c>
      <c r="Z154" s="37" t="s">
        <v>127</v>
      </c>
      <c r="AA154" s="37" t="s">
        <v>153</v>
      </c>
      <c r="AB154" s="37" t="s">
        <v>127</v>
      </c>
      <c r="AC154" s="78">
        <v>1.1000000000000001</v>
      </c>
      <c r="AD154" s="78">
        <v>2991077</v>
      </c>
      <c r="AE154" s="37" t="s">
        <v>882</v>
      </c>
      <c r="AF154" s="37">
        <v>20126</v>
      </c>
      <c r="AG154" s="37" t="s">
        <v>127</v>
      </c>
      <c r="AH154" s="37" t="b">
        <v>0</v>
      </c>
      <c r="AI154" s="76" t="s">
        <v>127</v>
      </c>
      <c r="AJ154" s="77" t="s">
        <v>142</v>
      </c>
      <c r="AK154" s="37" t="s">
        <v>127</v>
      </c>
      <c r="AL154" s="37" t="s">
        <v>127</v>
      </c>
      <c r="AM154" s="37" t="b">
        <v>0</v>
      </c>
      <c r="AN154" s="37" t="s">
        <v>127</v>
      </c>
      <c r="AO154" s="37" t="s">
        <v>127</v>
      </c>
      <c r="AP154" s="37" t="s">
        <v>127</v>
      </c>
      <c r="AQ154" s="37" t="b">
        <v>0</v>
      </c>
      <c r="AR154" s="37" t="s">
        <v>127</v>
      </c>
      <c r="AS154" s="37" t="s">
        <v>127</v>
      </c>
      <c r="AT154" s="37" t="s">
        <v>127</v>
      </c>
      <c r="AU154" s="37" t="s">
        <v>127</v>
      </c>
      <c r="AV154" s="37" t="s">
        <v>127</v>
      </c>
      <c r="AW154" s="37" t="s">
        <v>127</v>
      </c>
      <c r="AX154" s="37" t="s">
        <v>127</v>
      </c>
      <c r="AY154" s="37" t="s">
        <v>127</v>
      </c>
      <c r="AZ154" s="37" t="s">
        <v>127</v>
      </c>
      <c r="BA154" s="37" t="s">
        <v>127</v>
      </c>
      <c r="BB154" s="37" t="s">
        <v>127</v>
      </c>
      <c r="BC154" s="77" t="s">
        <v>127</v>
      </c>
      <c r="BD154" s="76" t="s">
        <v>127</v>
      </c>
      <c r="BE154" s="37" t="s">
        <v>127</v>
      </c>
      <c r="BF154" s="37" t="s">
        <v>127</v>
      </c>
      <c r="BG154" s="39" t="s">
        <v>127</v>
      </c>
      <c r="BH154" s="37" t="s">
        <v>127</v>
      </c>
      <c r="BI154" s="40" t="b">
        <v>1</v>
      </c>
      <c r="BJ154" s="40" t="s">
        <v>137</v>
      </c>
      <c r="BK154" s="37" t="s">
        <v>127</v>
      </c>
      <c r="BL154" s="41">
        <v>1274.54917</v>
      </c>
      <c r="BM154" s="41">
        <v>0</v>
      </c>
      <c r="BN154" s="41">
        <v>90.397800000000032</v>
      </c>
      <c r="BO154" s="41">
        <v>223.14633000000006</v>
      </c>
      <c r="BP154" s="41">
        <v>750.24369000000013</v>
      </c>
      <c r="BQ154" s="41">
        <v>202.02975999999998</v>
      </c>
      <c r="BR154" s="41">
        <v>8.7315900000000006</v>
      </c>
      <c r="BS154" s="41">
        <v>0</v>
      </c>
      <c r="BT154" s="41">
        <v>0</v>
      </c>
      <c r="BU154" s="41">
        <v>0</v>
      </c>
      <c r="BV154" s="41">
        <v>0</v>
      </c>
      <c r="BW154" s="49">
        <v>0</v>
      </c>
      <c r="BX154" s="37" t="s">
        <v>127</v>
      </c>
      <c r="BY154" s="37" t="s">
        <v>127</v>
      </c>
      <c r="BZ154" s="37" t="s">
        <v>198</v>
      </c>
      <c r="CA154" s="41">
        <v>0</v>
      </c>
      <c r="CB154" s="41">
        <v>0</v>
      </c>
      <c r="CC154" s="41">
        <v>0</v>
      </c>
      <c r="CD154" s="41">
        <v>1131.42</v>
      </c>
      <c r="CE154" s="41">
        <v>9.76</v>
      </c>
      <c r="CF154" s="41">
        <v>7.8603800000000001</v>
      </c>
      <c r="CG154" s="45">
        <v>0</v>
      </c>
      <c r="CH154" s="45">
        <v>0</v>
      </c>
      <c r="CI154" s="37" t="s">
        <v>127</v>
      </c>
      <c r="CJ154" s="77" t="s">
        <v>127</v>
      </c>
      <c r="CK154" s="98">
        <v>0.18140000000000001</v>
      </c>
      <c r="CL154" s="98">
        <v>0.81859999999999999</v>
      </c>
      <c r="CM154" s="100" t="s">
        <v>189</v>
      </c>
    </row>
    <row r="155" spans="1:91" ht="12.75" customHeight="1" x14ac:dyDescent="0.3">
      <c r="A155" s="37">
        <v>153</v>
      </c>
      <c r="B155" s="37" t="s">
        <v>883</v>
      </c>
      <c r="C155" s="124"/>
      <c r="D155" s="124"/>
      <c r="E155" s="37" t="s">
        <v>856</v>
      </c>
      <c r="F155" s="36" t="s">
        <v>796</v>
      </c>
      <c r="G155" s="81" t="s">
        <v>513</v>
      </c>
      <c r="H155" s="37" t="s">
        <v>130</v>
      </c>
      <c r="I155" s="37" t="s">
        <v>127</v>
      </c>
      <c r="J155" s="37" t="s">
        <v>127</v>
      </c>
      <c r="K155" s="37" t="s">
        <v>797</v>
      </c>
      <c r="L155" s="75" t="s">
        <v>282</v>
      </c>
      <c r="M155" s="37" t="s">
        <v>127</v>
      </c>
      <c r="N155" s="37" t="s">
        <v>127</v>
      </c>
      <c r="O155" s="80">
        <v>44616</v>
      </c>
      <c r="P155" s="37">
        <v>75</v>
      </c>
      <c r="Q155" s="37" t="s">
        <v>127</v>
      </c>
      <c r="R155" s="37" t="s">
        <v>127</v>
      </c>
      <c r="S155" s="37" t="s">
        <v>127</v>
      </c>
      <c r="T155" s="37" t="s">
        <v>127</v>
      </c>
      <c r="U155" s="37" t="s">
        <v>136</v>
      </c>
      <c r="V155" s="37" t="b">
        <v>0</v>
      </c>
      <c r="W155" s="37" t="s">
        <v>127</v>
      </c>
      <c r="X155" s="123"/>
      <c r="Y155" s="37" t="s">
        <v>127</v>
      </c>
      <c r="Z155" s="37" t="s">
        <v>127</v>
      </c>
      <c r="AA155" s="37" t="s">
        <v>153</v>
      </c>
      <c r="AB155" s="37" t="s">
        <v>127</v>
      </c>
      <c r="AC155" s="78">
        <v>1.1000000000000001</v>
      </c>
      <c r="AD155" s="78">
        <v>2991096</v>
      </c>
      <c r="AE155" s="37" t="s">
        <v>884</v>
      </c>
      <c r="AF155" s="37">
        <v>20126</v>
      </c>
      <c r="AG155" s="37" t="s">
        <v>127</v>
      </c>
      <c r="AH155" s="37" t="b">
        <v>0</v>
      </c>
      <c r="AI155" s="76" t="s">
        <v>127</v>
      </c>
      <c r="AJ155" s="77" t="s">
        <v>142</v>
      </c>
      <c r="AK155" s="37" t="s">
        <v>127</v>
      </c>
      <c r="AL155" s="37" t="s">
        <v>127</v>
      </c>
      <c r="AM155" s="37" t="b">
        <v>0</v>
      </c>
      <c r="AN155" s="37" t="s">
        <v>127</v>
      </c>
      <c r="AO155" s="37" t="s">
        <v>127</v>
      </c>
      <c r="AP155" s="37" t="s">
        <v>127</v>
      </c>
      <c r="AQ155" s="37" t="b">
        <v>0</v>
      </c>
      <c r="AR155" s="37" t="s">
        <v>127</v>
      </c>
      <c r="AS155" s="37" t="s">
        <v>127</v>
      </c>
      <c r="AT155" s="37" t="s">
        <v>127</v>
      </c>
      <c r="AU155" s="37" t="s">
        <v>127</v>
      </c>
      <c r="AV155" s="37" t="s">
        <v>127</v>
      </c>
      <c r="AW155" s="37" t="s">
        <v>127</v>
      </c>
      <c r="AX155" s="37" t="s">
        <v>161</v>
      </c>
      <c r="AY155" s="37" t="s">
        <v>127</v>
      </c>
      <c r="AZ155" s="37" t="s">
        <v>127</v>
      </c>
      <c r="BA155" s="37" t="s">
        <v>127</v>
      </c>
      <c r="BB155" s="37" t="s">
        <v>622</v>
      </c>
      <c r="BC155" s="77" t="s">
        <v>127</v>
      </c>
      <c r="BD155" s="76" t="s">
        <v>885</v>
      </c>
      <c r="BE155" s="37" t="s">
        <v>127</v>
      </c>
      <c r="BF155" s="86" t="s">
        <v>886</v>
      </c>
      <c r="BG155" s="39" t="s">
        <v>127</v>
      </c>
      <c r="BH155" s="37" t="s">
        <v>127</v>
      </c>
      <c r="BI155" s="40" t="b">
        <v>1</v>
      </c>
      <c r="BJ155" s="40" t="s">
        <v>137</v>
      </c>
      <c r="BK155" s="37" t="s">
        <v>127</v>
      </c>
      <c r="BL155" s="41">
        <v>1248.9809100000002</v>
      </c>
      <c r="BM155" s="41">
        <v>0</v>
      </c>
      <c r="BN155" s="41">
        <v>263.42054999999999</v>
      </c>
      <c r="BO155" s="41">
        <v>624.48898999999983</v>
      </c>
      <c r="BP155" s="41">
        <v>311.79325000000011</v>
      </c>
      <c r="BQ155" s="41">
        <v>87.494389999999981</v>
      </c>
      <c r="BR155" s="41">
        <v>-38.216269999999994</v>
      </c>
      <c r="BS155" s="41">
        <v>0</v>
      </c>
      <c r="BT155" s="41">
        <v>0</v>
      </c>
      <c r="BU155" s="41">
        <v>0</v>
      </c>
      <c r="BV155" s="41">
        <v>0</v>
      </c>
      <c r="BW155" s="49">
        <v>0</v>
      </c>
      <c r="BX155" s="37" t="s">
        <v>127</v>
      </c>
      <c r="BY155" s="37" t="s">
        <v>127</v>
      </c>
      <c r="BZ155" s="37" t="s">
        <v>162</v>
      </c>
      <c r="CA155" s="41">
        <v>0</v>
      </c>
      <c r="CB155" s="41">
        <v>0</v>
      </c>
      <c r="CC155" s="41">
        <v>1094.8499999999999</v>
      </c>
      <c r="CD155" s="41">
        <v>78.760000000000005</v>
      </c>
      <c r="CE155" s="41">
        <v>0.26</v>
      </c>
      <c r="CF155" s="41">
        <v>-39.092559999999999</v>
      </c>
      <c r="CG155" s="45">
        <v>0</v>
      </c>
      <c r="CH155" s="45">
        <v>0</v>
      </c>
      <c r="CI155" s="37" t="s">
        <v>127</v>
      </c>
      <c r="CJ155" s="77" t="s">
        <v>127</v>
      </c>
      <c r="CK155" s="98">
        <v>0.18140000000000001</v>
      </c>
      <c r="CL155" s="98">
        <v>0.81859999999999999</v>
      </c>
      <c r="CM155" s="100" t="s">
        <v>189</v>
      </c>
    </row>
    <row r="156" spans="1:91" ht="12.75" customHeight="1" x14ac:dyDescent="0.3">
      <c r="A156" s="37">
        <v>154</v>
      </c>
      <c r="B156" s="37" t="s">
        <v>887</v>
      </c>
      <c r="C156" s="124"/>
      <c r="D156" s="124"/>
      <c r="E156" s="37" t="s">
        <v>377</v>
      </c>
      <c r="F156" s="36" t="s">
        <v>796</v>
      </c>
      <c r="G156" s="81" t="s">
        <v>513</v>
      </c>
      <c r="H156" s="38" t="s">
        <v>130</v>
      </c>
      <c r="I156" s="38" t="s">
        <v>127</v>
      </c>
      <c r="J156" s="38" t="s">
        <v>127</v>
      </c>
      <c r="K156" s="38" t="s">
        <v>797</v>
      </c>
      <c r="L156" s="81" t="s">
        <v>282</v>
      </c>
      <c r="M156" s="38" t="s">
        <v>127</v>
      </c>
      <c r="N156" s="38" t="s">
        <v>127</v>
      </c>
      <c r="O156" s="80">
        <v>44546</v>
      </c>
      <c r="P156" s="37">
        <v>61</v>
      </c>
      <c r="Q156" s="37" t="s">
        <v>127</v>
      </c>
      <c r="R156" s="37" t="s">
        <v>127</v>
      </c>
      <c r="S156" s="37" t="s">
        <v>127</v>
      </c>
      <c r="T156" s="37" t="s">
        <v>127</v>
      </c>
      <c r="U156" s="37" t="s">
        <v>136</v>
      </c>
      <c r="V156" s="37" t="b">
        <v>0</v>
      </c>
      <c r="W156" s="37" t="s">
        <v>127</v>
      </c>
      <c r="X156" s="123"/>
      <c r="Y156" s="37" t="s">
        <v>127</v>
      </c>
      <c r="Z156" s="37" t="s">
        <v>137</v>
      </c>
      <c r="AA156" s="37" t="s">
        <v>153</v>
      </c>
      <c r="AB156" s="37" t="s">
        <v>127</v>
      </c>
      <c r="AC156" s="78">
        <v>1.1000000000000001</v>
      </c>
      <c r="AD156" s="78">
        <v>2991104</v>
      </c>
      <c r="AE156" s="37" t="s">
        <v>888</v>
      </c>
      <c r="AF156" s="37">
        <v>20126</v>
      </c>
      <c r="AG156" s="37" t="s">
        <v>127</v>
      </c>
      <c r="AH156" s="37" t="b">
        <v>0</v>
      </c>
      <c r="AI156" s="76" t="s">
        <v>127</v>
      </c>
      <c r="AJ156" s="77" t="s">
        <v>142</v>
      </c>
      <c r="AK156" s="37" t="s">
        <v>127</v>
      </c>
      <c r="AL156" s="37" t="s">
        <v>127</v>
      </c>
      <c r="AM156" s="37" t="b">
        <v>0</v>
      </c>
      <c r="AN156" s="37" t="s">
        <v>127</v>
      </c>
      <c r="AO156" s="37" t="s">
        <v>127</v>
      </c>
      <c r="AP156" s="37" t="s">
        <v>127</v>
      </c>
      <c r="AQ156" s="37" t="b">
        <v>0</v>
      </c>
      <c r="AR156" s="37" t="s">
        <v>127</v>
      </c>
      <c r="AS156" s="37" t="s">
        <v>127</v>
      </c>
      <c r="AT156" s="37" t="s">
        <v>127</v>
      </c>
      <c r="AU156" s="37" t="s">
        <v>127</v>
      </c>
      <c r="AV156" s="37" t="s">
        <v>127</v>
      </c>
      <c r="AW156" s="37" t="s">
        <v>127</v>
      </c>
      <c r="AX156" s="37" t="s">
        <v>161</v>
      </c>
      <c r="AY156" s="37" t="s">
        <v>127</v>
      </c>
      <c r="AZ156" s="37" t="s">
        <v>127</v>
      </c>
      <c r="BA156" s="37" t="s">
        <v>127</v>
      </c>
      <c r="BB156" s="37" t="s">
        <v>143</v>
      </c>
      <c r="BC156" s="77" t="s">
        <v>127</v>
      </c>
      <c r="BD156" s="76" t="s">
        <v>127</v>
      </c>
      <c r="BE156" s="37" t="s">
        <v>127</v>
      </c>
      <c r="BF156" s="80" t="s">
        <v>889</v>
      </c>
      <c r="BG156" s="39" t="s">
        <v>127</v>
      </c>
      <c r="BH156" s="39" t="s">
        <v>127</v>
      </c>
      <c r="BI156" s="40" t="b">
        <v>1</v>
      </c>
      <c r="BJ156" s="40" t="s">
        <v>137</v>
      </c>
      <c r="BK156" s="40" t="s">
        <v>137</v>
      </c>
      <c r="BL156" s="41">
        <v>1135.24819</v>
      </c>
      <c r="BM156" s="41">
        <v>0</v>
      </c>
      <c r="BN156" s="41">
        <v>18.873189999999997</v>
      </c>
      <c r="BO156" s="41">
        <v>242.39715000000004</v>
      </c>
      <c r="BP156" s="41">
        <v>751.28014999999994</v>
      </c>
      <c r="BQ156" s="41">
        <v>122.42717</v>
      </c>
      <c r="BR156" s="41">
        <v>0.27053000000000005</v>
      </c>
      <c r="BS156" s="41">
        <v>0</v>
      </c>
      <c r="BT156" s="41">
        <v>0</v>
      </c>
      <c r="BU156" s="41">
        <v>0</v>
      </c>
      <c r="BV156" s="41">
        <v>0</v>
      </c>
      <c r="BW156" s="49">
        <v>0</v>
      </c>
      <c r="BX156" s="37" t="s">
        <v>127</v>
      </c>
      <c r="BY156" s="37" t="s">
        <v>127</v>
      </c>
      <c r="BZ156" s="37" t="s">
        <v>162</v>
      </c>
      <c r="CA156" s="41">
        <v>0</v>
      </c>
      <c r="CB156" s="41">
        <v>0</v>
      </c>
      <c r="CC156" s="41">
        <v>910.09</v>
      </c>
      <c r="CD156" s="41">
        <v>111.06</v>
      </c>
      <c r="CE156" s="41">
        <v>0.24</v>
      </c>
      <c r="CF156" s="41">
        <v>0.24346000000000001</v>
      </c>
      <c r="CG156" s="45">
        <v>0</v>
      </c>
      <c r="CH156" s="45" t="s">
        <v>127</v>
      </c>
      <c r="CI156" s="37" t="s">
        <v>127</v>
      </c>
      <c r="CJ156" s="77" t="s">
        <v>127</v>
      </c>
      <c r="CK156" s="98">
        <v>0.18140000000000001</v>
      </c>
      <c r="CL156" s="98">
        <v>0.81859999999999999</v>
      </c>
      <c r="CM156" s="100" t="s">
        <v>890</v>
      </c>
    </row>
    <row r="157" spans="1:91" ht="12.75" customHeight="1" x14ac:dyDescent="0.3">
      <c r="A157" s="37">
        <v>155</v>
      </c>
      <c r="B157" s="37" t="s">
        <v>891</v>
      </c>
      <c r="C157" s="125"/>
      <c r="D157" s="123"/>
      <c r="E157" s="77" t="s">
        <v>127</v>
      </c>
      <c r="F157" s="36" t="s">
        <v>892</v>
      </c>
      <c r="G157" s="75" t="s">
        <v>513</v>
      </c>
      <c r="H157" s="37" t="s">
        <v>130</v>
      </c>
      <c r="I157" s="37" t="s">
        <v>127</v>
      </c>
      <c r="J157" s="37" t="s">
        <v>127</v>
      </c>
      <c r="K157" s="37" t="s">
        <v>797</v>
      </c>
      <c r="L157" s="75" t="s">
        <v>282</v>
      </c>
      <c r="M157" s="37" t="s">
        <v>127</v>
      </c>
      <c r="N157" s="37" t="s">
        <v>127</v>
      </c>
      <c r="O157" s="76" t="s">
        <v>127</v>
      </c>
      <c r="P157" s="37" t="s">
        <v>135</v>
      </c>
      <c r="Q157" s="37" t="s">
        <v>127</v>
      </c>
      <c r="R157" s="37" t="s">
        <v>127</v>
      </c>
      <c r="S157" s="37" t="s">
        <v>127</v>
      </c>
      <c r="T157" s="37" t="s">
        <v>611</v>
      </c>
      <c r="U157" s="37" t="s">
        <v>230</v>
      </c>
      <c r="V157" s="37" t="b">
        <v>0</v>
      </c>
      <c r="W157" s="77" t="s">
        <v>127</v>
      </c>
      <c r="X157" s="123"/>
      <c r="Y157" s="37" t="s">
        <v>137</v>
      </c>
      <c r="Z157" s="37" t="s">
        <v>137</v>
      </c>
      <c r="AA157" s="37" t="s">
        <v>153</v>
      </c>
      <c r="AB157" s="37" t="s">
        <v>127</v>
      </c>
      <c r="AC157" s="78">
        <v>1.1000000000000001</v>
      </c>
      <c r="AD157" s="78" t="s">
        <v>139</v>
      </c>
      <c r="AE157" s="37" t="s">
        <v>140</v>
      </c>
      <c r="AF157" s="37">
        <v>20127</v>
      </c>
      <c r="AG157" s="37" t="s">
        <v>141</v>
      </c>
      <c r="AH157" s="37" t="b">
        <v>1</v>
      </c>
      <c r="AI157" s="76">
        <v>45257</v>
      </c>
      <c r="AJ157" s="77" t="s">
        <v>142</v>
      </c>
      <c r="AK157" s="37" t="s">
        <v>127</v>
      </c>
      <c r="AL157" s="37" t="s">
        <v>127</v>
      </c>
      <c r="AM157" s="37" t="b">
        <v>0</v>
      </c>
      <c r="AN157" s="37" t="s">
        <v>127</v>
      </c>
      <c r="AO157" s="37" t="s">
        <v>127</v>
      </c>
      <c r="AP157" s="37" t="s">
        <v>137</v>
      </c>
      <c r="AQ157" s="37" t="b">
        <v>0</v>
      </c>
      <c r="AR157" s="37" t="s">
        <v>127</v>
      </c>
      <c r="AS157" s="76" t="s">
        <v>137</v>
      </c>
      <c r="AT157" s="37" t="s">
        <v>127</v>
      </c>
      <c r="AU157" s="37" t="s">
        <v>127</v>
      </c>
      <c r="AV157" s="37" t="s">
        <v>137</v>
      </c>
      <c r="AW157" s="37" t="s">
        <v>137</v>
      </c>
      <c r="AX157" s="37" t="s">
        <v>127</v>
      </c>
      <c r="AY157" s="76" t="s">
        <v>127</v>
      </c>
      <c r="AZ157" s="77" t="s">
        <v>127</v>
      </c>
      <c r="BA157" s="37" t="s">
        <v>127</v>
      </c>
      <c r="BB157" s="37" t="s">
        <v>143</v>
      </c>
      <c r="BC157" s="77" t="s">
        <v>127</v>
      </c>
      <c r="BD157" s="76" t="s">
        <v>127</v>
      </c>
      <c r="BE157" s="37" t="s">
        <v>137</v>
      </c>
      <c r="BF157" s="80" t="s">
        <v>127</v>
      </c>
      <c r="BG157" s="39" t="s">
        <v>127</v>
      </c>
      <c r="BH157" s="37" t="s">
        <v>127</v>
      </c>
      <c r="BI157" s="40" t="b">
        <v>1</v>
      </c>
      <c r="BJ157" s="40" t="s">
        <v>137</v>
      </c>
      <c r="BK157" s="37" t="s">
        <v>127</v>
      </c>
      <c r="BL157" s="110">
        <f>192071.773837883-SUM(BL158:BL167)</f>
        <v>171230.94349788298</v>
      </c>
      <c r="BM157" s="110">
        <f>8383.72842-SUM(BM158:BM167)</f>
        <v>6961.7465299999994</v>
      </c>
      <c r="BN157" s="110">
        <f>16963.10512-SUM(BN158:BN167)</f>
        <v>13837.158450000001</v>
      </c>
      <c r="BO157" s="110">
        <f>16052.251309475-SUM(BO158:BO167)</f>
        <v>12031.607509474999</v>
      </c>
      <c r="BP157" s="110">
        <f>15947.30436147-SUM(BP158:BP167)</f>
        <v>13187.37998147</v>
      </c>
      <c r="BQ157" s="110">
        <f>20261.24261461-SUM(BQ158:BQ167)</f>
        <v>16603.01957461</v>
      </c>
      <c r="BR157" s="110">
        <f>15128.625324407-SUM(BR158:BR167)</f>
        <v>14766.940344406999</v>
      </c>
      <c r="BS157" s="110">
        <f>15698.8450714835-SUM(BS158:BS167)</f>
        <v>15698.8450714835</v>
      </c>
      <c r="BT157" s="110">
        <f>15414.0968207658-SUM(BT158:BT167)</f>
        <v>15414.096820765801</v>
      </c>
      <c r="BU157" s="110">
        <f>15798.9179113102-SUM(BU158:BU167)</f>
        <v>15798.9179113102</v>
      </c>
      <c r="BV157" s="110">
        <f>16265.5788169948-SUM(BV158:BV167)</f>
        <v>16265.578816994799</v>
      </c>
      <c r="BW157" s="111">
        <f>8336.84375-SUM(BW158:BW167)</f>
        <v>4602.8898499999996</v>
      </c>
      <c r="BX157" s="37" t="s">
        <v>127</v>
      </c>
      <c r="BY157" s="37" t="s">
        <v>127</v>
      </c>
      <c r="BZ157" s="37" t="s">
        <v>155</v>
      </c>
      <c r="CA157" s="41">
        <v>11097.575999999999</v>
      </c>
      <c r="CB157" s="41">
        <v>10597.61</v>
      </c>
      <c r="CC157" s="41">
        <v>9688.52</v>
      </c>
      <c r="CD157" s="41">
        <v>15777.49</v>
      </c>
      <c r="CE157" s="41">
        <v>3824.51</v>
      </c>
      <c r="CF157" s="110">
        <f>10206.28-SUM(CF158:CF167)</f>
        <v>7733.7076500000003</v>
      </c>
      <c r="CG157" s="45">
        <v>0</v>
      </c>
      <c r="CH157" s="45" t="s">
        <v>137</v>
      </c>
      <c r="CI157" s="37" t="s">
        <v>127</v>
      </c>
      <c r="CJ157" s="77" t="s">
        <v>127</v>
      </c>
      <c r="CK157" s="98">
        <v>0.18140000000000001</v>
      </c>
      <c r="CL157" s="98">
        <v>0.81859999999999999</v>
      </c>
      <c r="CM157" s="100" t="s">
        <v>798</v>
      </c>
    </row>
    <row r="158" spans="1:91" ht="12.75" customHeight="1" x14ac:dyDescent="0.3">
      <c r="A158" s="37">
        <v>156</v>
      </c>
      <c r="B158" s="37" t="s">
        <v>893</v>
      </c>
      <c r="C158" s="125"/>
      <c r="D158" s="123"/>
      <c r="E158" s="37" t="s">
        <v>127</v>
      </c>
      <c r="F158" s="36" t="s">
        <v>892</v>
      </c>
      <c r="G158" s="81" t="s">
        <v>513</v>
      </c>
      <c r="H158" s="37" t="s">
        <v>130</v>
      </c>
      <c r="I158" s="37" t="s">
        <v>127</v>
      </c>
      <c r="J158" s="37" t="s">
        <v>127</v>
      </c>
      <c r="K158" s="37" t="s">
        <v>797</v>
      </c>
      <c r="L158" s="75" t="s">
        <v>282</v>
      </c>
      <c r="M158" s="37" t="s">
        <v>127</v>
      </c>
      <c r="N158" s="37" t="s">
        <v>127</v>
      </c>
      <c r="O158" s="80">
        <v>45265</v>
      </c>
      <c r="P158" s="37">
        <v>9</v>
      </c>
      <c r="Q158" s="37" t="s">
        <v>127</v>
      </c>
      <c r="R158" s="37" t="s">
        <v>127</v>
      </c>
      <c r="S158" s="37" t="s">
        <v>127</v>
      </c>
      <c r="T158" s="37" t="s">
        <v>127</v>
      </c>
      <c r="U158" s="37" t="s">
        <v>894</v>
      </c>
      <c r="V158" s="37" t="b">
        <v>0</v>
      </c>
      <c r="W158" s="37" t="s">
        <v>127</v>
      </c>
      <c r="X158" s="123"/>
      <c r="Y158" s="37" t="s">
        <v>127</v>
      </c>
      <c r="Z158" s="37" t="s">
        <v>127</v>
      </c>
      <c r="AA158" s="37" t="s">
        <v>153</v>
      </c>
      <c r="AB158" s="37" t="s">
        <v>127</v>
      </c>
      <c r="AC158" s="78">
        <v>1.1000000000000001</v>
      </c>
      <c r="AD158" s="78">
        <v>2038067</v>
      </c>
      <c r="AE158" s="37" t="s">
        <v>895</v>
      </c>
      <c r="AF158" s="37">
        <v>20127</v>
      </c>
      <c r="AG158" s="37" t="s">
        <v>127</v>
      </c>
      <c r="AH158" s="37" t="b">
        <v>0</v>
      </c>
      <c r="AI158" s="76" t="s">
        <v>127</v>
      </c>
      <c r="AJ158" s="77" t="s">
        <v>142</v>
      </c>
      <c r="AK158" s="37" t="s">
        <v>127</v>
      </c>
      <c r="AL158" s="37" t="s">
        <v>127</v>
      </c>
      <c r="AM158" s="37" t="b">
        <v>0</v>
      </c>
      <c r="AN158" s="37" t="s">
        <v>127</v>
      </c>
      <c r="AO158" s="37" t="s">
        <v>127</v>
      </c>
      <c r="AP158" s="37" t="s">
        <v>127</v>
      </c>
      <c r="AQ158" s="37" t="b">
        <v>0</v>
      </c>
      <c r="AR158" s="37" t="s">
        <v>127</v>
      </c>
      <c r="AS158" s="37" t="s">
        <v>127</v>
      </c>
      <c r="AT158" s="37" t="s">
        <v>127</v>
      </c>
      <c r="AU158" s="37" t="s">
        <v>127</v>
      </c>
      <c r="AV158" s="37" t="s">
        <v>127</v>
      </c>
      <c r="AW158" s="37" t="s">
        <v>127</v>
      </c>
      <c r="AX158" s="37" t="s">
        <v>161</v>
      </c>
      <c r="AY158" s="37" t="s">
        <v>127</v>
      </c>
      <c r="AZ158" s="37" t="s">
        <v>127</v>
      </c>
      <c r="BA158" s="37" t="s">
        <v>127</v>
      </c>
      <c r="BB158" s="37" t="s">
        <v>143</v>
      </c>
      <c r="BC158" s="77" t="s">
        <v>127</v>
      </c>
      <c r="BD158" s="76" t="s">
        <v>127</v>
      </c>
      <c r="BE158" s="37" t="s">
        <v>127</v>
      </c>
      <c r="BF158" s="80" t="s">
        <v>896</v>
      </c>
      <c r="BG158" s="39" t="s">
        <v>127</v>
      </c>
      <c r="BH158" s="37" t="s">
        <v>127</v>
      </c>
      <c r="BI158" s="40" t="b">
        <v>0</v>
      </c>
      <c r="BJ158" s="40" t="s">
        <v>137</v>
      </c>
      <c r="BK158" s="37" t="s">
        <v>127</v>
      </c>
      <c r="BL158" s="41">
        <v>1631.2011799999998</v>
      </c>
      <c r="BM158" s="41">
        <v>0</v>
      </c>
      <c r="BN158" s="41">
        <v>0</v>
      </c>
      <c r="BO158" s="41">
        <v>1322.5993400000002</v>
      </c>
      <c r="BP158" s="41">
        <v>184.78745000000015</v>
      </c>
      <c r="BQ158" s="41">
        <v>123.81439</v>
      </c>
      <c r="BR158" s="41">
        <v>0</v>
      </c>
      <c r="BS158" s="41">
        <v>0</v>
      </c>
      <c r="BT158" s="41">
        <v>0</v>
      </c>
      <c r="BU158" s="41">
        <v>0</v>
      </c>
      <c r="BV158" s="41">
        <v>0</v>
      </c>
      <c r="BW158" s="49">
        <v>0</v>
      </c>
      <c r="BX158" s="37" t="s">
        <v>127</v>
      </c>
      <c r="BY158" s="37" t="s">
        <v>127</v>
      </c>
      <c r="BZ158" s="37" t="s">
        <v>483</v>
      </c>
      <c r="CA158" s="41">
        <v>0</v>
      </c>
      <c r="CB158" s="41">
        <v>1215.49</v>
      </c>
      <c r="CC158" s="41">
        <v>87.7</v>
      </c>
      <c r="CD158" s="41">
        <v>111.57</v>
      </c>
      <c r="CE158" s="41">
        <v>0</v>
      </c>
      <c r="CF158" s="41">
        <v>0</v>
      </c>
      <c r="CG158" s="45">
        <v>0</v>
      </c>
      <c r="CH158" s="45" t="s">
        <v>137</v>
      </c>
      <c r="CI158" s="37" t="s">
        <v>127</v>
      </c>
      <c r="CJ158" s="77" t="s">
        <v>127</v>
      </c>
      <c r="CK158" s="98">
        <v>0.18140000000000001</v>
      </c>
      <c r="CL158" s="98">
        <v>0.81859999999999999</v>
      </c>
      <c r="CM158" s="100" t="s">
        <v>804</v>
      </c>
    </row>
    <row r="159" spans="1:91" ht="12.75" customHeight="1" x14ac:dyDescent="0.3">
      <c r="A159" s="37">
        <v>157</v>
      </c>
      <c r="B159" s="37" t="s">
        <v>897</v>
      </c>
      <c r="C159" s="124"/>
      <c r="D159" s="124"/>
      <c r="E159" s="37" t="s">
        <v>898</v>
      </c>
      <c r="F159" s="36" t="s">
        <v>899</v>
      </c>
      <c r="G159" s="81" t="s">
        <v>513</v>
      </c>
      <c r="H159" s="37" t="s">
        <v>130</v>
      </c>
      <c r="I159" s="37" t="s">
        <v>127</v>
      </c>
      <c r="J159" s="37" t="s">
        <v>127</v>
      </c>
      <c r="K159" s="37" t="s">
        <v>797</v>
      </c>
      <c r="L159" s="75" t="s">
        <v>282</v>
      </c>
      <c r="M159" s="37" t="s">
        <v>127</v>
      </c>
      <c r="N159" s="37" t="s">
        <v>127</v>
      </c>
      <c r="O159" s="80">
        <v>45040</v>
      </c>
      <c r="P159" s="37">
        <v>54</v>
      </c>
      <c r="Q159" s="37" t="s">
        <v>127</v>
      </c>
      <c r="R159" s="37" t="s">
        <v>127</v>
      </c>
      <c r="S159" s="37" t="s">
        <v>127</v>
      </c>
      <c r="T159" s="37" t="s">
        <v>315</v>
      </c>
      <c r="U159" s="37" t="s">
        <v>894</v>
      </c>
      <c r="V159" s="37" t="b">
        <v>0</v>
      </c>
      <c r="W159" s="37" t="s">
        <v>127</v>
      </c>
      <c r="X159" s="123"/>
      <c r="Y159" s="37" t="s">
        <v>137</v>
      </c>
      <c r="Z159" s="37" t="s">
        <v>137</v>
      </c>
      <c r="AA159" s="37" t="s">
        <v>153</v>
      </c>
      <c r="AB159" s="37" t="s">
        <v>127</v>
      </c>
      <c r="AC159" s="78">
        <v>1.1000000000000001</v>
      </c>
      <c r="AD159" s="78">
        <v>2117536</v>
      </c>
      <c r="AE159" s="37" t="s">
        <v>900</v>
      </c>
      <c r="AF159" s="37">
        <v>20127</v>
      </c>
      <c r="AG159" s="37" t="s">
        <v>127</v>
      </c>
      <c r="AH159" s="37" t="b">
        <v>0</v>
      </c>
      <c r="AI159" s="76" t="s">
        <v>127</v>
      </c>
      <c r="AJ159" s="77" t="s">
        <v>142</v>
      </c>
      <c r="AK159" s="37" t="s">
        <v>127</v>
      </c>
      <c r="AL159" s="37" t="s">
        <v>127</v>
      </c>
      <c r="AM159" s="37" t="b">
        <v>0</v>
      </c>
      <c r="AN159" s="37" t="s">
        <v>127</v>
      </c>
      <c r="AO159" s="37" t="s">
        <v>127</v>
      </c>
      <c r="AP159" s="37" t="s">
        <v>127</v>
      </c>
      <c r="AQ159" s="37" t="b">
        <v>0</v>
      </c>
      <c r="AR159" s="37" t="s">
        <v>127</v>
      </c>
      <c r="AS159" s="37" t="s">
        <v>127</v>
      </c>
      <c r="AT159" s="37" t="s">
        <v>127</v>
      </c>
      <c r="AU159" s="37" t="s">
        <v>127</v>
      </c>
      <c r="AV159" s="37" t="s">
        <v>127</v>
      </c>
      <c r="AW159" s="37" t="s">
        <v>127</v>
      </c>
      <c r="AX159" s="37" t="s">
        <v>161</v>
      </c>
      <c r="AY159" s="37" t="s">
        <v>127</v>
      </c>
      <c r="AZ159" s="37" t="s">
        <v>127</v>
      </c>
      <c r="BA159" s="37" t="s">
        <v>127</v>
      </c>
      <c r="BB159" s="37" t="s">
        <v>812</v>
      </c>
      <c r="BC159" s="77" t="s">
        <v>127</v>
      </c>
      <c r="BD159" s="76" t="s">
        <v>901</v>
      </c>
      <c r="BE159" s="37" t="s">
        <v>127</v>
      </c>
      <c r="BF159" s="86" t="s">
        <v>902</v>
      </c>
      <c r="BG159" s="39" t="s">
        <v>127</v>
      </c>
      <c r="BH159" s="37" t="s">
        <v>127</v>
      </c>
      <c r="BI159" s="40" t="b">
        <v>1</v>
      </c>
      <c r="BJ159" s="40" t="s">
        <v>137</v>
      </c>
      <c r="BK159" s="37" t="s">
        <v>127</v>
      </c>
      <c r="BL159" s="41">
        <v>1035.4309900000001</v>
      </c>
      <c r="BM159" s="41">
        <v>0</v>
      </c>
      <c r="BN159" s="41">
        <v>61.91669000000001</v>
      </c>
      <c r="BO159" s="41">
        <v>234.71167999999997</v>
      </c>
      <c r="BP159" s="41">
        <v>642.84566999999993</v>
      </c>
      <c r="BQ159" s="41">
        <v>92.123809999999992</v>
      </c>
      <c r="BR159" s="41">
        <v>3.8331400000000002</v>
      </c>
      <c r="BS159" s="41">
        <v>0</v>
      </c>
      <c r="BT159" s="41">
        <v>0</v>
      </c>
      <c r="BU159" s="41">
        <v>0</v>
      </c>
      <c r="BV159" s="41">
        <v>0</v>
      </c>
      <c r="BW159" s="49">
        <v>0</v>
      </c>
      <c r="BX159" s="37" t="s">
        <v>127</v>
      </c>
      <c r="BY159" s="37" t="s">
        <v>127</v>
      </c>
      <c r="BZ159" s="37" t="s">
        <v>162</v>
      </c>
      <c r="CA159" s="41">
        <v>0</v>
      </c>
      <c r="CB159" s="41">
        <v>0</v>
      </c>
      <c r="CC159" s="41">
        <v>846.75</v>
      </c>
      <c r="CD159" s="41">
        <v>83.81</v>
      </c>
      <c r="CE159" s="41">
        <v>3.83</v>
      </c>
      <c r="CF159" s="41">
        <v>3.8331399999999998</v>
      </c>
      <c r="CG159" s="45">
        <v>0</v>
      </c>
      <c r="CH159" s="45">
        <v>0</v>
      </c>
      <c r="CI159" s="37" t="s">
        <v>127</v>
      </c>
      <c r="CJ159" s="77" t="s">
        <v>127</v>
      </c>
      <c r="CK159" s="98">
        <v>0.18140000000000001</v>
      </c>
      <c r="CL159" s="98">
        <v>0.81859999999999999</v>
      </c>
      <c r="CM159" s="100" t="s">
        <v>189</v>
      </c>
    </row>
    <row r="160" spans="1:91" ht="12.75" customHeight="1" x14ac:dyDescent="0.3">
      <c r="A160" s="37">
        <v>158</v>
      </c>
      <c r="B160" s="37" t="s">
        <v>903</v>
      </c>
      <c r="C160" s="125"/>
      <c r="D160" s="123"/>
      <c r="E160" s="37" t="s">
        <v>127</v>
      </c>
      <c r="F160" s="36" t="s">
        <v>892</v>
      </c>
      <c r="G160" s="81" t="s">
        <v>513</v>
      </c>
      <c r="H160" s="37" t="s">
        <v>130</v>
      </c>
      <c r="I160" s="37" t="s">
        <v>127</v>
      </c>
      <c r="J160" s="37" t="s">
        <v>127</v>
      </c>
      <c r="K160" s="37" t="s">
        <v>797</v>
      </c>
      <c r="L160" s="75" t="s">
        <v>282</v>
      </c>
      <c r="M160" s="37" t="s">
        <v>127</v>
      </c>
      <c r="N160" s="37" t="s">
        <v>127</v>
      </c>
      <c r="O160" s="80">
        <v>45017</v>
      </c>
      <c r="P160" s="37">
        <v>48</v>
      </c>
      <c r="Q160" s="37" t="s">
        <v>127</v>
      </c>
      <c r="R160" s="37" t="s">
        <v>127</v>
      </c>
      <c r="S160" s="37" t="s">
        <v>127</v>
      </c>
      <c r="T160" s="37" t="s">
        <v>127</v>
      </c>
      <c r="U160" s="37" t="s">
        <v>894</v>
      </c>
      <c r="V160" s="37" t="b">
        <v>0</v>
      </c>
      <c r="W160" s="37" t="s">
        <v>127</v>
      </c>
      <c r="X160" s="123"/>
      <c r="Y160" s="37" t="s">
        <v>127</v>
      </c>
      <c r="Z160" s="37" t="s">
        <v>127</v>
      </c>
      <c r="AA160" s="37" t="s">
        <v>153</v>
      </c>
      <c r="AB160" s="37" t="s">
        <v>127</v>
      </c>
      <c r="AC160" s="78">
        <v>1.1000000000000001</v>
      </c>
      <c r="AD160" s="78">
        <v>2271499</v>
      </c>
      <c r="AE160" s="37" t="s">
        <v>904</v>
      </c>
      <c r="AF160" s="37">
        <v>20127</v>
      </c>
      <c r="AG160" s="37" t="s">
        <v>127</v>
      </c>
      <c r="AH160" s="37" t="b">
        <v>0</v>
      </c>
      <c r="AI160" s="76" t="s">
        <v>127</v>
      </c>
      <c r="AJ160" s="77" t="s">
        <v>142</v>
      </c>
      <c r="AK160" s="37" t="s">
        <v>127</v>
      </c>
      <c r="AL160" s="37" t="s">
        <v>127</v>
      </c>
      <c r="AM160" s="37" t="b">
        <v>0</v>
      </c>
      <c r="AN160" s="37" t="s">
        <v>127</v>
      </c>
      <c r="AO160" s="37" t="s">
        <v>127</v>
      </c>
      <c r="AP160" s="37" t="s">
        <v>127</v>
      </c>
      <c r="AQ160" s="37" t="b">
        <v>0</v>
      </c>
      <c r="AR160" s="37" t="s">
        <v>127</v>
      </c>
      <c r="AS160" s="37" t="s">
        <v>127</v>
      </c>
      <c r="AT160" s="37" t="s">
        <v>127</v>
      </c>
      <c r="AU160" s="37" t="s">
        <v>127</v>
      </c>
      <c r="AV160" s="37" t="s">
        <v>127</v>
      </c>
      <c r="AW160" s="37" t="s">
        <v>127</v>
      </c>
      <c r="AX160" s="37" t="s">
        <v>161</v>
      </c>
      <c r="AY160" s="37" t="s">
        <v>127</v>
      </c>
      <c r="AZ160" s="37" t="s">
        <v>127</v>
      </c>
      <c r="BA160" s="37" t="s">
        <v>127</v>
      </c>
      <c r="BB160" s="37" t="s">
        <v>812</v>
      </c>
      <c r="BC160" s="77" t="s">
        <v>127</v>
      </c>
      <c r="BD160" s="76" t="s">
        <v>127</v>
      </c>
      <c r="BE160" s="37" t="s">
        <v>127</v>
      </c>
      <c r="BF160" s="80" t="s">
        <v>905</v>
      </c>
      <c r="BG160" s="39" t="s">
        <v>127</v>
      </c>
      <c r="BH160" s="37" t="s">
        <v>127</v>
      </c>
      <c r="BI160" s="40" t="b">
        <v>1</v>
      </c>
      <c r="BJ160" s="40" t="s">
        <v>137</v>
      </c>
      <c r="BK160" s="37" t="s">
        <v>127</v>
      </c>
      <c r="BL160" s="41">
        <v>1436.85238</v>
      </c>
      <c r="BM160" s="41">
        <v>0</v>
      </c>
      <c r="BN160" s="41">
        <v>342.15944999999994</v>
      </c>
      <c r="BO160" s="41">
        <v>975.42448000000002</v>
      </c>
      <c r="BP160" s="41">
        <v>116.22235000000001</v>
      </c>
      <c r="BQ160" s="41">
        <v>-3.8973700000000226</v>
      </c>
      <c r="BR160" s="41">
        <v>6.9434699999999996</v>
      </c>
      <c r="BS160" s="41">
        <v>0</v>
      </c>
      <c r="BT160" s="41">
        <v>0</v>
      </c>
      <c r="BU160" s="41">
        <v>0</v>
      </c>
      <c r="BV160" s="41">
        <v>0</v>
      </c>
      <c r="BW160" s="49">
        <v>0</v>
      </c>
      <c r="BX160" s="37" t="s">
        <v>127</v>
      </c>
      <c r="BY160" s="37" t="s">
        <v>127</v>
      </c>
      <c r="BZ160" s="37" t="s">
        <v>479</v>
      </c>
      <c r="CA160" s="41">
        <v>0</v>
      </c>
      <c r="CB160" s="41">
        <v>511.99</v>
      </c>
      <c r="CC160" s="41">
        <v>3.19</v>
      </c>
      <c r="CD160" s="41">
        <v>75.739999999999995</v>
      </c>
      <c r="CE160" s="41">
        <v>8.51</v>
      </c>
      <c r="CF160" s="41">
        <v>6.9434699999999996</v>
      </c>
      <c r="CG160" s="45">
        <v>0</v>
      </c>
      <c r="CH160" s="45" t="s">
        <v>137</v>
      </c>
      <c r="CI160" s="37" t="s">
        <v>127</v>
      </c>
      <c r="CJ160" s="77" t="s">
        <v>127</v>
      </c>
      <c r="CK160" s="98">
        <v>0.18140000000000001</v>
      </c>
      <c r="CL160" s="98">
        <v>0.81859999999999999</v>
      </c>
      <c r="CM160" s="100" t="s">
        <v>798</v>
      </c>
    </row>
    <row r="161" spans="1:91" ht="12.75" customHeight="1" x14ac:dyDescent="0.3">
      <c r="A161" s="37">
        <v>159</v>
      </c>
      <c r="B161" s="37" t="s">
        <v>906</v>
      </c>
      <c r="C161" s="124"/>
      <c r="D161" s="124"/>
      <c r="E161" s="37" t="s">
        <v>246</v>
      </c>
      <c r="F161" s="36" t="s">
        <v>892</v>
      </c>
      <c r="G161" s="81" t="s">
        <v>513</v>
      </c>
      <c r="H161" s="37" t="s">
        <v>130</v>
      </c>
      <c r="I161" s="37" t="s">
        <v>127</v>
      </c>
      <c r="J161" s="37" t="s">
        <v>127</v>
      </c>
      <c r="K161" s="37" t="s">
        <v>797</v>
      </c>
      <c r="L161" s="75" t="s">
        <v>282</v>
      </c>
      <c r="M161" s="37" t="s">
        <v>127</v>
      </c>
      <c r="N161" s="37" t="s">
        <v>127</v>
      </c>
      <c r="O161" s="80">
        <v>44596</v>
      </c>
      <c r="P161" s="37">
        <v>47.5</v>
      </c>
      <c r="Q161" s="37" t="s">
        <v>127</v>
      </c>
      <c r="R161" s="37" t="s">
        <v>127</v>
      </c>
      <c r="S161" s="37" t="s">
        <v>127</v>
      </c>
      <c r="T161" s="37" t="s">
        <v>248</v>
      </c>
      <c r="U161" s="37" t="s">
        <v>894</v>
      </c>
      <c r="V161" s="37" t="b">
        <v>0</v>
      </c>
      <c r="W161" s="37" t="s">
        <v>127</v>
      </c>
      <c r="X161" s="123"/>
      <c r="Y161" s="37" t="s">
        <v>137</v>
      </c>
      <c r="Z161" s="37" t="s">
        <v>137</v>
      </c>
      <c r="AA161" s="37" t="s">
        <v>153</v>
      </c>
      <c r="AB161" s="37" t="s">
        <v>127</v>
      </c>
      <c r="AC161" s="78">
        <v>1.1000000000000001</v>
      </c>
      <c r="AD161" s="78">
        <v>2633626</v>
      </c>
      <c r="AE161" s="37" t="s">
        <v>907</v>
      </c>
      <c r="AF161" s="37">
        <v>20127</v>
      </c>
      <c r="AG161" s="37" t="s">
        <v>127</v>
      </c>
      <c r="AH161" s="37" t="b">
        <v>0</v>
      </c>
      <c r="AI161" s="76" t="s">
        <v>127</v>
      </c>
      <c r="AJ161" s="77" t="s">
        <v>142</v>
      </c>
      <c r="AK161" s="37" t="s">
        <v>127</v>
      </c>
      <c r="AL161" s="37" t="s">
        <v>127</v>
      </c>
      <c r="AM161" s="37" t="b">
        <v>0</v>
      </c>
      <c r="AN161" s="37" t="s">
        <v>127</v>
      </c>
      <c r="AO161" s="37" t="s">
        <v>127</v>
      </c>
      <c r="AP161" s="37" t="s">
        <v>127</v>
      </c>
      <c r="AQ161" s="37" t="b">
        <v>0</v>
      </c>
      <c r="AR161" s="37" t="s">
        <v>127</v>
      </c>
      <c r="AS161" s="37" t="s">
        <v>127</v>
      </c>
      <c r="AT161" s="37" t="s">
        <v>127</v>
      </c>
      <c r="AU161" s="37" t="s">
        <v>127</v>
      </c>
      <c r="AV161" s="37" t="s">
        <v>127</v>
      </c>
      <c r="AW161" s="37" t="s">
        <v>127</v>
      </c>
      <c r="AX161" s="37" t="s">
        <v>161</v>
      </c>
      <c r="AY161" s="37" t="s">
        <v>127</v>
      </c>
      <c r="AZ161" s="37" t="s">
        <v>127</v>
      </c>
      <c r="BA161" s="37" t="s">
        <v>127</v>
      </c>
      <c r="BB161" s="37" t="s">
        <v>812</v>
      </c>
      <c r="BC161" s="77" t="s">
        <v>127</v>
      </c>
      <c r="BD161" s="76" t="s">
        <v>908</v>
      </c>
      <c r="BE161" s="37" t="s">
        <v>127</v>
      </c>
      <c r="BF161" s="86" t="s">
        <v>909</v>
      </c>
      <c r="BG161" s="39" t="s">
        <v>127</v>
      </c>
      <c r="BH161" s="37" t="s">
        <v>127</v>
      </c>
      <c r="BI161" s="40" t="b">
        <v>1</v>
      </c>
      <c r="BJ161" s="40" t="s">
        <v>137</v>
      </c>
      <c r="BK161" s="37" t="s">
        <v>127</v>
      </c>
      <c r="BL161" s="41">
        <v>1056.7398699999999</v>
      </c>
      <c r="BM161" s="41">
        <v>0</v>
      </c>
      <c r="BN161" s="41">
        <v>0</v>
      </c>
      <c r="BO161" s="41">
        <v>0</v>
      </c>
      <c r="BP161" s="41">
        <v>922.60145</v>
      </c>
      <c r="BQ161" s="41">
        <v>134.13842000000002</v>
      </c>
      <c r="BR161" s="41">
        <v>0</v>
      </c>
      <c r="BS161" s="41">
        <v>0</v>
      </c>
      <c r="BT161" s="41">
        <v>0</v>
      </c>
      <c r="BU161" s="41">
        <v>0</v>
      </c>
      <c r="BV161" s="41">
        <v>0</v>
      </c>
      <c r="BW161" s="49">
        <v>0</v>
      </c>
      <c r="BX161" s="37" t="s">
        <v>127</v>
      </c>
      <c r="BY161" s="37" t="s">
        <v>127</v>
      </c>
      <c r="BZ161" s="37" t="s">
        <v>162</v>
      </c>
      <c r="CA161" s="41">
        <v>0</v>
      </c>
      <c r="CB161" s="41">
        <v>0</v>
      </c>
      <c r="CC161" s="41">
        <v>819.29</v>
      </c>
      <c r="CD161" s="41">
        <v>121.48</v>
      </c>
      <c r="CE161" s="41">
        <v>0.92764999999999997</v>
      </c>
      <c r="CF161" s="41">
        <v>0</v>
      </c>
      <c r="CG161" s="45">
        <v>0</v>
      </c>
      <c r="CH161" s="45" t="s">
        <v>137</v>
      </c>
      <c r="CI161" s="37" t="s">
        <v>127</v>
      </c>
      <c r="CJ161" s="77" t="s">
        <v>127</v>
      </c>
      <c r="CK161" s="98">
        <v>0.18140000000000001</v>
      </c>
      <c r="CL161" s="98">
        <v>0.81859999999999999</v>
      </c>
      <c r="CM161" s="100" t="s">
        <v>386</v>
      </c>
    </row>
    <row r="162" spans="1:91" ht="12.75" customHeight="1" x14ac:dyDescent="0.3">
      <c r="A162" s="37">
        <v>160</v>
      </c>
      <c r="B162" s="37" t="s">
        <v>910</v>
      </c>
      <c r="C162" s="124"/>
      <c r="D162" s="124"/>
      <c r="E162" s="37" t="s">
        <v>911</v>
      </c>
      <c r="F162" s="36" t="s">
        <v>892</v>
      </c>
      <c r="G162" s="81" t="s">
        <v>513</v>
      </c>
      <c r="H162" s="37" t="s">
        <v>130</v>
      </c>
      <c r="I162" s="37" t="s">
        <v>127</v>
      </c>
      <c r="J162" s="37" t="s">
        <v>127</v>
      </c>
      <c r="K162" s="37" t="s">
        <v>797</v>
      </c>
      <c r="L162" s="75" t="s">
        <v>282</v>
      </c>
      <c r="M162" s="37" t="s">
        <v>127</v>
      </c>
      <c r="N162" s="37" t="s">
        <v>127</v>
      </c>
      <c r="O162" s="80">
        <v>44677</v>
      </c>
      <c r="P162" s="37">
        <v>50</v>
      </c>
      <c r="Q162" s="37" t="s">
        <v>127</v>
      </c>
      <c r="R162" s="37" t="s">
        <v>127</v>
      </c>
      <c r="S162" s="37" t="s">
        <v>127</v>
      </c>
      <c r="T162" s="37" t="s">
        <v>127</v>
      </c>
      <c r="U162" s="37" t="s">
        <v>894</v>
      </c>
      <c r="V162" s="37" t="b">
        <v>0</v>
      </c>
      <c r="W162" s="37" t="s">
        <v>127</v>
      </c>
      <c r="X162" s="123"/>
      <c r="Y162" s="37" t="s">
        <v>137</v>
      </c>
      <c r="Z162" s="37" t="s">
        <v>137</v>
      </c>
      <c r="AA162" s="37" t="s">
        <v>153</v>
      </c>
      <c r="AB162" s="37" t="s">
        <v>127</v>
      </c>
      <c r="AC162" s="78">
        <v>1.1000000000000001</v>
      </c>
      <c r="AD162" s="78">
        <v>2985609</v>
      </c>
      <c r="AE162" s="37" t="s">
        <v>912</v>
      </c>
      <c r="AF162" s="37">
        <v>20127</v>
      </c>
      <c r="AG162" s="37" t="s">
        <v>127</v>
      </c>
      <c r="AH162" s="37" t="b">
        <v>0</v>
      </c>
      <c r="AI162" s="76" t="s">
        <v>127</v>
      </c>
      <c r="AJ162" s="77" t="s">
        <v>142</v>
      </c>
      <c r="AK162" s="37" t="s">
        <v>127</v>
      </c>
      <c r="AL162" s="37" t="s">
        <v>127</v>
      </c>
      <c r="AM162" s="37" t="b">
        <v>0</v>
      </c>
      <c r="AN162" s="37" t="s">
        <v>127</v>
      </c>
      <c r="AO162" s="37" t="s">
        <v>127</v>
      </c>
      <c r="AP162" s="37" t="s">
        <v>127</v>
      </c>
      <c r="AQ162" s="37" t="b">
        <v>0</v>
      </c>
      <c r="AR162" s="37" t="s">
        <v>127</v>
      </c>
      <c r="AS162" s="37" t="s">
        <v>127</v>
      </c>
      <c r="AT162" s="37" t="s">
        <v>127</v>
      </c>
      <c r="AU162" s="37" t="s">
        <v>127</v>
      </c>
      <c r="AV162" s="37" t="s">
        <v>127</v>
      </c>
      <c r="AW162" s="37" t="s">
        <v>127</v>
      </c>
      <c r="AX162" s="37" t="s">
        <v>161</v>
      </c>
      <c r="AY162" s="37" t="s">
        <v>127</v>
      </c>
      <c r="AZ162" s="37" t="s">
        <v>127</v>
      </c>
      <c r="BA162" s="37" t="s">
        <v>127</v>
      </c>
      <c r="BB162" s="37" t="s">
        <v>812</v>
      </c>
      <c r="BC162" s="77" t="s">
        <v>127</v>
      </c>
      <c r="BD162" s="76" t="s">
        <v>913</v>
      </c>
      <c r="BE162" s="37" t="s">
        <v>127</v>
      </c>
      <c r="BF162" s="86" t="s">
        <v>914</v>
      </c>
      <c r="BG162" s="39" t="s">
        <v>127</v>
      </c>
      <c r="BH162" s="37" t="s">
        <v>127</v>
      </c>
      <c r="BI162" s="40" t="b">
        <v>1</v>
      </c>
      <c r="BJ162" s="40" t="s">
        <v>137</v>
      </c>
      <c r="BK162" s="37" t="s">
        <v>127</v>
      </c>
      <c r="BL162" s="41">
        <v>1312.1767399999994</v>
      </c>
      <c r="BM162" s="41">
        <v>44.801089999999988</v>
      </c>
      <c r="BN162" s="41">
        <v>162.40431000000004</v>
      </c>
      <c r="BO162" s="41">
        <v>112.42655999999998</v>
      </c>
      <c r="BP162" s="41">
        <v>501.86567000000002</v>
      </c>
      <c r="BQ162" s="41">
        <v>400.05097999999998</v>
      </c>
      <c r="BR162" s="41">
        <v>36.624550000000013</v>
      </c>
      <c r="BS162" s="41">
        <v>0</v>
      </c>
      <c r="BT162" s="41">
        <v>0</v>
      </c>
      <c r="BU162" s="41">
        <v>0</v>
      </c>
      <c r="BV162" s="41">
        <v>0</v>
      </c>
      <c r="BW162" s="49">
        <v>0</v>
      </c>
      <c r="BX162" s="37" t="s">
        <v>127</v>
      </c>
      <c r="BY162" s="37" t="s">
        <v>127</v>
      </c>
      <c r="BZ162" s="37" t="s">
        <v>198</v>
      </c>
      <c r="CA162" s="41">
        <v>0</v>
      </c>
      <c r="CB162" s="41">
        <v>0</v>
      </c>
      <c r="CC162" s="41">
        <v>0</v>
      </c>
      <c r="CD162" s="41">
        <v>1202.6400000000001</v>
      </c>
      <c r="CE162" s="41">
        <v>34.83</v>
      </c>
      <c r="CF162" s="41">
        <v>32.969800000000006</v>
      </c>
      <c r="CG162" s="45">
        <v>0</v>
      </c>
      <c r="CH162" s="45">
        <v>0</v>
      </c>
      <c r="CI162" s="37" t="s">
        <v>127</v>
      </c>
      <c r="CJ162" s="77" t="s">
        <v>127</v>
      </c>
      <c r="CK162" s="98">
        <v>0.18140000000000001</v>
      </c>
      <c r="CL162" s="98">
        <v>0.81859999999999999</v>
      </c>
      <c r="CM162" s="100" t="s">
        <v>189</v>
      </c>
    </row>
    <row r="163" spans="1:91" ht="12.75" customHeight="1" x14ac:dyDescent="0.3">
      <c r="A163" s="37">
        <v>161</v>
      </c>
      <c r="B163" s="37" t="s">
        <v>915</v>
      </c>
      <c r="C163" s="124"/>
      <c r="D163" s="124"/>
      <c r="E163" s="37" t="s">
        <v>258</v>
      </c>
      <c r="F163" s="36" t="s">
        <v>892</v>
      </c>
      <c r="G163" s="81" t="s">
        <v>513</v>
      </c>
      <c r="H163" s="37" t="s">
        <v>130</v>
      </c>
      <c r="I163" s="37" t="s">
        <v>127</v>
      </c>
      <c r="J163" s="37" t="s">
        <v>127</v>
      </c>
      <c r="K163" s="37" t="s">
        <v>797</v>
      </c>
      <c r="L163" s="75" t="s">
        <v>282</v>
      </c>
      <c r="M163" s="37" t="s">
        <v>127</v>
      </c>
      <c r="N163" s="37" t="s">
        <v>127</v>
      </c>
      <c r="O163" s="76">
        <v>44268</v>
      </c>
      <c r="P163" s="37">
        <v>58</v>
      </c>
      <c r="Q163" s="37" t="s">
        <v>127</v>
      </c>
      <c r="R163" s="37" t="s">
        <v>127</v>
      </c>
      <c r="S163" s="37" t="s">
        <v>127</v>
      </c>
      <c r="T163" s="37" t="s">
        <v>127</v>
      </c>
      <c r="U163" s="37" t="s">
        <v>894</v>
      </c>
      <c r="V163" s="37" t="b">
        <v>0</v>
      </c>
      <c r="W163" s="37" t="s">
        <v>127</v>
      </c>
      <c r="X163" s="123"/>
      <c r="Y163" s="37" t="s">
        <v>137</v>
      </c>
      <c r="Z163" s="37" t="s">
        <v>137</v>
      </c>
      <c r="AA163" s="37" t="s">
        <v>153</v>
      </c>
      <c r="AB163" s="37" t="s">
        <v>127</v>
      </c>
      <c r="AC163" s="78">
        <v>1.1000000000000001</v>
      </c>
      <c r="AD163" s="78">
        <v>2986802</v>
      </c>
      <c r="AE163" s="37" t="s">
        <v>916</v>
      </c>
      <c r="AF163" s="37">
        <v>20127</v>
      </c>
      <c r="AG163" s="37" t="s">
        <v>127</v>
      </c>
      <c r="AH163" s="37" t="b">
        <v>0</v>
      </c>
      <c r="AI163" s="76" t="s">
        <v>127</v>
      </c>
      <c r="AJ163" s="77" t="s">
        <v>142</v>
      </c>
      <c r="AK163" s="37" t="s">
        <v>127</v>
      </c>
      <c r="AL163" s="37" t="s">
        <v>127</v>
      </c>
      <c r="AM163" s="37" t="b">
        <v>0</v>
      </c>
      <c r="AN163" s="37" t="s">
        <v>127</v>
      </c>
      <c r="AO163" s="37" t="s">
        <v>127</v>
      </c>
      <c r="AP163" s="37" t="s">
        <v>127</v>
      </c>
      <c r="AQ163" s="37" t="b">
        <v>0</v>
      </c>
      <c r="AR163" s="37" t="s">
        <v>127</v>
      </c>
      <c r="AS163" s="37" t="s">
        <v>127</v>
      </c>
      <c r="AT163" s="37" t="s">
        <v>127</v>
      </c>
      <c r="AU163" s="37" t="s">
        <v>127</v>
      </c>
      <c r="AV163" s="37" t="s">
        <v>127</v>
      </c>
      <c r="AW163" s="37" t="s">
        <v>127</v>
      </c>
      <c r="AX163" s="37" t="s">
        <v>127</v>
      </c>
      <c r="AY163" s="37" t="s">
        <v>127</v>
      </c>
      <c r="AZ163" s="37" t="s">
        <v>127</v>
      </c>
      <c r="BA163" s="37" t="s">
        <v>127</v>
      </c>
      <c r="BB163" s="37" t="s">
        <v>127</v>
      </c>
      <c r="BC163" s="77" t="s">
        <v>127</v>
      </c>
      <c r="BD163" s="76" t="s">
        <v>127</v>
      </c>
      <c r="BE163" s="37" t="s">
        <v>127</v>
      </c>
      <c r="BF163" s="37" t="s">
        <v>127</v>
      </c>
      <c r="BG163" s="39" t="s">
        <v>127</v>
      </c>
      <c r="BH163" s="37" t="s">
        <v>127</v>
      </c>
      <c r="BI163" s="40" t="b">
        <v>1</v>
      </c>
      <c r="BJ163" s="40" t="s">
        <v>137</v>
      </c>
      <c r="BK163" s="37" t="s">
        <v>127</v>
      </c>
      <c r="BL163" s="41">
        <v>2372.3047499999989</v>
      </c>
      <c r="BM163" s="41">
        <v>81.329849999999993</v>
      </c>
      <c r="BN163" s="41">
        <v>1138.8832299999999</v>
      </c>
      <c r="BO163" s="41">
        <v>190.76558999999997</v>
      </c>
      <c r="BP163" s="41">
        <v>173.92823999999996</v>
      </c>
      <c r="BQ163" s="41">
        <v>494.24654000000015</v>
      </c>
      <c r="BR163" s="41">
        <v>161.20792</v>
      </c>
      <c r="BS163" s="41">
        <v>0</v>
      </c>
      <c r="BT163" s="41">
        <v>0</v>
      </c>
      <c r="BU163" s="41">
        <v>0</v>
      </c>
      <c r="BV163" s="41">
        <v>0</v>
      </c>
      <c r="BW163" s="49">
        <v>2350.85889</v>
      </c>
      <c r="BX163" s="37" t="s">
        <v>127</v>
      </c>
      <c r="BY163" s="37" t="s">
        <v>127</v>
      </c>
      <c r="BZ163" s="37" t="s">
        <v>173</v>
      </c>
      <c r="CA163" s="41">
        <v>0</v>
      </c>
      <c r="CB163" s="41">
        <v>0</v>
      </c>
      <c r="CC163" s="41">
        <v>0</v>
      </c>
      <c r="CD163" s="41">
        <v>0</v>
      </c>
      <c r="CE163" s="41">
        <v>0</v>
      </c>
      <c r="CF163" s="41">
        <v>2282.0112400000003</v>
      </c>
      <c r="CG163" s="45">
        <v>0</v>
      </c>
      <c r="CH163" s="45">
        <v>0</v>
      </c>
      <c r="CI163" s="37" t="s">
        <v>127</v>
      </c>
      <c r="CJ163" s="77" t="s">
        <v>127</v>
      </c>
      <c r="CK163" s="98">
        <v>0.18140000000000001</v>
      </c>
      <c r="CL163" s="98">
        <v>0.81859999999999999</v>
      </c>
      <c r="CM163" s="100" t="s">
        <v>189</v>
      </c>
    </row>
    <row r="164" spans="1:91" ht="12.75" customHeight="1" x14ac:dyDescent="0.3">
      <c r="A164" s="37">
        <v>162</v>
      </c>
      <c r="B164" s="37" t="s">
        <v>917</v>
      </c>
      <c r="C164" s="124"/>
      <c r="D164" s="124"/>
      <c r="E164" s="37" t="s">
        <v>437</v>
      </c>
      <c r="F164" s="36" t="s">
        <v>892</v>
      </c>
      <c r="G164" s="81" t="s">
        <v>513</v>
      </c>
      <c r="H164" s="37" t="s">
        <v>130</v>
      </c>
      <c r="I164" s="37" t="s">
        <v>127</v>
      </c>
      <c r="J164" s="37" t="s">
        <v>127</v>
      </c>
      <c r="K164" s="37" t="s">
        <v>797</v>
      </c>
      <c r="L164" s="75" t="s">
        <v>282</v>
      </c>
      <c r="M164" s="37" t="s">
        <v>127</v>
      </c>
      <c r="N164" s="37" t="s">
        <v>127</v>
      </c>
      <c r="O164" s="76">
        <v>44394</v>
      </c>
      <c r="P164" s="37">
        <v>37</v>
      </c>
      <c r="Q164" s="37" t="s">
        <v>127</v>
      </c>
      <c r="R164" s="37" t="s">
        <v>127</v>
      </c>
      <c r="S164" s="37" t="s">
        <v>127</v>
      </c>
      <c r="T164" s="37" t="s">
        <v>127</v>
      </c>
      <c r="U164" s="37" t="s">
        <v>894</v>
      </c>
      <c r="V164" s="37" t="b">
        <v>0</v>
      </c>
      <c r="W164" s="37" t="s">
        <v>127</v>
      </c>
      <c r="X164" s="123"/>
      <c r="Y164" s="37" t="s">
        <v>137</v>
      </c>
      <c r="Z164" s="37" t="s">
        <v>137</v>
      </c>
      <c r="AA164" s="37" t="s">
        <v>153</v>
      </c>
      <c r="AB164" s="37" t="s">
        <v>127</v>
      </c>
      <c r="AC164" s="78">
        <v>1.1000000000000001</v>
      </c>
      <c r="AD164" s="78">
        <v>2989778</v>
      </c>
      <c r="AE164" s="37" t="s">
        <v>918</v>
      </c>
      <c r="AF164" s="37">
        <v>20127</v>
      </c>
      <c r="AG164" s="37" t="s">
        <v>127</v>
      </c>
      <c r="AH164" s="37" t="b">
        <v>0</v>
      </c>
      <c r="AI164" s="76" t="s">
        <v>127</v>
      </c>
      <c r="AJ164" s="77" t="s">
        <v>142</v>
      </c>
      <c r="AK164" s="37" t="s">
        <v>127</v>
      </c>
      <c r="AL164" s="37" t="s">
        <v>127</v>
      </c>
      <c r="AM164" s="37" t="b">
        <v>0</v>
      </c>
      <c r="AN164" s="37" t="s">
        <v>127</v>
      </c>
      <c r="AO164" s="37" t="s">
        <v>127</v>
      </c>
      <c r="AP164" s="37" t="s">
        <v>127</v>
      </c>
      <c r="AQ164" s="37" t="b">
        <v>0</v>
      </c>
      <c r="AR164" s="37" t="s">
        <v>127</v>
      </c>
      <c r="AS164" s="37" t="s">
        <v>127</v>
      </c>
      <c r="AT164" s="37" t="s">
        <v>127</v>
      </c>
      <c r="AU164" s="37" t="s">
        <v>127</v>
      </c>
      <c r="AV164" s="37" t="s">
        <v>127</v>
      </c>
      <c r="AW164" s="37" t="s">
        <v>127</v>
      </c>
      <c r="AX164" s="37" t="s">
        <v>161</v>
      </c>
      <c r="AY164" s="37" t="s">
        <v>127</v>
      </c>
      <c r="AZ164" s="37" t="s">
        <v>127</v>
      </c>
      <c r="BA164" s="37" t="s">
        <v>127</v>
      </c>
      <c r="BB164" s="37" t="s">
        <v>812</v>
      </c>
      <c r="BC164" s="77" t="s">
        <v>127</v>
      </c>
      <c r="BD164" s="76" t="s">
        <v>919</v>
      </c>
      <c r="BE164" s="37" t="s">
        <v>127</v>
      </c>
      <c r="BF164" s="86" t="s">
        <v>920</v>
      </c>
      <c r="BG164" s="39" t="s">
        <v>127</v>
      </c>
      <c r="BH164" s="37" t="s">
        <v>127</v>
      </c>
      <c r="BI164" s="40" t="b">
        <v>1</v>
      </c>
      <c r="BJ164" s="40" t="s">
        <v>137</v>
      </c>
      <c r="BK164" s="37" t="s">
        <v>127</v>
      </c>
      <c r="BL164" s="41">
        <v>1522.4627700000005</v>
      </c>
      <c r="BM164" s="41">
        <v>141.05865</v>
      </c>
      <c r="BN164" s="41">
        <v>179.637</v>
      </c>
      <c r="BO164" s="41">
        <v>135.48989</v>
      </c>
      <c r="BP164" s="41">
        <v>221.40270999999996</v>
      </c>
      <c r="BQ164" s="41">
        <v>826.82546000000013</v>
      </c>
      <c r="BR164" s="41">
        <v>18.049060000000008</v>
      </c>
      <c r="BS164" s="41">
        <v>0</v>
      </c>
      <c r="BT164" s="41">
        <v>0</v>
      </c>
      <c r="BU164" s="41">
        <v>0</v>
      </c>
      <c r="BV164" s="41">
        <v>0</v>
      </c>
      <c r="BW164" s="49">
        <v>0</v>
      </c>
      <c r="BX164" s="37" t="s">
        <v>127</v>
      </c>
      <c r="BY164" s="37" t="s">
        <v>127</v>
      </c>
      <c r="BZ164" s="37" t="s">
        <v>198</v>
      </c>
      <c r="CA164" s="41">
        <v>0</v>
      </c>
      <c r="CB164" s="41">
        <v>0</v>
      </c>
      <c r="CC164" s="41">
        <v>0</v>
      </c>
      <c r="CD164" s="41">
        <v>1391</v>
      </c>
      <c r="CE164" s="41">
        <v>24.39</v>
      </c>
      <c r="CF164" s="41">
        <v>16.703660000000006</v>
      </c>
      <c r="CG164" s="45">
        <v>0</v>
      </c>
      <c r="CH164" s="45">
        <v>0</v>
      </c>
      <c r="CI164" s="37" t="s">
        <v>127</v>
      </c>
      <c r="CJ164" s="77" t="s">
        <v>127</v>
      </c>
      <c r="CK164" s="98">
        <v>0.18140000000000001</v>
      </c>
      <c r="CL164" s="98">
        <v>0.81859999999999999</v>
      </c>
      <c r="CM164" s="100" t="s">
        <v>189</v>
      </c>
    </row>
    <row r="165" spans="1:91" ht="12.75" customHeight="1" x14ac:dyDescent="0.3">
      <c r="A165" s="37">
        <v>163</v>
      </c>
      <c r="B165" s="37" t="s">
        <v>921</v>
      </c>
      <c r="C165" s="124"/>
      <c r="D165" s="124"/>
      <c r="E165" s="37" t="s">
        <v>246</v>
      </c>
      <c r="F165" s="36" t="s">
        <v>892</v>
      </c>
      <c r="G165" s="81" t="s">
        <v>513</v>
      </c>
      <c r="H165" s="37" t="s">
        <v>130</v>
      </c>
      <c r="I165" s="37" t="s">
        <v>127</v>
      </c>
      <c r="J165" s="37" t="s">
        <v>127</v>
      </c>
      <c r="K165" s="37" t="s">
        <v>797</v>
      </c>
      <c r="L165" s="75" t="s">
        <v>282</v>
      </c>
      <c r="M165" s="37" t="s">
        <v>127</v>
      </c>
      <c r="N165" s="37" t="s">
        <v>127</v>
      </c>
      <c r="O165" s="76">
        <v>45090</v>
      </c>
      <c r="P165" s="37">
        <v>55</v>
      </c>
      <c r="Q165" s="37" t="s">
        <v>127</v>
      </c>
      <c r="R165" s="37" t="s">
        <v>127</v>
      </c>
      <c r="S165" s="37" t="s">
        <v>127</v>
      </c>
      <c r="T165" s="37" t="s">
        <v>315</v>
      </c>
      <c r="U165" s="37" t="s">
        <v>894</v>
      </c>
      <c r="V165" s="37" t="b">
        <v>0</v>
      </c>
      <c r="W165" s="37" t="s">
        <v>127</v>
      </c>
      <c r="X165" s="123"/>
      <c r="Y165" s="37" t="s">
        <v>137</v>
      </c>
      <c r="Z165" s="37" t="s">
        <v>137</v>
      </c>
      <c r="AA165" s="37" t="s">
        <v>153</v>
      </c>
      <c r="AB165" s="37" t="s">
        <v>127</v>
      </c>
      <c r="AC165" s="78">
        <v>1.1000000000000001</v>
      </c>
      <c r="AD165" s="78">
        <v>2990443</v>
      </c>
      <c r="AE165" s="37" t="s">
        <v>922</v>
      </c>
      <c r="AF165" s="37">
        <v>20127</v>
      </c>
      <c r="AG165" s="37" t="s">
        <v>127</v>
      </c>
      <c r="AH165" s="37" t="b">
        <v>0</v>
      </c>
      <c r="AI165" s="76" t="s">
        <v>127</v>
      </c>
      <c r="AJ165" s="77" t="s">
        <v>142</v>
      </c>
      <c r="AK165" s="37" t="s">
        <v>127</v>
      </c>
      <c r="AL165" s="37" t="s">
        <v>127</v>
      </c>
      <c r="AM165" s="37" t="b">
        <v>0</v>
      </c>
      <c r="AN165" s="37" t="s">
        <v>127</v>
      </c>
      <c r="AO165" s="37" t="s">
        <v>127</v>
      </c>
      <c r="AP165" s="37" t="s">
        <v>127</v>
      </c>
      <c r="AQ165" s="37" t="b">
        <v>0</v>
      </c>
      <c r="AR165" s="37" t="s">
        <v>127</v>
      </c>
      <c r="AS165" s="37" t="s">
        <v>127</v>
      </c>
      <c r="AT165" s="37" t="s">
        <v>127</v>
      </c>
      <c r="AU165" s="37" t="s">
        <v>127</v>
      </c>
      <c r="AV165" s="37" t="s">
        <v>127</v>
      </c>
      <c r="AW165" s="37" t="s">
        <v>127</v>
      </c>
      <c r="AX165" s="37" t="s">
        <v>161</v>
      </c>
      <c r="AY165" s="37" t="s">
        <v>127</v>
      </c>
      <c r="AZ165" s="37" t="s">
        <v>127</v>
      </c>
      <c r="BA165" s="37" t="s">
        <v>127</v>
      </c>
      <c r="BB165" s="129" t="s">
        <v>758</v>
      </c>
      <c r="BC165" s="77" t="s">
        <v>127</v>
      </c>
      <c r="BD165" s="76" t="s">
        <v>923</v>
      </c>
      <c r="BE165" s="37" t="s">
        <v>127</v>
      </c>
      <c r="BF165" s="86" t="s">
        <v>924</v>
      </c>
      <c r="BG165" s="39" t="s">
        <v>127</v>
      </c>
      <c r="BH165" s="37" t="s">
        <v>127</v>
      </c>
      <c r="BI165" s="40" t="b">
        <v>1</v>
      </c>
      <c r="BJ165" s="40" t="s">
        <v>137</v>
      </c>
      <c r="BK165" s="37" t="s">
        <v>127</v>
      </c>
      <c r="BL165" s="41">
        <v>1529.00494</v>
      </c>
      <c r="BM165" s="41">
        <v>4.06731</v>
      </c>
      <c r="BN165" s="41">
        <v>58.487989999999996</v>
      </c>
      <c r="BO165" s="41">
        <v>591.95970000000011</v>
      </c>
      <c r="BP165" s="41">
        <v>-275.59115000000014</v>
      </c>
      <c r="BQ165" s="41">
        <v>1093.76298</v>
      </c>
      <c r="BR165" s="41">
        <v>56.318109999999997</v>
      </c>
      <c r="BS165" s="41">
        <v>0</v>
      </c>
      <c r="BT165" s="41">
        <v>0</v>
      </c>
      <c r="BU165" s="41">
        <v>0</v>
      </c>
      <c r="BV165" s="41">
        <v>0</v>
      </c>
      <c r="BW165" s="49">
        <v>1383.09501</v>
      </c>
      <c r="BX165" s="37" t="s">
        <v>127</v>
      </c>
      <c r="BY165" s="37" t="s">
        <v>127</v>
      </c>
      <c r="BZ165" s="37" t="s">
        <v>173</v>
      </c>
      <c r="CA165" s="41">
        <v>0</v>
      </c>
      <c r="CB165" s="41">
        <v>0</v>
      </c>
      <c r="CC165" s="41">
        <v>0</v>
      </c>
      <c r="CD165" s="41">
        <v>0</v>
      </c>
      <c r="CE165" s="41">
        <v>0</v>
      </c>
      <c r="CF165" s="41">
        <v>53.589650000000006</v>
      </c>
      <c r="CG165" s="45">
        <v>0</v>
      </c>
      <c r="CH165" s="45">
        <v>0</v>
      </c>
      <c r="CI165" s="37" t="s">
        <v>127</v>
      </c>
      <c r="CJ165" s="77" t="s">
        <v>127</v>
      </c>
      <c r="CK165" s="98">
        <v>0.18140000000000001</v>
      </c>
      <c r="CL165" s="98">
        <v>0.81859999999999999</v>
      </c>
      <c r="CM165" s="100" t="s">
        <v>189</v>
      </c>
    </row>
    <row r="166" spans="1:91" ht="12.75" customHeight="1" x14ac:dyDescent="0.3">
      <c r="A166" s="37">
        <v>164</v>
      </c>
      <c r="B166" s="37" t="s">
        <v>925</v>
      </c>
      <c r="C166" s="124"/>
      <c r="D166" s="124"/>
      <c r="E166" s="37" t="s">
        <v>685</v>
      </c>
      <c r="F166" s="36" t="s">
        <v>892</v>
      </c>
      <c r="G166" s="81" t="s">
        <v>513</v>
      </c>
      <c r="H166" s="37" t="s">
        <v>130</v>
      </c>
      <c r="I166" s="37" t="s">
        <v>127</v>
      </c>
      <c r="J166" s="37" t="s">
        <v>127</v>
      </c>
      <c r="K166" s="37" t="s">
        <v>797</v>
      </c>
      <c r="L166" s="75" t="s">
        <v>282</v>
      </c>
      <c r="M166" s="37" t="s">
        <v>127</v>
      </c>
      <c r="N166" s="37" t="s">
        <v>127</v>
      </c>
      <c r="O166" s="76">
        <v>45205</v>
      </c>
      <c r="P166" s="37">
        <v>35</v>
      </c>
      <c r="Q166" s="37" t="s">
        <v>127</v>
      </c>
      <c r="R166" s="37" t="s">
        <v>127</v>
      </c>
      <c r="S166" s="37" t="s">
        <v>127</v>
      </c>
      <c r="T166" s="37" t="s">
        <v>315</v>
      </c>
      <c r="U166" s="37" t="s">
        <v>894</v>
      </c>
      <c r="V166" s="37" t="b">
        <v>0</v>
      </c>
      <c r="W166" s="37" t="s">
        <v>127</v>
      </c>
      <c r="X166" s="123"/>
      <c r="Y166" s="37" t="s">
        <v>137</v>
      </c>
      <c r="Z166" s="37" t="s">
        <v>137</v>
      </c>
      <c r="AA166" s="37" t="s">
        <v>153</v>
      </c>
      <c r="AB166" s="37" t="s">
        <v>127</v>
      </c>
      <c r="AC166" s="78">
        <v>1.1000000000000001</v>
      </c>
      <c r="AD166" s="78">
        <v>2991071</v>
      </c>
      <c r="AE166" s="37" t="s">
        <v>926</v>
      </c>
      <c r="AF166" s="37">
        <v>20127</v>
      </c>
      <c r="AG166" s="37" t="s">
        <v>127</v>
      </c>
      <c r="AH166" s="37" t="b">
        <v>0</v>
      </c>
      <c r="AI166" s="76" t="s">
        <v>127</v>
      </c>
      <c r="AJ166" s="77" t="s">
        <v>142</v>
      </c>
      <c r="AK166" s="37" t="s">
        <v>127</v>
      </c>
      <c r="AL166" s="37" t="s">
        <v>127</v>
      </c>
      <c r="AM166" s="37" t="b">
        <v>0</v>
      </c>
      <c r="AN166" s="37" t="s">
        <v>127</v>
      </c>
      <c r="AO166" s="37" t="s">
        <v>127</v>
      </c>
      <c r="AP166" s="37" t="s">
        <v>127</v>
      </c>
      <c r="AQ166" s="37" t="b">
        <v>0</v>
      </c>
      <c r="AR166" s="37" t="s">
        <v>127</v>
      </c>
      <c r="AS166" s="37" t="s">
        <v>127</v>
      </c>
      <c r="AT166" s="37" t="s">
        <v>127</v>
      </c>
      <c r="AU166" s="37" t="s">
        <v>127</v>
      </c>
      <c r="AV166" s="37" t="s">
        <v>127</v>
      </c>
      <c r="AW166" s="37" t="s">
        <v>127</v>
      </c>
      <c r="AX166" s="37" t="s">
        <v>161</v>
      </c>
      <c r="AY166" s="37" t="s">
        <v>127</v>
      </c>
      <c r="AZ166" s="37" t="s">
        <v>127</v>
      </c>
      <c r="BA166" s="37" t="s">
        <v>127</v>
      </c>
      <c r="BB166" s="37" t="s">
        <v>812</v>
      </c>
      <c r="BC166" s="77" t="s">
        <v>127</v>
      </c>
      <c r="BD166" s="76" t="s">
        <v>927</v>
      </c>
      <c r="BE166" s="37" t="s">
        <v>127</v>
      </c>
      <c r="BF166" s="86" t="s">
        <v>928</v>
      </c>
      <c r="BG166" s="39" t="s">
        <v>127</v>
      </c>
      <c r="BH166" s="37" t="s">
        <v>127</v>
      </c>
      <c r="BI166" s="40" t="b">
        <v>1</v>
      </c>
      <c r="BJ166" s="40" t="s">
        <v>137</v>
      </c>
      <c r="BK166" s="37" t="s">
        <v>127</v>
      </c>
      <c r="BL166" s="41">
        <v>1088.7359499999986</v>
      </c>
      <c r="BM166" s="41">
        <v>0</v>
      </c>
      <c r="BN166" s="41">
        <v>898.70577999999978</v>
      </c>
      <c r="BO166" s="41">
        <v>51.606629999999996</v>
      </c>
      <c r="BP166" s="41">
        <v>89.850750000000005</v>
      </c>
      <c r="BQ166" s="41">
        <v>33.230719999999991</v>
      </c>
      <c r="BR166" s="41">
        <v>15.342069999999998</v>
      </c>
      <c r="BS166" s="41">
        <v>0</v>
      </c>
      <c r="BT166" s="41">
        <v>0</v>
      </c>
      <c r="BU166" s="41">
        <v>0</v>
      </c>
      <c r="BV166" s="41">
        <v>0</v>
      </c>
      <c r="BW166" s="49">
        <v>0</v>
      </c>
      <c r="BX166" s="37" t="s">
        <v>127</v>
      </c>
      <c r="BY166" s="37" t="s">
        <v>127</v>
      </c>
      <c r="BZ166" s="37" t="s">
        <v>155</v>
      </c>
      <c r="CA166" s="41">
        <v>782.221</v>
      </c>
      <c r="CB166" s="41">
        <v>44.34</v>
      </c>
      <c r="CC166" s="41">
        <v>77.17</v>
      </c>
      <c r="CD166" s="41">
        <v>25.05</v>
      </c>
      <c r="CE166" s="41">
        <v>18.989999999999998</v>
      </c>
      <c r="CF166" s="41">
        <v>13.154729999999997</v>
      </c>
      <c r="CG166" s="45">
        <v>0</v>
      </c>
      <c r="CH166" s="45">
        <v>0</v>
      </c>
      <c r="CI166" s="37" t="s">
        <v>127</v>
      </c>
      <c r="CJ166" s="77" t="s">
        <v>127</v>
      </c>
      <c r="CK166" s="98">
        <v>0.18140000000000001</v>
      </c>
      <c r="CL166" s="98">
        <v>0.81859999999999999</v>
      </c>
      <c r="CM166" s="100" t="s">
        <v>189</v>
      </c>
    </row>
    <row r="167" spans="1:91" ht="12.75" customHeight="1" x14ac:dyDescent="0.3">
      <c r="A167" s="37">
        <v>165</v>
      </c>
      <c r="B167" s="37" t="s">
        <v>929</v>
      </c>
      <c r="C167" s="125"/>
      <c r="D167" s="123"/>
      <c r="E167" s="37" t="s">
        <v>127</v>
      </c>
      <c r="F167" s="36" t="s">
        <v>892</v>
      </c>
      <c r="G167" s="81" t="s">
        <v>513</v>
      </c>
      <c r="H167" s="37" t="s">
        <v>130</v>
      </c>
      <c r="I167" s="37" t="s">
        <v>127</v>
      </c>
      <c r="J167" s="37" t="s">
        <v>127</v>
      </c>
      <c r="K167" s="37" t="s">
        <v>797</v>
      </c>
      <c r="L167" s="75" t="s">
        <v>282</v>
      </c>
      <c r="M167" s="37" t="s">
        <v>127</v>
      </c>
      <c r="N167" s="37" t="s">
        <v>127</v>
      </c>
      <c r="O167" s="77" t="s">
        <v>127</v>
      </c>
      <c r="P167" s="37" t="s">
        <v>135</v>
      </c>
      <c r="Q167" s="37" t="s">
        <v>127</v>
      </c>
      <c r="R167" s="37" t="s">
        <v>127</v>
      </c>
      <c r="S167" s="37" t="s">
        <v>127</v>
      </c>
      <c r="T167" s="37" t="s">
        <v>127</v>
      </c>
      <c r="U167" s="37" t="s">
        <v>894</v>
      </c>
      <c r="V167" s="37" t="b">
        <v>0</v>
      </c>
      <c r="W167" s="37" t="s">
        <v>127</v>
      </c>
      <c r="X167" s="123"/>
      <c r="Y167" s="37" t="s">
        <v>127</v>
      </c>
      <c r="Z167" s="37" t="s">
        <v>127</v>
      </c>
      <c r="AA167" s="37" t="s">
        <v>153</v>
      </c>
      <c r="AB167" s="37" t="s">
        <v>127</v>
      </c>
      <c r="AC167" s="78">
        <v>1.1000000000000001</v>
      </c>
      <c r="AD167" s="78">
        <v>5000081</v>
      </c>
      <c r="AE167" s="37" t="s">
        <v>127</v>
      </c>
      <c r="AF167" s="37">
        <v>20127</v>
      </c>
      <c r="AG167" s="37" t="s">
        <v>127</v>
      </c>
      <c r="AH167" s="37" t="b">
        <v>0</v>
      </c>
      <c r="AI167" s="76" t="s">
        <v>127</v>
      </c>
      <c r="AJ167" s="77" t="s">
        <v>142</v>
      </c>
      <c r="AK167" s="37" t="s">
        <v>127</v>
      </c>
      <c r="AL167" s="37" t="s">
        <v>127</v>
      </c>
      <c r="AM167" s="37" t="b">
        <v>0</v>
      </c>
      <c r="AN167" s="37" t="s">
        <v>127</v>
      </c>
      <c r="AO167" s="37" t="s">
        <v>127</v>
      </c>
      <c r="AP167" s="37" t="s">
        <v>127</v>
      </c>
      <c r="AQ167" s="37" t="b">
        <v>0</v>
      </c>
      <c r="AR167" s="37" t="s">
        <v>127</v>
      </c>
      <c r="AS167" s="37" t="s">
        <v>127</v>
      </c>
      <c r="AT167" s="37" t="s">
        <v>127</v>
      </c>
      <c r="AU167" s="37" t="s">
        <v>127</v>
      </c>
      <c r="AV167" s="37" t="s">
        <v>127</v>
      </c>
      <c r="AW167" s="37" t="s">
        <v>127</v>
      </c>
      <c r="AX167" s="77" t="s">
        <v>161</v>
      </c>
      <c r="AY167" s="80" t="s">
        <v>127</v>
      </c>
      <c r="AZ167" s="92" t="s">
        <v>127</v>
      </c>
      <c r="BA167" s="92" t="s">
        <v>127</v>
      </c>
      <c r="BB167" s="37" t="s">
        <v>127</v>
      </c>
      <c r="BC167" s="77" t="s">
        <v>127</v>
      </c>
      <c r="BD167" s="76" t="s">
        <v>127</v>
      </c>
      <c r="BE167" s="37" t="s">
        <v>127</v>
      </c>
      <c r="BF167" s="80" t="s">
        <v>127</v>
      </c>
      <c r="BG167" s="39" t="s">
        <v>127</v>
      </c>
      <c r="BH167" s="37" t="s">
        <v>127</v>
      </c>
      <c r="BI167" s="40" t="b">
        <v>1</v>
      </c>
      <c r="BJ167" s="40" t="s">
        <v>137</v>
      </c>
      <c r="BK167" s="37" t="s">
        <v>127</v>
      </c>
      <c r="BL167" s="41">
        <v>7855.9207700000024</v>
      </c>
      <c r="BM167" s="41">
        <v>1150.7249899999999</v>
      </c>
      <c r="BN167" s="41">
        <v>283.75221999999997</v>
      </c>
      <c r="BO167" s="41">
        <v>405.65993000000003</v>
      </c>
      <c r="BP167" s="41">
        <v>182.01124000000002</v>
      </c>
      <c r="BQ167" s="41">
        <v>463.9271100000002</v>
      </c>
      <c r="BR167" s="41">
        <v>63.36666000000001</v>
      </c>
      <c r="BS167" s="41">
        <v>0</v>
      </c>
      <c r="BT167" s="41">
        <v>0</v>
      </c>
      <c r="BU167" s="41">
        <v>0</v>
      </c>
      <c r="BV167" s="41">
        <v>0</v>
      </c>
      <c r="BW167" s="49">
        <v>0</v>
      </c>
      <c r="BX167" s="37" t="s">
        <v>127</v>
      </c>
      <c r="BY167" s="37" t="s">
        <v>127</v>
      </c>
      <c r="BZ167" s="37" t="s">
        <v>155</v>
      </c>
      <c r="CA167" s="41">
        <v>279.09500000000003</v>
      </c>
      <c r="CB167" s="41">
        <v>398.54</v>
      </c>
      <c r="CC167" s="41">
        <v>175.57</v>
      </c>
      <c r="CD167" s="41">
        <v>453.75</v>
      </c>
      <c r="CE167" s="41">
        <v>117.79</v>
      </c>
      <c r="CF167" s="41">
        <v>63.366660000000017</v>
      </c>
      <c r="CG167" s="45">
        <v>0</v>
      </c>
      <c r="CH167" s="45" t="s">
        <v>137</v>
      </c>
      <c r="CI167" s="37" t="s">
        <v>127</v>
      </c>
      <c r="CJ167" s="77" t="s">
        <v>127</v>
      </c>
      <c r="CK167" s="98">
        <v>0.18140000000000001</v>
      </c>
      <c r="CL167" s="98">
        <v>0.81859999999999999</v>
      </c>
      <c r="CM167" s="100" t="s">
        <v>798</v>
      </c>
    </row>
    <row r="168" spans="1:91" ht="12.75" customHeight="1" x14ac:dyDescent="0.3">
      <c r="A168" s="37">
        <v>166</v>
      </c>
      <c r="B168" s="37" t="s">
        <v>930</v>
      </c>
      <c r="C168" s="125"/>
      <c r="D168" s="123"/>
      <c r="E168" s="77" t="s">
        <v>127</v>
      </c>
      <c r="F168" s="36" t="s">
        <v>931</v>
      </c>
      <c r="G168" s="75" t="s">
        <v>226</v>
      </c>
      <c r="H168" s="37" t="s">
        <v>130</v>
      </c>
      <c r="I168" s="37" t="s">
        <v>127</v>
      </c>
      <c r="J168" s="37" t="s">
        <v>127</v>
      </c>
      <c r="K168" s="37" t="s">
        <v>609</v>
      </c>
      <c r="L168" s="75" t="s">
        <v>932</v>
      </c>
      <c r="M168" s="37" t="s">
        <v>150</v>
      </c>
      <c r="N168" s="37" t="s">
        <v>127</v>
      </c>
      <c r="O168" s="76" t="s">
        <v>127</v>
      </c>
      <c r="P168" s="37" t="s">
        <v>135</v>
      </c>
      <c r="Q168" s="37" t="s">
        <v>150</v>
      </c>
      <c r="R168" s="37" t="s">
        <v>127</v>
      </c>
      <c r="S168" s="37" t="s">
        <v>127</v>
      </c>
      <c r="T168" s="37" t="s">
        <v>611</v>
      </c>
      <c r="U168" s="37" t="s">
        <v>718</v>
      </c>
      <c r="V168" s="37" t="b">
        <v>1</v>
      </c>
      <c r="W168" s="77" t="s">
        <v>127</v>
      </c>
      <c r="X168" s="123"/>
      <c r="Y168" s="37" t="s">
        <v>137</v>
      </c>
      <c r="Z168" s="37" t="s">
        <v>137</v>
      </c>
      <c r="AA168" s="37">
        <v>138</v>
      </c>
      <c r="AB168" s="37" t="s">
        <v>127</v>
      </c>
      <c r="AC168" s="78">
        <v>1.1000000000000001</v>
      </c>
      <c r="AD168" s="78" t="s">
        <v>139</v>
      </c>
      <c r="AE168" s="37" t="s">
        <v>140</v>
      </c>
      <c r="AF168" s="37">
        <v>20284</v>
      </c>
      <c r="AG168" s="37" t="s">
        <v>141</v>
      </c>
      <c r="AH168" s="37" t="b">
        <v>1</v>
      </c>
      <c r="AI168" s="76">
        <v>45268</v>
      </c>
      <c r="AJ168" s="77" t="s">
        <v>142</v>
      </c>
      <c r="AK168" s="37" t="s">
        <v>127</v>
      </c>
      <c r="AL168" s="37" t="s">
        <v>127</v>
      </c>
      <c r="AM168" s="37" t="b">
        <v>0</v>
      </c>
      <c r="AN168" s="37" t="s">
        <v>127</v>
      </c>
      <c r="AO168" s="37" t="s">
        <v>127</v>
      </c>
      <c r="AP168" s="37" t="s">
        <v>137</v>
      </c>
      <c r="AQ168" s="37" t="b">
        <v>0</v>
      </c>
      <c r="AR168" s="37" t="s">
        <v>127</v>
      </c>
      <c r="AS168" s="76" t="s">
        <v>137</v>
      </c>
      <c r="AT168" s="37" t="s">
        <v>389</v>
      </c>
      <c r="AU168" s="37" t="s">
        <v>150</v>
      </c>
      <c r="AV168" s="37" t="s">
        <v>933</v>
      </c>
      <c r="AW168" s="37" t="s">
        <v>137</v>
      </c>
      <c r="AX168" s="37" t="s">
        <v>127</v>
      </c>
      <c r="AY168" s="76" t="s">
        <v>127</v>
      </c>
      <c r="AZ168" s="77" t="s">
        <v>127</v>
      </c>
      <c r="BA168" s="37" t="s">
        <v>127</v>
      </c>
      <c r="BB168" s="37" t="s">
        <v>143</v>
      </c>
      <c r="BC168" s="77" t="s">
        <v>127</v>
      </c>
      <c r="BD168" s="76" t="s">
        <v>127</v>
      </c>
      <c r="BE168" s="37" t="s">
        <v>137</v>
      </c>
      <c r="BF168" s="80" t="s">
        <v>127</v>
      </c>
      <c r="BG168" s="39" t="s">
        <v>127</v>
      </c>
      <c r="BH168" s="37" t="s">
        <v>127</v>
      </c>
      <c r="BI168" s="40" t="b">
        <v>1</v>
      </c>
      <c r="BJ168" s="40" t="s">
        <v>137</v>
      </c>
      <c r="BK168" s="37" t="s">
        <v>127</v>
      </c>
      <c r="BL168" s="110">
        <f>6655.22072814088-BL169</f>
        <v>3104.80086793788</v>
      </c>
      <c r="BM168" s="110">
        <f>943.177621476-BM169</f>
        <v>628.55673262799996</v>
      </c>
      <c r="BN168" s="110">
        <f>1814.30436428-BN169</f>
        <v>807.02531999500025</v>
      </c>
      <c r="BO168" s="110">
        <f>1468.724998922-BO169</f>
        <v>358.09978977800006</v>
      </c>
      <c r="BP168" s="110">
        <f>957.595467385-BP169</f>
        <v>133.51554578299999</v>
      </c>
      <c r="BQ168" s="110">
        <f>336.466508607-BQ169</f>
        <v>42.651712283000165</v>
      </c>
      <c r="BR168" s="110">
        <f>2.87669252487336-BR169</f>
        <v>2.8766925248733601</v>
      </c>
      <c r="BS168" s="110">
        <f>0-BS169</f>
        <v>0</v>
      </c>
      <c r="BT168" s="110">
        <f>0-BT169</f>
        <v>0</v>
      </c>
      <c r="BU168" s="110">
        <f>0-BU169</f>
        <v>0</v>
      </c>
      <c r="BV168" s="110">
        <f>0-BV169</f>
        <v>0</v>
      </c>
      <c r="BW168" s="111">
        <f>0-BW169</f>
        <v>0</v>
      </c>
      <c r="BX168" s="37" t="s">
        <v>127</v>
      </c>
      <c r="BY168" s="37" t="s">
        <v>127</v>
      </c>
      <c r="BZ168" s="37" t="s">
        <v>155</v>
      </c>
      <c r="CA168" s="41">
        <v>52.859209999999997</v>
      </c>
      <c r="CB168" s="41">
        <v>5.2859209999999997E-2</v>
      </c>
      <c r="CC168" s="41">
        <v>0.62596000000000007</v>
      </c>
      <c r="CD168" s="41">
        <v>-0.1661</v>
      </c>
      <c r="CE168" s="41">
        <v>0</v>
      </c>
      <c r="CF168" s="110">
        <f>3.07312734462336-CF169</f>
        <v>3.07312734462336</v>
      </c>
      <c r="CG168" s="45">
        <v>0</v>
      </c>
      <c r="CH168" s="45" t="s">
        <v>137</v>
      </c>
      <c r="CI168" s="37" t="s">
        <v>127</v>
      </c>
      <c r="CJ168" s="77" t="s">
        <v>127</v>
      </c>
      <c r="CK168" s="98">
        <v>0</v>
      </c>
      <c r="CL168" s="98">
        <v>1</v>
      </c>
      <c r="CM168" s="100" t="s">
        <v>934</v>
      </c>
    </row>
    <row r="169" spans="1:91" ht="12.75" customHeight="1" x14ac:dyDescent="0.3">
      <c r="A169" s="37">
        <v>167</v>
      </c>
      <c r="B169" s="37" t="s">
        <v>935</v>
      </c>
      <c r="C169" s="125"/>
      <c r="D169" s="125"/>
      <c r="E169" s="84" t="s">
        <v>246</v>
      </c>
      <c r="F169" s="36" t="s">
        <v>936</v>
      </c>
      <c r="G169" s="81" t="s">
        <v>226</v>
      </c>
      <c r="H169" s="38" t="s">
        <v>130</v>
      </c>
      <c r="I169" s="38" t="s">
        <v>127</v>
      </c>
      <c r="J169" s="38" t="s">
        <v>127</v>
      </c>
      <c r="K169" s="38" t="s">
        <v>609</v>
      </c>
      <c r="L169" s="81" t="s">
        <v>616</v>
      </c>
      <c r="M169" s="38" t="s">
        <v>127</v>
      </c>
      <c r="N169" s="38" t="s">
        <v>127</v>
      </c>
      <c r="O169" s="80" t="s">
        <v>127</v>
      </c>
      <c r="P169" s="37" t="s">
        <v>135</v>
      </c>
      <c r="Q169" s="37" t="s">
        <v>127</v>
      </c>
      <c r="R169" s="37" t="s">
        <v>127</v>
      </c>
      <c r="S169" s="37" t="s">
        <v>127</v>
      </c>
      <c r="T169" s="37" t="s">
        <v>611</v>
      </c>
      <c r="U169" s="37" t="s">
        <v>718</v>
      </c>
      <c r="V169" s="37" t="b">
        <v>1</v>
      </c>
      <c r="W169" s="37" t="s">
        <v>127</v>
      </c>
      <c r="X169" s="123"/>
      <c r="Y169" s="37" t="s">
        <v>137</v>
      </c>
      <c r="Z169" s="37" t="s">
        <v>137</v>
      </c>
      <c r="AA169" s="37" t="s">
        <v>937</v>
      </c>
      <c r="AB169" s="37" t="s">
        <v>127</v>
      </c>
      <c r="AC169" s="78">
        <v>1.2</v>
      </c>
      <c r="AD169" s="78">
        <v>2652303</v>
      </c>
      <c r="AE169" s="37" t="s">
        <v>127</v>
      </c>
      <c r="AF169" s="37">
        <v>20284</v>
      </c>
      <c r="AG169" s="37" t="s">
        <v>127</v>
      </c>
      <c r="AH169" s="37" t="b">
        <v>0</v>
      </c>
      <c r="AI169" s="76" t="s">
        <v>127</v>
      </c>
      <c r="AJ169" s="77" t="s">
        <v>142</v>
      </c>
      <c r="AK169" s="37" t="s">
        <v>127</v>
      </c>
      <c r="AL169" s="37" t="s">
        <v>127</v>
      </c>
      <c r="AM169" s="37" t="b">
        <v>0</v>
      </c>
      <c r="AN169" s="37" t="s">
        <v>127</v>
      </c>
      <c r="AO169" s="37" t="s">
        <v>127</v>
      </c>
      <c r="AP169" s="37" t="s">
        <v>127</v>
      </c>
      <c r="AQ169" s="37" t="b">
        <v>0</v>
      </c>
      <c r="AR169" s="37" t="s">
        <v>127</v>
      </c>
      <c r="AS169" s="37" t="s">
        <v>127</v>
      </c>
      <c r="AT169" s="37" t="s">
        <v>127</v>
      </c>
      <c r="AU169" s="37" t="s">
        <v>127</v>
      </c>
      <c r="AV169" s="37" t="s">
        <v>127</v>
      </c>
      <c r="AW169" s="37" t="s">
        <v>127</v>
      </c>
      <c r="AX169" s="77" t="s">
        <v>551</v>
      </c>
      <c r="AY169" s="80" t="s">
        <v>127</v>
      </c>
      <c r="AZ169" s="77" t="s">
        <v>127</v>
      </c>
      <c r="BA169" s="37" t="s">
        <v>127</v>
      </c>
      <c r="BB169" s="37" t="s">
        <v>622</v>
      </c>
      <c r="BC169" s="77" t="s">
        <v>127</v>
      </c>
      <c r="BD169" s="76">
        <v>45292</v>
      </c>
      <c r="BE169" s="37" t="s">
        <v>127</v>
      </c>
      <c r="BF169" s="80">
        <v>45657</v>
      </c>
      <c r="BG169" s="39" t="s">
        <v>127</v>
      </c>
      <c r="BH169" s="39" t="s">
        <v>127</v>
      </c>
      <c r="BI169" s="40" t="b">
        <v>0</v>
      </c>
      <c r="BJ169" s="40" t="s">
        <v>137</v>
      </c>
      <c r="BK169" s="37" t="s">
        <v>127</v>
      </c>
      <c r="BL169" s="41">
        <v>3550.4198602030001</v>
      </c>
      <c r="BM169" s="41">
        <v>314.62088884799999</v>
      </c>
      <c r="BN169" s="41">
        <v>1007.2790442849998</v>
      </c>
      <c r="BO169" s="41">
        <v>1110.6252091439999</v>
      </c>
      <c r="BP169" s="41">
        <v>824.07992160200001</v>
      </c>
      <c r="BQ169" s="41">
        <v>293.81479632399981</v>
      </c>
      <c r="BR169" s="41">
        <v>0</v>
      </c>
      <c r="BS169" s="41">
        <v>0</v>
      </c>
      <c r="BT169" s="41">
        <v>0</v>
      </c>
      <c r="BU169" s="41">
        <v>0</v>
      </c>
      <c r="BV169" s="41">
        <v>0</v>
      </c>
      <c r="BW169" s="49">
        <v>0</v>
      </c>
      <c r="BX169" s="37" t="s">
        <v>127</v>
      </c>
      <c r="BY169" s="37" t="s">
        <v>127</v>
      </c>
      <c r="BZ169" s="37" t="s">
        <v>127</v>
      </c>
      <c r="CA169" s="41">
        <v>0</v>
      </c>
      <c r="CB169" s="41">
        <v>0</v>
      </c>
      <c r="CC169" s="41">
        <v>0</v>
      </c>
      <c r="CD169" s="41">
        <v>0</v>
      </c>
      <c r="CE169" s="41">
        <v>0</v>
      </c>
      <c r="CF169" s="41">
        <v>0</v>
      </c>
      <c r="CG169" s="45">
        <v>0</v>
      </c>
      <c r="CH169" s="45" t="s">
        <v>127</v>
      </c>
      <c r="CI169" s="37" t="s">
        <v>127</v>
      </c>
      <c r="CJ169" s="77" t="s">
        <v>127</v>
      </c>
      <c r="CK169" s="98">
        <v>0</v>
      </c>
      <c r="CL169" s="98">
        <v>1</v>
      </c>
      <c r="CM169" s="100" t="s">
        <v>938</v>
      </c>
    </row>
    <row r="170" spans="1:91" ht="12.75" customHeight="1" x14ac:dyDescent="0.3">
      <c r="A170" s="37">
        <v>168</v>
      </c>
      <c r="B170" s="37" t="s">
        <v>939</v>
      </c>
      <c r="C170" s="125"/>
      <c r="D170" s="123"/>
      <c r="E170" s="77" t="s">
        <v>127</v>
      </c>
      <c r="F170" s="36" t="s">
        <v>940</v>
      </c>
      <c r="G170" s="81" t="s">
        <v>226</v>
      </c>
      <c r="H170" s="38" t="s">
        <v>130</v>
      </c>
      <c r="I170" s="38" t="s">
        <v>127</v>
      </c>
      <c r="J170" s="38" t="s">
        <v>127</v>
      </c>
      <c r="K170" s="38" t="s">
        <v>609</v>
      </c>
      <c r="L170" s="81" t="s">
        <v>616</v>
      </c>
      <c r="M170" s="38" t="s">
        <v>127</v>
      </c>
      <c r="N170" s="38" t="s">
        <v>127</v>
      </c>
      <c r="O170" s="76">
        <v>45378</v>
      </c>
      <c r="P170" s="37" t="s">
        <v>135</v>
      </c>
      <c r="Q170" s="37" t="s">
        <v>127</v>
      </c>
      <c r="R170" s="37" t="s">
        <v>127</v>
      </c>
      <c r="S170" s="37" t="s">
        <v>127</v>
      </c>
      <c r="T170" s="37" t="s">
        <v>611</v>
      </c>
      <c r="U170" s="37" t="s">
        <v>718</v>
      </c>
      <c r="V170" s="37" t="b">
        <v>1</v>
      </c>
      <c r="W170" s="37" t="s">
        <v>127</v>
      </c>
      <c r="X170" s="123"/>
      <c r="Y170" s="37" t="s">
        <v>137</v>
      </c>
      <c r="Z170" s="37" t="s">
        <v>137</v>
      </c>
      <c r="AA170" s="37">
        <v>12</v>
      </c>
      <c r="AB170" s="37" t="s">
        <v>127</v>
      </c>
      <c r="AC170" s="78">
        <v>1.2</v>
      </c>
      <c r="AD170" s="78" t="s">
        <v>139</v>
      </c>
      <c r="AE170" s="37" t="s">
        <v>140</v>
      </c>
      <c r="AF170" s="37">
        <v>20285</v>
      </c>
      <c r="AG170" s="37" t="s">
        <v>127</v>
      </c>
      <c r="AH170" s="37" t="b">
        <v>0</v>
      </c>
      <c r="AI170" s="76">
        <v>45268</v>
      </c>
      <c r="AJ170" s="77" t="s">
        <v>142</v>
      </c>
      <c r="AK170" s="37">
        <v>2021</v>
      </c>
      <c r="AL170" s="37" t="s">
        <v>127</v>
      </c>
      <c r="AM170" s="37" t="b">
        <v>0</v>
      </c>
      <c r="AN170" s="37" t="s">
        <v>127</v>
      </c>
      <c r="AO170" s="37" t="s">
        <v>127</v>
      </c>
      <c r="AP170" s="37" t="s">
        <v>127</v>
      </c>
      <c r="AQ170" s="37" t="b">
        <v>0</v>
      </c>
      <c r="AR170" s="37" t="s">
        <v>127</v>
      </c>
      <c r="AS170" s="37" t="s">
        <v>127</v>
      </c>
      <c r="AT170" s="37" t="s">
        <v>127</v>
      </c>
      <c r="AU170" s="37" t="s">
        <v>127</v>
      </c>
      <c r="AV170" s="37" t="s">
        <v>127</v>
      </c>
      <c r="AW170" s="37" t="s">
        <v>127</v>
      </c>
      <c r="AX170" s="37" t="s">
        <v>161</v>
      </c>
      <c r="AY170" s="76" t="s">
        <v>127</v>
      </c>
      <c r="AZ170" s="77" t="s">
        <v>127</v>
      </c>
      <c r="BA170" s="37" t="s">
        <v>127</v>
      </c>
      <c r="BB170" s="37" t="s">
        <v>622</v>
      </c>
      <c r="BC170" s="77" t="s">
        <v>127</v>
      </c>
      <c r="BD170" s="76" t="s">
        <v>127</v>
      </c>
      <c r="BE170" s="37" t="s">
        <v>127</v>
      </c>
      <c r="BF170" s="80" t="s">
        <v>127</v>
      </c>
      <c r="BG170" s="39" t="s">
        <v>127</v>
      </c>
      <c r="BH170" s="39" t="s">
        <v>127</v>
      </c>
      <c r="BI170" s="40" t="b">
        <v>1</v>
      </c>
      <c r="BJ170" s="40" t="s">
        <v>137</v>
      </c>
      <c r="BK170" s="37" t="s">
        <v>127</v>
      </c>
      <c r="BL170" s="110">
        <f>2242.50529447636-BL171</f>
        <v>612.16609674199913</v>
      </c>
      <c r="BM170" s="110">
        <f>0.017276588-BM171</f>
        <v>1.7276587999999999E-2</v>
      </c>
      <c r="BN170" s="110">
        <f>13.72807199-BN171</f>
        <v>5.7953338599999995</v>
      </c>
      <c r="BO170" s="110">
        <f>247.073320791-BO171</f>
        <v>26.182972629000005</v>
      </c>
      <c r="BP170" s="110">
        <f>656.246702283-BP171</f>
        <v>140.90857038000001</v>
      </c>
      <c r="BQ170" s="110">
        <f>854.981291452-BQ171</f>
        <v>203.2483712290001</v>
      </c>
      <c r="BR170" s="110">
        <f>331.610778377898-BR171</f>
        <v>32.229066227999624</v>
      </c>
      <c r="BS170" s="110">
        <f>131.462567043358-BS171</f>
        <v>3.1263880373444408E-13</v>
      </c>
      <c r="BT170" s="110">
        <f>(6.36151437902299E-06)-BT171</f>
        <v>64.425899999999999</v>
      </c>
      <c r="BU170" s="110">
        <f>-0.0000110898375232864-BU171</f>
        <v>42.760980000000018</v>
      </c>
      <c r="BV170" s="110">
        <f>5.24927262306283-BV171</f>
        <v>48.957296927999991</v>
      </c>
      <c r="BW170" s="111">
        <f>0-BW171</f>
        <v>0</v>
      </c>
      <c r="BX170" s="37" t="s">
        <v>127</v>
      </c>
      <c r="BY170" s="37" t="s">
        <v>127</v>
      </c>
      <c r="BZ170" s="37" t="s">
        <v>173</v>
      </c>
      <c r="CA170" s="41">
        <v>0</v>
      </c>
      <c r="CB170" s="41">
        <v>0</v>
      </c>
      <c r="CC170" s="41">
        <v>0</v>
      </c>
      <c r="CD170" s="41">
        <v>0</v>
      </c>
      <c r="CE170" s="41">
        <v>0</v>
      </c>
      <c r="CF170" s="110">
        <f>66.075656773-CF171</f>
        <v>66.075656773000006</v>
      </c>
      <c r="CG170" s="45">
        <v>0</v>
      </c>
      <c r="CH170" s="45" t="s">
        <v>127</v>
      </c>
      <c r="CI170" s="37" t="s">
        <v>127</v>
      </c>
      <c r="CJ170" s="77" t="s">
        <v>127</v>
      </c>
      <c r="CK170" s="98">
        <v>0</v>
      </c>
      <c r="CL170" s="98">
        <v>1</v>
      </c>
      <c r="CM170" s="100" t="s">
        <v>941</v>
      </c>
    </row>
    <row r="171" spans="1:91" ht="12.75" customHeight="1" x14ac:dyDescent="0.3">
      <c r="A171" s="37">
        <v>169</v>
      </c>
      <c r="B171" s="37" t="s">
        <v>942</v>
      </c>
      <c r="C171" s="125"/>
      <c r="D171" s="125"/>
      <c r="E171" s="84" t="s">
        <v>246</v>
      </c>
      <c r="F171" s="36" t="s">
        <v>940</v>
      </c>
      <c r="G171" s="81" t="s">
        <v>226</v>
      </c>
      <c r="H171" s="38" t="s">
        <v>130</v>
      </c>
      <c r="I171" s="38" t="s">
        <v>127</v>
      </c>
      <c r="J171" s="38" t="s">
        <v>127</v>
      </c>
      <c r="K171" s="38" t="s">
        <v>609</v>
      </c>
      <c r="L171" s="81" t="s">
        <v>616</v>
      </c>
      <c r="M171" s="38" t="s">
        <v>127</v>
      </c>
      <c r="N171" s="38" t="s">
        <v>127</v>
      </c>
      <c r="O171" s="80" t="s">
        <v>127</v>
      </c>
      <c r="P171" s="37" t="s">
        <v>135</v>
      </c>
      <c r="Q171" s="37" t="s">
        <v>127</v>
      </c>
      <c r="R171" s="37" t="s">
        <v>127</v>
      </c>
      <c r="S171" s="37" t="s">
        <v>127</v>
      </c>
      <c r="T171" s="37" t="s">
        <v>611</v>
      </c>
      <c r="U171" s="37" t="s">
        <v>718</v>
      </c>
      <c r="V171" s="37" t="b">
        <v>1</v>
      </c>
      <c r="W171" s="37" t="s">
        <v>127</v>
      </c>
      <c r="X171" s="123"/>
      <c r="Y171" s="37" t="s">
        <v>137</v>
      </c>
      <c r="Z171" s="37" t="s">
        <v>137</v>
      </c>
      <c r="AA171" s="37">
        <v>12</v>
      </c>
      <c r="AB171" s="37" t="s">
        <v>127</v>
      </c>
      <c r="AC171" s="78">
        <v>1.2</v>
      </c>
      <c r="AD171" s="78">
        <v>2479940</v>
      </c>
      <c r="AE171" s="37" t="s">
        <v>127</v>
      </c>
      <c r="AF171" s="37">
        <v>20285</v>
      </c>
      <c r="AG171" s="37" t="s">
        <v>127</v>
      </c>
      <c r="AH171" s="37" t="b">
        <v>0</v>
      </c>
      <c r="AI171" s="76" t="s">
        <v>127</v>
      </c>
      <c r="AJ171" s="77" t="s">
        <v>142</v>
      </c>
      <c r="AK171" s="37">
        <v>2021</v>
      </c>
      <c r="AL171" s="37" t="s">
        <v>127</v>
      </c>
      <c r="AM171" s="37" t="b">
        <v>0</v>
      </c>
      <c r="AN171" s="37" t="s">
        <v>127</v>
      </c>
      <c r="AO171" s="37" t="s">
        <v>127</v>
      </c>
      <c r="AP171" s="37" t="s">
        <v>127</v>
      </c>
      <c r="AQ171" s="37" t="b">
        <v>0</v>
      </c>
      <c r="AR171" s="37" t="s">
        <v>127</v>
      </c>
      <c r="AS171" s="37" t="s">
        <v>127</v>
      </c>
      <c r="AT171" s="37" t="s">
        <v>127</v>
      </c>
      <c r="AU171" s="37" t="s">
        <v>127</v>
      </c>
      <c r="AV171" s="37" t="s">
        <v>127</v>
      </c>
      <c r="AW171" s="37" t="s">
        <v>127</v>
      </c>
      <c r="AX171" s="77" t="s">
        <v>551</v>
      </c>
      <c r="AY171" s="80" t="s">
        <v>127</v>
      </c>
      <c r="AZ171" s="77" t="s">
        <v>127</v>
      </c>
      <c r="BA171" s="37" t="s">
        <v>127</v>
      </c>
      <c r="BB171" s="37" t="s">
        <v>622</v>
      </c>
      <c r="BC171" s="77" t="s">
        <v>127</v>
      </c>
      <c r="BD171" s="76">
        <v>45292</v>
      </c>
      <c r="BE171" s="37" t="s">
        <v>127</v>
      </c>
      <c r="BF171" s="80">
        <v>45657</v>
      </c>
      <c r="BG171" s="39" t="s">
        <v>127</v>
      </c>
      <c r="BH171" s="39" t="s">
        <v>127</v>
      </c>
      <c r="BI171" s="40" t="b">
        <v>0</v>
      </c>
      <c r="BJ171" s="40" t="s">
        <v>137</v>
      </c>
      <c r="BK171" s="37" t="s">
        <v>127</v>
      </c>
      <c r="BL171" s="41">
        <v>1630.3391977343611</v>
      </c>
      <c r="BM171" s="41">
        <v>0</v>
      </c>
      <c r="BN171" s="41">
        <v>7.9327381300000006</v>
      </c>
      <c r="BO171" s="41">
        <v>220.89034816199998</v>
      </c>
      <c r="BP171" s="41">
        <v>515.33813190299998</v>
      </c>
      <c r="BQ171" s="41">
        <v>651.73292022299995</v>
      </c>
      <c r="BR171" s="41">
        <v>299.38171214989836</v>
      </c>
      <c r="BS171" s="41">
        <v>131.46256704335769</v>
      </c>
      <c r="BT171" s="41">
        <v>-64.425893638485618</v>
      </c>
      <c r="BU171" s="41">
        <v>-42.760991089837539</v>
      </c>
      <c r="BV171" s="41">
        <v>-43.708024304937162</v>
      </c>
      <c r="BW171" s="49">
        <v>0</v>
      </c>
      <c r="BX171" s="37" t="s">
        <v>127</v>
      </c>
      <c r="BY171" s="37" t="s">
        <v>127</v>
      </c>
      <c r="BZ171" s="37" t="s">
        <v>127</v>
      </c>
      <c r="CA171" s="41">
        <v>0</v>
      </c>
      <c r="CB171" s="41">
        <v>0</v>
      </c>
      <c r="CC171" s="41">
        <v>0</v>
      </c>
      <c r="CD171" s="41">
        <v>0</v>
      </c>
      <c r="CE171" s="41">
        <v>0</v>
      </c>
      <c r="CF171" s="41">
        <v>0</v>
      </c>
      <c r="CG171" s="45">
        <v>0</v>
      </c>
      <c r="CH171" s="45" t="s">
        <v>127</v>
      </c>
      <c r="CI171" s="37" t="s">
        <v>127</v>
      </c>
      <c r="CJ171" s="77" t="s">
        <v>127</v>
      </c>
      <c r="CK171" s="98">
        <v>0</v>
      </c>
      <c r="CL171" s="98">
        <v>1</v>
      </c>
      <c r="CM171" s="100" t="s">
        <v>943</v>
      </c>
    </row>
    <row r="172" spans="1:91" ht="12.75" customHeight="1" x14ac:dyDescent="0.3">
      <c r="A172" s="37">
        <v>170</v>
      </c>
      <c r="B172" s="37" t="s">
        <v>944</v>
      </c>
      <c r="C172" s="125"/>
      <c r="D172" s="123"/>
      <c r="E172" s="77" t="s">
        <v>127</v>
      </c>
      <c r="F172" s="36" t="s">
        <v>945</v>
      </c>
      <c r="G172" s="75" t="s">
        <v>226</v>
      </c>
      <c r="H172" s="37" t="s">
        <v>130</v>
      </c>
      <c r="I172" s="37" t="s">
        <v>127</v>
      </c>
      <c r="J172" s="37" t="s">
        <v>127</v>
      </c>
      <c r="K172" s="37" t="s">
        <v>609</v>
      </c>
      <c r="L172" s="75" t="s">
        <v>243</v>
      </c>
      <c r="M172" s="37" t="s">
        <v>127</v>
      </c>
      <c r="N172" s="37" t="s">
        <v>127</v>
      </c>
      <c r="O172" s="76" t="s">
        <v>127</v>
      </c>
      <c r="P172" s="37" t="s">
        <v>135</v>
      </c>
      <c r="Q172" s="37" t="s">
        <v>127</v>
      </c>
      <c r="R172" s="37" t="s">
        <v>127</v>
      </c>
      <c r="S172" s="37" t="s">
        <v>127</v>
      </c>
      <c r="T172" s="37" t="s">
        <v>946</v>
      </c>
      <c r="U172" s="37" t="s">
        <v>947</v>
      </c>
      <c r="V172" s="37" t="b">
        <v>0</v>
      </c>
      <c r="W172" s="77" t="s">
        <v>127</v>
      </c>
      <c r="X172" s="123"/>
      <c r="Y172" s="37" t="s">
        <v>137</v>
      </c>
      <c r="Z172" s="37" t="s">
        <v>137</v>
      </c>
      <c r="AA172" s="37">
        <v>69</v>
      </c>
      <c r="AB172" s="37" t="s">
        <v>127</v>
      </c>
      <c r="AC172" s="78">
        <v>1.1000000000000001</v>
      </c>
      <c r="AD172" s="78" t="s">
        <v>139</v>
      </c>
      <c r="AE172" s="37" t="s">
        <v>140</v>
      </c>
      <c r="AF172" s="37">
        <v>20286</v>
      </c>
      <c r="AG172" s="37" t="s">
        <v>141</v>
      </c>
      <c r="AH172" s="37" t="b">
        <v>1</v>
      </c>
      <c r="AI172" s="76">
        <v>45267</v>
      </c>
      <c r="AJ172" s="77" t="s">
        <v>142</v>
      </c>
      <c r="AK172" s="37" t="s">
        <v>127</v>
      </c>
      <c r="AL172" s="37" t="s">
        <v>127</v>
      </c>
      <c r="AM172" s="37" t="b">
        <v>0</v>
      </c>
      <c r="AN172" s="37" t="s">
        <v>127</v>
      </c>
      <c r="AO172" s="37" t="s">
        <v>127</v>
      </c>
      <c r="AP172" s="37" t="s">
        <v>137</v>
      </c>
      <c r="AQ172" s="37" t="b">
        <v>0</v>
      </c>
      <c r="AR172" s="37" t="s">
        <v>127</v>
      </c>
      <c r="AS172" s="76" t="s">
        <v>137</v>
      </c>
      <c r="AT172" s="37" t="s">
        <v>127</v>
      </c>
      <c r="AU172" s="37" t="s">
        <v>127</v>
      </c>
      <c r="AV172" s="37" t="s">
        <v>137</v>
      </c>
      <c r="AW172" s="37" t="s">
        <v>137</v>
      </c>
      <c r="AX172" s="37" t="s">
        <v>127</v>
      </c>
      <c r="AY172" s="76" t="s">
        <v>127</v>
      </c>
      <c r="AZ172" s="77" t="s">
        <v>127</v>
      </c>
      <c r="BA172" s="37" t="s">
        <v>127</v>
      </c>
      <c r="BB172" s="37" t="s">
        <v>143</v>
      </c>
      <c r="BC172" s="77" t="s">
        <v>127</v>
      </c>
      <c r="BD172" s="76" t="s">
        <v>127</v>
      </c>
      <c r="BE172" s="37" t="s">
        <v>137</v>
      </c>
      <c r="BF172" s="80" t="s">
        <v>127</v>
      </c>
      <c r="BG172" s="39" t="s">
        <v>127</v>
      </c>
      <c r="BH172" s="37" t="s">
        <v>127</v>
      </c>
      <c r="BI172" s="40" t="b">
        <v>1</v>
      </c>
      <c r="BJ172" s="40" t="s">
        <v>137</v>
      </c>
      <c r="BK172" s="37" t="s">
        <v>127</v>
      </c>
      <c r="BL172" s="110">
        <f>5122.1974712919-BL173</f>
        <v>1240.9427096257259</v>
      </c>
      <c r="BM172" s="110">
        <f>0-BM173</f>
        <v>0</v>
      </c>
      <c r="BN172" s="110">
        <f>527.12624404816-BN173</f>
        <v>0</v>
      </c>
      <c r="BO172" s="110">
        <f>822.79427203992-BO173</f>
        <v>49.49759999999992</v>
      </c>
      <c r="BP172" s="110">
        <f>1314.08027364645-BP173</f>
        <v>0</v>
      </c>
      <c r="BQ172" s="110">
        <f>844.43643393356-BQ173</f>
        <v>0.61774261500011107</v>
      </c>
      <c r="BR172" s="110">
        <f>684.025329247066-BR173</f>
        <v>542.17276863398604</v>
      </c>
      <c r="BS172" s="110">
        <f>475.722229016735-BS173</f>
        <v>335.182069016735</v>
      </c>
      <c r="BT172" s="110">
        <f>454.01268936-BT173</f>
        <v>313.47252936000007</v>
      </c>
      <c r="BU172" s="110">
        <f>0-BU173</f>
        <v>0</v>
      </c>
      <c r="BV172" s="110">
        <f>0-BV173</f>
        <v>0</v>
      </c>
      <c r="BW172" s="111">
        <f>0-BW173</f>
        <v>0</v>
      </c>
      <c r="BX172" s="37" t="s">
        <v>127</v>
      </c>
      <c r="BY172" s="37" t="s">
        <v>127</v>
      </c>
      <c r="BZ172" s="37" t="s">
        <v>173</v>
      </c>
      <c r="CA172" s="41">
        <v>0</v>
      </c>
      <c r="CB172" s="41">
        <v>0</v>
      </c>
      <c r="CC172" s="41">
        <v>0</v>
      </c>
      <c r="CD172" s="41">
        <v>0</v>
      </c>
      <c r="CE172" s="41">
        <v>0</v>
      </c>
      <c r="CF172" s="110">
        <f>3836.54585439117-CF173</f>
        <v>236.37141272500003</v>
      </c>
      <c r="CG172" s="45">
        <v>0</v>
      </c>
      <c r="CH172" s="45" t="s">
        <v>137</v>
      </c>
      <c r="CI172" s="37" t="s">
        <v>127</v>
      </c>
      <c r="CJ172" s="77" t="s">
        <v>127</v>
      </c>
      <c r="CK172" s="98">
        <v>0</v>
      </c>
      <c r="CL172" s="98">
        <v>1</v>
      </c>
      <c r="CM172" s="100" t="s">
        <v>359</v>
      </c>
    </row>
    <row r="173" spans="1:91" ht="12.75" customHeight="1" x14ac:dyDescent="0.3">
      <c r="A173" s="37">
        <v>171</v>
      </c>
      <c r="B173" s="37" t="s">
        <v>948</v>
      </c>
      <c r="C173" s="125"/>
      <c r="D173" s="123"/>
      <c r="E173" s="37" t="s">
        <v>127</v>
      </c>
      <c r="F173" s="36" t="s">
        <v>949</v>
      </c>
      <c r="G173" s="81" t="s">
        <v>226</v>
      </c>
      <c r="H173" s="38" t="s">
        <v>152</v>
      </c>
      <c r="I173" s="38" t="s">
        <v>152</v>
      </c>
      <c r="J173" s="38" t="s">
        <v>127</v>
      </c>
      <c r="K173" s="38" t="s">
        <v>609</v>
      </c>
      <c r="L173" s="81" t="s">
        <v>282</v>
      </c>
      <c r="M173" s="38" t="s">
        <v>150</v>
      </c>
      <c r="N173" s="38" t="s">
        <v>150</v>
      </c>
      <c r="O173" s="76" t="s">
        <v>127</v>
      </c>
      <c r="P173" s="37" t="s">
        <v>135</v>
      </c>
      <c r="Q173" s="37" t="s">
        <v>127</v>
      </c>
      <c r="R173" s="37" t="s">
        <v>127</v>
      </c>
      <c r="S173" s="37" t="s">
        <v>127</v>
      </c>
      <c r="T173" s="37" t="s">
        <v>950</v>
      </c>
      <c r="U173" s="37" t="s">
        <v>718</v>
      </c>
      <c r="V173" s="37" t="b">
        <v>0</v>
      </c>
      <c r="W173" s="37" t="s">
        <v>127</v>
      </c>
      <c r="X173" s="123"/>
      <c r="Y173" s="37" t="s">
        <v>137</v>
      </c>
      <c r="Z173" s="37" t="s">
        <v>137</v>
      </c>
      <c r="AA173" s="37" t="s">
        <v>127</v>
      </c>
      <c r="AB173" s="37" t="s">
        <v>127</v>
      </c>
      <c r="AC173" s="78">
        <v>1.2</v>
      </c>
      <c r="AD173" s="78">
        <v>3502897</v>
      </c>
      <c r="AE173" s="37" t="s">
        <v>127</v>
      </c>
      <c r="AF173" s="37">
        <v>20286</v>
      </c>
      <c r="AG173" s="37" t="s">
        <v>127</v>
      </c>
      <c r="AH173" s="37" t="b">
        <v>0</v>
      </c>
      <c r="AI173" s="76" t="s">
        <v>127</v>
      </c>
      <c r="AJ173" s="77" t="s">
        <v>142</v>
      </c>
      <c r="AK173" s="37" t="s">
        <v>127</v>
      </c>
      <c r="AL173" s="37" t="s">
        <v>127</v>
      </c>
      <c r="AM173" s="37" t="b">
        <v>0</v>
      </c>
      <c r="AN173" s="37" t="s">
        <v>127</v>
      </c>
      <c r="AO173" s="37" t="s">
        <v>127</v>
      </c>
      <c r="AP173" s="37" t="s">
        <v>127</v>
      </c>
      <c r="AQ173" s="37" t="b">
        <v>0</v>
      </c>
      <c r="AR173" s="37" t="s">
        <v>127</v>
      </c>
      <c r="AS173" s="37" t="s">
        <v>127</v>
      </c>
      <c r="AT173" s="37" t="s">
        <v>127</v>
      </c>
      <c r="AU173" s="37" t="s">
        <v>127</v>
      </c>
      <c r="AV173" s="37" t="s">
        <v>127</v>
      </c>
      <c r="AW173" s="37" t="s">
        <v>127</v>
      </c>
      <c r="AX173" s="77" t="s">
        <v>161</v>
      </c>
      <c r="AY173" s="80" t="s">
        <v>127</v>
      </c>
      <c r="AZ173" s="77" t="s">
        <v>127</v>
      </c>
      <c r="BA173" s="37" t="s">
        <v>127</v>
      </c>
      <c r="BB173" s="37" t="s">
        <v>150</v>
      </c>
      <c r="BC173" s="77" t="s">
        <v>127</v>
      </c>
      <c r="BD173" s="76">
        <v>44197</v>
      </c>
      <c r="BE173" s="37" t="s">
        <v>127</v>
      </c>
      <c r="BF173" s="80" t="s">
        <v>951</v>
      </c>
      <c r="BG173" s="39" t="s">
        <v>127</v>
      </c>
      <c r="BH173" s="39" t="s">
        <v>127</v>
      </c>
      <c r="BI173" s="40" t="b">
        <v>1</v>
      </c>
      <c r="BJ173" s="40" t="s">
        <v>137</v>
      </c>
      <c r="BK173" s="37" t="s">
        <v>127</v>
      </c>
      <c r="BL173" s="41">
        <v>3881.2547616661741</v>
      </c>
      <c r="BM173" s="41">
        <v>0</v>
      </c>
      <c r="BN173" s="41">
        <v>527.12624404816006</v>
      </c>
      <c r="BO173" s="41">
        <v>773.29667203992005</v>
      </c>
      <c r="BP173" s="41">
        <v>1314.08027364645</v>
      </c>
      <c r="BQ173" s="41">
        <v>843.8186913185599</v>
      </c>
      <c r="BR173" s="41">
        <v>141.85256061307996</v>
      </c>
      <c r="BS173" s="41">
        <v>140.54015999999999</v>
      </c>
      <c r="BT173" s="41">
        <v>140.54015999999999</v>
      </c>
      <c r="BU173" s="41">
        <v>0</v>
      </c>
      <c r="BV173" s="41">
        <v>0</v>
      </c>
      <c r="BW173" s="49">
        <v>0</v>
      </c>
      <c r="BX173" s="37" t="s">
        <v>127</v>
      </c>
      <c r="BY173" s="37" t="s">
        <v>127</v>
      </c>
      <c r="BZ173" s="37" t="s">
        <v>173</v>
      </c>
      <c r="CA173" s="41">
        <v>0</v>
      </c>
      <c r="CB173" s="41">
        <v>0</v>
      </c>
      <c r="CC173" s="41">
        <v>0</v>
      </c>
      <c r="CD173" s="41">
        <v>0</v>
      </c>
      <c r="CE173" s="41">
        <v>0</v>
      </c>
      <c r="CF173" s="41">
        <v>3600.17444166617</v>
      </c>
      <c r="CG173" s="45">
        <v>0</v>
      </c>
      <c r="CH173" s="45" t="s">
        <v>127</v>
      </c>
      <c r="CI173" s="37" t="s">
        <v>127</v>
      </c>
      <c r="CJ173" s="77" t="s">
        <v>127</v>
      </c>
      <c r="CK173" s="98">
        <v>0</v>
      </c>
      <c r="CL173" s="98">
        <v>1</v>
      </c>
      <c r="CM173" s="99" t="s">
        <v>952</v>
      </c>
    </row>
    <row r="174" spans="1:91" ht="12.75" customHeight="1" x14ac:dyDescent="0.3">
      <c r="A174" s="37">
        <v>172</v>
      </c>
      <c r="B174" s="37" t="s">
        <v>953</v>
      </c>
      <c r="C174" s="125"/>
      <c r="D174" s="123"/>
      <c r="E174" s="77" t="s">
        <v>127</v>
      </c>
      <c r="F174" s="36" t="s">
        <v>954</v>
      </c>
      <c r="G174" s="75" t="s">
        <v>129</v>
      </c>
      <c r="H174" s="37" t="s">
        <v>130</v>
      </c>
      <c r="I174" s="37" t="s">
        <v>131</v>
      </c>
      <c r="J174" s="37" t="s">
        <v>127</v>
      </c>
      <c r="K174" s="37" t="s">
        <v>609</v>
      </c>
      <c r="L174" s="75" t="s">
        <v>133</v>
      </c>
      <c r="M174" s="37" t="s">
        <v>127</v>
      </c>
      <c r="N174" s="37" t="s">
        <v>127</v>
      </c>
      <c r="O174" s="76" t="s">
        <v>127</v>
      </c>
      <c r="P174" s="37" t="s">
        <v>135</v>
      </c>
      <c r="Q174" s="37" t="s">
        <v>127</v>
      </c>
      <c r="R174" s="37" t="s">
        <v>127</v>
      </c>
      <c r="S174" s="37" t="s">
        <v>127</v>
      </c>
      <c r="T174" s="37" t="s">
        <v>611</v>
      </c>
      <c r="U174" s="37" t="s">
        <v>955</v>
      </c>
      <c r="V174" s="37" t="b">
        <v>0</v>
      </c>
      <c r="W174" s="77" t="s">
        <v>127</v>
      </c>
      <c r="X174" s="123"/>
      <c r="Y174" s="37" t="s">
        <v>137</v>
      </c>
      <c r="Z174" s="37" t="s">
        <v>137</v>
      </c>
      <c r="AA174" s="37" t="s">
        <v>956</v>
      </c>
      <c r="AB174" s="37" t="s">
        <v>127</v>
      </c>
      <c r="AC174" s="78">
        <v>1.1000000000000001</v>
      </c>
      <c r="AD174" s="78" t="s">
        <v>139</v>
      </c>
      <c r="AE174" s="37" t="s">
        <v>140</v>
      </c>
      <c r="AF174" s="37">
        <v>21134</v>
      </c>
      <c r="AG174" s="37" t="s">
        <v>141</v>
      </c>
      <c r="AH174" s="37" t="b">
        <v>1</v>
      </c>
      <c r="AI174" s="76">
        <v>45307</v>
      </c>
      <c r="AJ174" s="77" t="s">
        <v>142</v>
      </c>
      <c r="AK174" s="37" t="s">
        <v>127</v>
      </c>
      <c r="AL174" s="37" t="s">
        <v>127</v>
      </c>
      <c r="AM174" s="37" t="b">
        <v>0</v>
      </c>
      <c r="AN174" s="37" t="s">
        <v>127</v>
      </c>
      <c r="AO174" s="37" t="s">
        <v>127</v>
      </c>
      <c r="AP174" s="37" t="s">
        <v>137</v>
      </c>
      <c r="AQ174" s="37" t="b">
        <v>0</v>
      </c>
      <c r="AR174" s="37" t="s">
        <v>127</v>
      </c>
      <c r="AS174" s="76" t="s">
        <v>137</v>
      </c>
      <c r="AT174" s="37" t="s">
        <v>127</v>
      </c>
      <c r="AU174" s="37" t="s">
        <v>127</v>
      </c>
      <c r="AV174" s="37" t="s">
        <v>137</v>
      </c>
      <c r="AW174" s="37" t="s">
        <v>137</v>
      </c>
      <c r="AX174" s="37" t="s">
        <v>127</v>
      </c>
      <c r="AY174" s="76" t="s">
        <v>127</v>
      </c>
      <c r="AZ174" s="77" t="s">
        <v>127</v>
      </c>
      <c r="BA174" s="37" t="s">
        <v>127</v>
      </c>
      <c r="BB174" s="37" t="s">
        <v>143</v>
      </c>
      <c r="BC174" s="77" t="s">
        <v>127</v>
      </c>
      <c r="BD174" s="76" t="s">
        <v>127</v>
      </c>
      <c r="BE174" s="37" t="s">
        <v>137</v>
      </c>
      <c r="BF174" s="80" t="s">
        <v>127</v>
      </c>
      <c r="BG174" s="39" t="s">
        <v>127</v>
      </c>
      <c r="BH174" s="37" t="s">
        <v>127</v>
      </c>
      <c r="BI174" s="40" t="b">
        <v>1</v>
      </c>
      <c r="BJ174" s="40" t="s">
        <v>137</v>
      </c>
      <c r="BK174" s="37" t="s">
        <v>127</v>
      </c>
      <c r="BL174" s="110">
        <f>103636.352484219-SUM(BL175:BL180)</f>
        <v>95758.704733794133</v>
      </c>
      <c r="BM174" s="110">
        <f>1341.20707-SUM(BM175:BM180)</f>
        <v>457.23429999999996</v>
      </c>
      <c r="BN174" s="110">
        <f>3901.18771-SUM(BN175:BN180)</f>
        <v>1300.2537600000005</v>
      </c>
      <c r="BO174" s="110">
        <f>4145.31545-SUM(BO175:BO180)</f>
        <v>2631.44119</v>
      </c>
      <c r="BP174" s="110">
        <f>8852.11273-SUM(BP175:BP180)</f>
        <v>8172.1418400000011</v>
      </c>
      <c r="BQ174" s="110">
        <f>13966.2574-SUM(BQ175:BQ180)</f>
        <v>12070.73545</v>
      </c>
      <c r="BR174" s="110">
        <f>12663.5190470073-SUM(BR175:BR180)</f>
        <v>12418.932556582437</v>
      </c>
      <c r="BS174" s="110">
        <f>12269.3685865416-SUM(BS175:BS180)</f>
        <v>12269.368586541599</v>
      </c>
      <c r="BT174" s="110">
        <f>13680.892034448-SUM(BT175:BT180)</f>
        <v>13680.892034447999</v>
      </c>
      <c r="BU174" s="110">
        <f>15241.4394955371-SUM(BU175:BU180)</f>
        <v>15241.439495537101</v>
      </c>
      <c r="BV174" s="110">
        <f>16743.6368306847-SUM(BV175:BV180)</f>
        <v>16743.6368306847</v>
      </c>
      <c r="BW174" s="111">
        <f>13988.84698-SUM(BW175:BW180)</f>
        <v>11781.078229999999</v>
      </c>
      <c r="BX174" s="37" t="s">
        <v>127</v>
      </c>
      <c r="BY174" s="37" t="s">
        <v>127</v>
      </c>
      <c r="BZ174" s="37" t="s">
        <v>155</v>
      </c>
      <c r="CA174" s="41">
        <v>811.16200000000003</v>
      </c>
      <c r="CB174" s="41">
        <v>864.44</v>
      </c>
      <c r="CC174" s="41">
        <v>5310.89</v>
      </c>
      <c r="CD174" s="41">
        <v>4743.49</v>
      </c>
      <c r="CE174" s="41">
        <v>2040.37</v>
      </c>
      <c r="CF174" s="110">
        <f>8402.41224279151-SUM(CF175:CF180)</f>
        <v>5946.7823323666471</v>
      </c>
      <c r="CG174" s="45">
        <v>0</v>
      </c>
      <c r="CH174" s="45" t="s">
        <v>137</v>
      </c>
      <c r="CI174" s="37" t="s">
        <v>127</v>
      </c>
      <c r="CJ174" s="77" t="s">
        <v>127</v>
      </c>
      <c r="CK174" s="98">
        <v>0.18140000000000001</v>
      </c>
      <c r="CL174" s="98">
        <v>0.81859999999999999</v>
      </c>
      <c r="CM174" s="100" t="s">
        <v>189</v>
      </c>
    </row>
    <row r="175" spans="1:91" ht="12.75" customHeight="1" x14ac:dyDescent="0.3">
      <c r="A175" s="37">
        <v>173</v>
      </c>
      <c r="B175" s="37" t="s">
        <v>957</v>
      </c>
      <c r="C175" s="124"/>
      <c r="D175" s="124"/>
      <c r="E175" s="37" t="s">
        <v>246</v>
      </c>
      <c r="F175" s="36" t="s">
        <v>958</v>
      </c>
      <c r="G175" s="81" t="s">
        <v>513</v>
      </c>
      <c r="H175" s="38" t="s">
        <v>130</v>
      </c>
      <c r="I175" s="38" t="s">
        <v>127</v>
      </c>
      <c r="J175" s="38" t="s">
        <v>127</v>
      </c>
      <c r="K175" s="38" t="s">
        <v>132</v>
      </c>
      <c r="L175" s="81" t="s">
        <v>959</v>
      </c>
      <c r="M175" s="38" t="s">
        <v>127</v>
      </c>
      <c r="N175" s="38" t="s">
        <v>127</v>
      </c>
      <c r="O175" s="80">
        <v>44362</v>
      </c>
      <c r="P175" s="37">
        <v>42.166666666666664</v>
      </c>
      <c r="Q175" s="37" t="s">
        <v>127</v>
      </c>
      <c r="R175" s="37" t="s">
        <v>127</v>
      </c>
      <c r="S175" s="37" t="s">
        <v>127</v>
      </c>
      <c r="T175" s="37" t="s">
        <v>315</v>
      </c>
      <c r="U175" s="37" t="s">
        <v>718</v>
      </c>
      <c r="V175" s="37" t="b">
        <v>0</v>
      </c>
      <c r="W175" s="37" t="s">
        <v>127</v>
      </c>
      <c r="X175" s="123"/>
      <c r="Y175" s="37">
        <v>0.3</v>
      </c>
      <c r="Z175" s="37" t="s">
        <v>127</v>
      </c>
      <c r="AA175" s="37">
        <v>69</v>
      </c>
      <c r="AB175" s="37" t="s">
        <v>127</v>
      </c>
      <c r="AC175" s="78">
        <v>1.2</v>
      </c>
      <c r="AD175" s="78">
        <v>2226442</v>
      </c>
      <c r="AE175" s="37" t="s">
        <v>960</v>
      </c>
      <c r="AF175" s="37">
        <v>21134</v>
      </c>
      <c r="AG175" s="37" t="s">
        <v>127</v>
      </c>
      <c r="AH175" s="37" t="b">
        <v>0</v>
      </c>
      <c r="AI175" s="76" t="s">
        <v>127</v>
      </c>
      <c r="AJ175" s="77" t="s">
        <v>142</v>
      </c>
      <c r="AK175" s="37" t="s">
        <v>127</v>
      </c>
      <c r="AL175" s="37" t="s">
        <v>127</v>
      </c>
      <c r="AM175" s="37" t="b">
        <v>0</v>
      </c>
      <c r="AN175" s="37" t="s">
        <v>127</v>
      </c>
      <c r="AO175" s="37" t="s">
        <v>127</v>
      </c>
      <c r="AP175" s="37" t="s">
        <v>127</v>
      </c>
      <c r="AQ175" s="37" t="b">
        <v>0</v>
      </c>
      <c r="AR175" s="37" t="s">
        <v>127</v>
      </c>
      <c r="AS175" s="37" t="s">
        <v>127</v>
      </c>
      <c r="AT175" s="37" t="s">
        <v>127</v>
      </c>
      <c r="AU175" s="37" t="s">
        <v>127</v>
      </c>
      <c r="AV175" s="37" t="s">
        <v>127</v>
      </c>
      <c r="AW175" s="37" t="s">
        <v>127</v>
      </c>
      <c r="AX175" s="37" t="s">
        <v>161</v>
      </c>
      <c r="AY175" s="37" t="s">
        <v>127</v>
      </c>
      <c r="AZ175" s="37" t="s">
        <v>127</v>
      </c>
      <c r="BA175" s="37" t="s">
        <v>127</v>
      </c>
      <c r="BB175" s="37" t="s">
        <v>460</v>
      </c>
      <c r="BC175" s="77" t="s">
        <v>127</v>
      </c>
      <c r="BD175" s="76" t="s">
        <v>961</v>
      </c>
      <c r="BE175" s="37" t="s">
        <v>127</v>
      </c>
      <c r="BF175" s="86" t="s">
        <v>962</v>
      </c>
      <c r="BG175" s="39" t="s">
        <v>127</v>
      </c>
      <c r="BH175" s="39" t="s">
        <v>127</v>
      </c>
      <c r="BI175" s="40" t="b">
        <v>1</v>
      </c>
      <c r="BJ175" s="40" t="s">
        <v>137</v>
      </c>
      <c r="BK175" s="37" t="s">
        <v>127</v>
      </c>
      <c r="BL175" s="41">
        <v>1007.80882</v>
      </c>
      <c r="BM175" s="41">
        <v>0</v>
      </c>
      <c r="BN175" s="41">
        <v>108.66757000000001</v>
      </c>
      <c r="BO175" s="41">
        <v>331.37825000000004</v>
      </c>
      <c r="BP175" s="41">
        <v>234.80506999999994</v>
      </c>
      <c r="BQ175" s="41">
        <v>274.59714999999989</v>
      </c>
      <c r="BR175" s="41">
        <v>58.360779999999998</v>
      </c>
      <c r="BS175" s="41">
        <v>0</v>
      </c>
      <c r="BT175" s="41">
        <v>0</v>
      </c>
      <c r="BU175" s="41">
        <v>0</v>
      </c>
      <c r="BV175" s="41">
        <v>0</v>
      </c>
      <c r="BW175" s="49">
        <v>1044.0532000000001</v>
      </c>
      <c r="BX175" s="37" t="s">
        <v>127</v>
      </c>
      <c r="BY175" s="37" t="s">
        <v>127</v>
      </c>
      <c r="BZ175" s="37" t="s">
        <v>173</v>
      </c>
      <c r="CA175" s="41">
        <v>0</v>
      </c>
      <c r="CB175" s="41">
        <v>0</v>
      </c>
      <c r="CC175" s="41">
        <v>0</v>
      </c>
      <c r="CD175" s="41">
        <v>0</v>
      </c>
      <c r="CE175" s="41">
        <v>0</v>
      </c>
      <c r="CF175" s="41">
        <v>58.360779999999998</v>
      </c>
      <c r="CG175" s="45">
        <v>0</v>
      </c>
      <c r="CH175" s="45">
        <v>0</v>
      </c>
      <c r="CI175" s="37" t="s">
        <v>127</v>
      </c>
      <c r="CJ175" s="77" t="s">
        <v>127</v>
      </c>
      <c r="CK175" s="98">
        <v>0.18140000000000001</v>
      </c>
      <c r="CL175" s="98">
        <v>0.81859999999999999</v>
      </c>
      <c r="CM175" s="100" t="s">
        <v>189</v>
      </c>
    </row>
    <row r="176" spans="1:91" ht="12.75" customHeight="1" x14ac:dyDescent="0.3">
      <c r="A176" s="37">
        <v>174</v>
      </c>
      <c r="B176" s="37" t="s">
        <v>963</v>
      </c>
      <c r="C176" s="124"/>
      <c r="D176" s="124"/>
      <c r="E176" s="37" t="s">
        <v>964</v>
      </c>
      <c r="F176" s="36" t="s">
        <v>965</v>
      </c>
      <c r="G176" s="81" t="s">
        <v>513</v>
      </c>
      <c r="H176" s="38" t="s">
        <v>130</v>
      </c>
      <c r="I176" s="38" t="s">
        <v>127</v>
      </c>
      <c r="J176" s="38" t="s">
        <v>127</v>
      </c>
      <c r="K176" s="38" t="s">
        <v>132</v>
      </c>
      <c r="L176" s="81" t="s">
        <v>959</v>
      </c>
      <c r="M176" s="38" t="s">
        <v>127</v>
      </c>
      <c r="N176" s="38" t="s">
        <v>127</v>
      </c>
      <c r="O176" s="76">
        <v>44817</v>
      </c>
      <c r="P176" s="37">
        <v>35</v>
      </c>
      <c r="Q176" s="37" t="s">
        <v>127</v>
      </c>
      <c r="R176" s="37" t="s">
        <v>127</v>
      </c>
      <c r="S176" s="37" t="s">
        <v>127</v>
      </c>
      <c r="T176" s="37" t="s">
        <v>315</v>
      </c>
      <c r="U176" s="37" t="s">
        <v>718</v>
      </c>
      <c r="V176" s="37" t="b">
        <v>0</v>
      </c>
      <c r="W176" s="37" t="s">
        <v>127</v>
      </c>
      <c r="X176" s="123"/>
      <c r="Y176" s="37">
        <v>0.42</v>
      </c>
      <c r="Z176" s="37" t="s">
        <v>127</v>
      </c>
      <c r="AA176" s="37">
        <v>69</v>
      </c>
      <c r="AB176" s="37" t="s">
        <v>127</v>
      </c>
      <c r="AC176" s="78">
        <v>1.2</v>
      </c>
      <c r="AD176" s="78">
        <v>2366442</v>
      </c>
      <c r="AE176" s="37" t="s">
        <v>966</v>
      </c>
      <c r="AF176" s="37">
        <v>21134</v>
      </c>
      <c r="AG176" s="37" t="s">
        <v>127</v>
      </c>
      <c r="AH176" s="37" t="b">
        <v>0</v>
      </c>
      <c r="AI176" s="76" t="s">
        <v>127</v>
      </c>
      <c r="AJ176" s="77" t="s">
        <v>142</v>
      </c>
      <c r="AK176" s="37" t="s">
        <v>127</v>
      </c>
      <c r="AL176" s="37" t="s">
        <v>127</v>
      </c>
      <c r="AM176" s="37" t="b">
        <v>0</v>
      </c>
      <c r="AN176" s="37" t="s">
        <v>127</v>
      </c>
      <c r="AO176" s="37" t="s">
        <v>127</v>
      </c>
      <c r="AP176" s="37" t="s">
        <v>127</v>
      </c>
      <c r="AQ176" s="37" t="b">
        <v>0</v>
      </c>
      <c r="AR176" s="37" t="s">
        <v>127</v>
      </c>
      <c r="AS176" s="37" t="s">
        <v>127</v>
      </c>
      <c r="AT176" s="37" t="s">
        <v>127</v>
      </c>
      <c r="AU176" s="37" t="s">
        <v>127</v>
      </c>
      <c r="AV176" s="37" t="s">
        <v>127</v>
      </c>
      <c r="AW176" s="37" t="s">
        <v>127</v>
      </c>
      <c r="AX176" s="37" t="s">
        <v>161</v>
      </c>
      <c r="AY176" s="37" t="s">
        <v>127</v>
      </c>
      <c r="AZ176" s="37" t="s">
        <v>127</v>
      </c>
      <c r="BA176" s="37" t="s">
        <v>127</v>
      </c>
      <c r="BB176" s="37" t="s">
        <v>812</v>
      </c>
      <c r="BC176" s="77" t="s">
        <v>127</v>
      </c>
      <c r="BD176" s="37" t="s">
        <v>967</v>
      </c>
      <c r="BE176" s="37" t="s">
        <v>127</v>
      </c>
      <c r="BF176" s="37" t="s">
        <v>968</v>
      </c>
      <c r="BG176" s="39" t="s">
        <v>127</v>
      </c>
      <c r="BH176" s="39" t="s">
        <v>127</v>
      </c>
      <c r="BI176" s="40" t="b">
        <v>1</v>
      </c>
      <c r="BJ176" s="40" t="s">
        <v>137</v>
      </c>
      <c r="BK176" s="37" t="s">
        <v>127</v>
      </c>
      <c r="BL176" s="41">
        <v>1283.4982600000003</v>
      </c>
      <c r="BM176" s="41">
        <v>0</v>
      </c>
      <c r="BN176" s="41">
        <v>79.089559999999992</v>
      </c>
      <c r="BO176" s="41">
        <v>198.28879999999995</v>
      </c>
      <c r="BP176" s="41">
        <v>243.34522000000004</v>
      </c>
      <c r="BQ176" s="41">
        <v>930.93364000000008</v>
      </c>
      <c r="BR176" s="41">
        <v>-168.15895999999995</v>
      </c>
      <c r="BS176" s="41">
        <v>0</v>
      </c>
      <c r="BT176" s="41">
        <v>0</v>
      </c>
      <c r="BU176" s="41">
        <v>0</v>
      </c>
      <c r="BV176" s="41">
        <v>0</v>
      </c>
      <c r="BW176" s="49">
        <v>0</v>
      </c>
      <c r="BX176" s="37" t="s">
        <v>127</v>
      </c>
      <c r="BY176" s="37" t="s">
        <v>127</v>
      </c>
      <c r="BZ176" s="37" t="s">
        <v>198</v>
      </c>
      <c r="CA176" s="41">
        <v>0</v>
      </c>
      <c r="CB176" s="41">
        <v>0</v>
      </c>
      <c r="CC176" s="41">
        <v>0</v>
      </c>
      <c r="CD176" s="41">
        <v>1384.85</v>
      </c>
      <c r="CE176" s="41">
        <v>-148.91999999999999</v>
      </c>
      <c r="CF176" s="41">
        <v>1233.9857999999999</v>
      </c>
      <c r="CG176" s="45">
        <v>0</v>
      </c>
      <c r="CH176" s="45">
        <v>0</v>
      </c>
      <c r="CI176" s="37" t="s">
        <v>127</v>
      </c>
      <c r="CJ176" s="77" t="s">
        <v>127</v>
      </c>
      <c r="CK176" s="98">
        <v>0.18140000000000001</v>
      </c>
      <c r="CL176" s="98">
        <v>0.81859999999999999</v>
      </c>
      <c r="CM176" s="100" t="s">
        <v>189</v>
      </c>
    </row>
    <row r="177" spans="1:91" ht="12.75" customHeight="1" x14ac:dyDescent="0.3">
      <c r="A177" s="37">
        <v>175</v>
      </c>
      <c r="B177" s="37" t="s">
        <v>969</v>
      </c>
      <c r="C177" s="124"/>
      <c r="D177" s="124"/>
      <c r="E177" s="37" t="s">
        <v>246</v>
      </c>
      <c r="F177" s="36" t="s">
        <v>970</v>
      </c>
      <c r="G177" s="81" t="s">
        <v>513</v>
      </c>
      <c r="H177" s="38" t="s">
        <v>130</v>
      </c>
      <c r="I177" s="38" t="s">
        <v>127</v>
      </c>
      <c r="J177" s="38" t="s">
        <v>127</v>
      </c>
      <c r="K177" s="38" t="s">
        <v>132</v>
      </c>
      <c r="L177" s="81" t="s">
        <v>959</v>
      </c>
      <c r="M177" s="38" t="s">
        <v>127</v>
      </c>
      <c r="N177" s="38" t="s">
        <v>127</v>
      </c>
      <c r="O177" s="76">
        <v>45213</v>
      </c>
      <c r="P177" s="37">
        <v>20</v>
      </c>
      <c r="Q177" s="37" t="s">
        <v>127</v>
      </c>
      <c r="R177" s="37" t="s">
        <v>127</v>
      </c>
      <c r="S177" s="37" t="s">
        <v>127</v>
      </c>
      <c r="T177" s="37" t="s">
        <v>315</v>
      </c>
      <c r="U177" s="37" t="s">
        <v>718</v>
      </c>
      <c r="V177" s="37" t="b">
        <v>0</v>
      </c>
      <c r="W177" s="37" t="s">
        <v>127</v>
      </c>
      <c r="X177" s="123"/>
      <c r="Y177" s="37">
        <v>0.1</v>
      </c>
      <c r="Z177" s="37" t="s">
        <v>127</v>
      </c>
      <c r="AA177" s="37">
        <v>69</v>
      </c>
      <c r="AB177" s="37" t="s">
        <v>127</v>
      </c>
      <c r="AC177" s="78">
        <v>1.2</v>
      </c>
      <c r="AD177" s="78">
        <v>2464878</v>
      </c>
      <c r="AE177" s="37" t="s">
        <v>971</v>
      </c>
      <c r="AF177" s="37">
        <v>21134</v>
      </c>
      <c r="AG177" s="37" t="s">
        <v>127</v>
      </c>
      <c r="AH177" s="37" t="b">
        <v>0</v>
      </c>
      <c r="AI177" s="76" t="s">
        <v>127</v>
      </c>
      <c r="AJ177" s="77" t="s">
        <v>142</v>
      </c>
      <c r="AK177" s="37" t="s">
        <v>127</v>
      </c>
      <c r="AL177" s="37" t="s">
        <v>127</v>
      </c>
      <c r="AM177" s="37" t="b">
        <v>0</v>
      </c>
      <c r="AN177" s="37" t="s">
        <v>127</v>
      </c>
      <c r="AO177" s="37" t="s">
        <v>127</v>
      </c>
      <c r="AP177" s="37" t="s">
        <v>127</v>
      </c>
      <c r="AQ177" s="37" t="b">
        <v>0</v>
      </c>
      <c r="AR177" s="37" t="s">
        <v>127</v>
      </c>
      <c r="AS177" s="37" t="s">
        <v>127</v>
      </c>
      <c r="AT177" s="37" t="s">
        <v>127</v>
      </c>
      <c r="AU177" s="37" t="s">
        <v>127</v>
      </c>
      <c r="AV177" s="37" t="s">
        <v>127</v>
      </c>
      <c r="AW177" s="37" t="s">
        <v>127</v>
      </c>
      <c r="AX177" s="37" t="s">
        <v>161</v>
      </c>
      <c r="AY177" s="37" t="s">
        <v>972</v>
      </c>
      <c r="AZ177" s="37" t="s">
        <v>973</v>
      </c>
      <c r="BA177" s="37">
        <v>2023</v>
      </c>
      <c r="BB177" s="37" t="s">
        <v>219</v>
      </c>
      <c r="BC177" s="77" t="s">
        <v>127</v>
      </c>
      <c r="BD177" s="76" t="s">
        <v>974</v>
      </c>
      <c r="BE177" s="37" t="s">
        <v>127</v>
      </c>
      <c r="BF177" s="86" t="s">
        <v>975</v>
      </c>
      <c r="BG177" s="39" t="s">
        <v>127</v>
      </c>
      <c r="BH177" s="39" t="s">
        <v>127</v>
      </c>
      <c r="BI177" s="40" t="b">
        <v>1</v>
      </c>
      <c r="BJ177" s="40" t="s">
        <v>137</v>
      </c>
      <c r="BK177" s="37" t="s">
        <v>127</v>
      </c>
      <c r="BL177" s="41">
        <v>1290.3288104248636</v>
      </c>
      <c r="BM177" s="41">
        <v>0</v>
      </c>
      <c r="BN177" s="41">
        <v>0</v>
      </c>
      <c r="BO177" s="41">
        <v>56.132259999999995</v>
      </c>
      <c r="BP177" s="41">
        <v>195.68887999999998</v>
      </c>
      <c r="BQ177" s="41">
        <v>684.12300000000005</v>
      </c>
      <c r="BR177" s="41">
        <v>354.38467042486349</v>
      </c>
      <c r="BS177" s="41">
        <v>0</v>
      </c>
      <c r="BT177" s="41">
        <v>0</v>
      </c>
      <c r="BU177" s="41">
        <v>0</v>
      </c>
      <c r="BV177" s="41">
        <v>0</v>
      </c>
      <c r="BW177" s="49">
        <v>1163.7155499999999</v>
      </c>
      <c r="BX177" s="37" t="s">
        <v>127</v>
      </c>
      <c r="BY177" s="37" t="s">
        <v>127</v>
      </c>
      <c r="BZ177" s="37" t="s">
        <v>173</v>
      </c>
      <c r="CA177" s="41">
        <v>0</v>
      </c>
      <c r="CB177" s="41">
        <v>0</v>
      </c>
      <c r="CC177" s="41">
        <v>0</v>
      </c>
      <c r="CD177" s="41">
        <v>0</v>
      </c>
      <c r="CE177" s="41">
        <v>0</v>
      </c>
      <c r="CF177" s="41">
        <v>1163.2833304248634</v>
      </c>
      <c r="CG177" s="45">
        <v>0</v>
      </c>
      <c r="CH177" s="45">
        <v>0</v>
      </c>
      <c r="CI177" s="37" t="s">
        <v>127</v>
      </c>
      <c r="CJ177" s="77" t="s">
        <v>127</v>
      </c>
      <c r="CK177" s="98">
        <v>0.18140000000000001</v>
      </c>
      <c r="CL177" s="98">
        <v>0.81859999999999999</v>
      </c>
      <c r="CM177" s="100" t="s">
        <v>189</v>
      </c>
    </row>
    <row r="178" spans="1:91" ht="12.75" customHeight="1" x14ac:dyDescent="0.3">
      <c r="A178" s="37">
        <v>176</v>
      </c>
      <c r="B178" s="37" t="s">
        <v>976</v>
      </c>
      <c r="C178" s="124"/>
      <c r="D178" s="124"/>
      <c r="E178" s="37" t="s">
        <v>977</v>
      </c>
      <c r="F178" s="36" t="s">
        <v>978</v>
      </c>
      <c r="G178" s="81" t="s">
        <v>979</v>
      </c>
      <c r="H178" s="93" t="s">
        <v>227</v>
      </c>
      <c r="I178" s="38" t="s">
        <v>127</v>
      </c>
      <c r="J178" s="38" t="s">
        <v>127</v>
      </c>
      <c r="K178" s="38" t="s">
        <v>980</v>
      </c>
      <c r="L178" s="89" t="s">
        <v>213</v>
      </c>
      <c r="M178" s="38" t="s">
        <v>127</v>
      </c>
      <c r="N178" s="38" t="s">
        <v>127</v>
      </c>
      <c r="O178" s="76">
        <v>45421</v>
      </c>
      <c r="P178" s="37" t="s">
        <v>127</v>
      </c>
      <c r="Q178" s="37" t="s">
        <v>127</v>
      </c>
      <c r="R178" s="37" t="s">
        <v>127</v>
      </c>
      <c r="S178" s="37" t="s">
        <v>127</v>
      </c>
      <c r="T178" s="37" t="s">
        <v>315</v>
      </c>
      <c r="U178" s="37" t="s">
        <v>981</v>
      </c>
      <c r="V178" s="37" t="b">
        <v>0</v>
      </c>
      <c r="W178" s="37" t="s">
        <v>127</v>
      </c>
      <c r="X178" s="123"/>
      <c r="Y178" s="37" t="s">
        <v>127</v>
      </c>
      <c r="Z178" s="37" t="s">
        <v>127</v>
      </c>
      <c r="AA178" s="37" t="s">
        <v>127</v>
      </c>
      <c r="AB178" s="37" t="s">
        <v>127</v>
      </c>
      <c r="AC178" s="78">
        <v>1.2</v>
      </c>
      <c r="AD178" s="78">
        <v>2652098</v>
      </c>
      <c r="AE178" s="37" t="s">
        <v>982</v>
      </c>
      <c r="AF178" s="37">
        <v>21134</v>
      </c>
      <c r="AG178" s="37" t="s">
        <v>127</v>
      </c>
      <c r="AH178" s="37" t="b">
        <v>0</v>
      </c>
      <c r="AI178" s="76" t="s">
        <v>127</v>
      </c>
      <c r="AJ178" s="77" t="s">
        <v>142</v>
      </c>
      <c r="AK178" s="37" t="s">
        <v>127</v>
      </c>
      <c r="AL178" s="37" t="s">
        <v>127</v>
      </c>
      <c r="AM178" s="37" t="b">
        <v>0</v>
      </c>
      <c r="AN178" s="37" t="s">
        <v>127</v>
      </c>
      <c r="AO178" s="37" t="s">
        <v>127</v>
      </c>
      <c r="AP178" s="37" t="s">
        <v>127</v>
      </c>
      <c r="AQ178" s="37" t="b">
        <v>0</v>
      </c>
      <c r="AR178" s="37" t="s">
        <v>127</v>
      </c>
      <c r="AS178" s="37" t="s">
        <v>127</v>
      </c>
      <c r="AT178" s="37" t="s">
        <v>127</v>
      </c>
      <c r="AU178" s="37" t="s">
        <v>127</v>
      </c>
      <c r="AV178" s="37" t="s">
        <v>127</v>
      </c>
      <c r="AW178" s="37" t="s">
        <v>127</v>
      </c>
      <c r="AX178" s="37" t="s">
        <v>127</v>
      </c>
      <c r="AY178" s="37" t="s">
        <v>127</v>
      </c>
      <c r="AZ178" s="37" t="s">
        <v>127</v>
      </c>
      <c r="BA178" s="37" t="s">
        <v>127</v>
      </c>
      <c r="BB178" s="37" t="s">
        <v>127</v>
      </c>
      <c r="BC178" s="77" t="s">
        <v>127</v>
      </c>
      <c r="BD178" s="76" t="s">
        <v>127</v>
      </c>
      <c r="BE178" s="37" t="s">
        <v>127</v>
      </c>
      <c r="BF178" s="37" t="s">
        <v>127</v>
      </c>
      <c r="BG178" s="39" t="s">
        <v>127</v>
      </c>
      <c r="BH178" s="39" t="s">
        <v>127</v>
      </c>
      <c r="BI178" s="40" t="b">
        <v>0</v>
      </c>
      <c r="BJ178" s="40" t="s">
        <v>137</v>
      </c>
      <c r="BK178" s="37" t="s">
        <v>127</v>
      </c>
      <c r="BL178" s="41">
        <v>1018.0544199999999</v>
      </c>
      <c r="BM178" s="41">
        <v>861.471</v>
      </c>
      <c r="BN178" s="41">
        <v>153.79604</v>
      </c>
      <c r="BO178" s="41">
        <v>2.7873800000000002</v>
      </c>
      <c r="BP178" s="41">
        <v>0</v>
      </c>
      <c r="BQ178" s="41">
        <v>0</v>
      </c>
      <c r="BR178" s="41">
        <v>0</v>
      </c>
      <c r="BS178" s="41">
        <v>0</v>
      </c>
      <c r="BT178" s="41">
        <v>0</v>
      </c>
      <c r="BU178" s="41">
        <v>0</v>
      </c>
      <c r="BV178" s="41">
        <v>0</v>
      </c>
      <c r="BW178" s="49">
        <v>0</v>
      </c>
      <c r="BX178" s="37" t="s">
        <v>127</v>
      </c>
      <c r="BY178" s="37" t="s">
        <v>127</v>
      </c>
      <c r="BZ178" s="37" t="s">
        <v>207</v>
      </c>
      <c r="CA178" s="41">
        <v>1015.2670000000001</v>
      </c>
      <c r="CB178" s="41">
        <v>2.79</v>
      </c>
      <c r="CC178" s="41">
        <v>0</v>
      </c>
      <c r="CD178" s="41">
        <v>0</v>
      </c>
      <c r="CE178" s="41">
        <v>0</v>
      </c>
      <c r="CF178" s="41">
        <v>0</v>
      </c>
      <c r="CG178" s="45">
        <v>0</v>
      </c>
      <c r="CH178" s="45">
        <v>0</v>
      </c>
      <c r="CI178" s="37" t="s">
        <v>127</v>
      </c>
      <c r="CJ178" s="77" t="s">
        <v>127</v>
      </c>
      <c r="CK178" s="98">
        <v>0.18140000000000001</v>
      </c>
      <c r="CL178" s="98">
        <v>0.81859999999999999</v>
      </c>
      <c r="CM178" s="100" t="s">
        <v>189</v>
      </c>
    </row>
    <row r="179" spans="1:91" ht="12.75" customHeight="1" x14ac:dyDescent="0.3">
      <c r="A179" s="37">
        <v>177</v>
      </c>
      <c r="B179" s="37" t="s">
        <v>983</v>
      </c>
      <c r="C179" s="124"/>
      <c r="D179" s="124"/>
      <c r="E179" s="37" t="s">
        <v>964</v>
      </c>
      <c r="F179" s="36" t="s">
        <v>984</v>
      </c>
      <c r="G179" s="81" t="s">
        <v>513</v>
      </c>
      <c r="H179" s="38" t="s">
        <v>130</v>
      </c>
      <c r="I179" s="38" t="s">
        <v>127</v>
      </c>
      <c r="J179" s="38" t="s">
        <v>127</v>
      </c>
      <c r="K179" s="38" t="s">
        <v>132</v>
      </c>
      <c r="L179" s="81" t="s">
        <v>959</v>
      </c>
      <c r="M179" s="38" t="s">
        <v>127</v>
      </c>
      <c r="N179" s="38" t="s">
        <v>127</v>
      </c>
      <c r="O179" s="80">
        <v>44350</v>
      </c>
      <c r="P179" s="37">
        <v>13.916666666666666</v>
      </c>
      <c r="Q179" s="37" t="s">
        <v>127</v>
      </c>
      <c r="R179" s="37" t="s">
        <v>127</v>
      </c>
      <c r="S179" s="37" t="s">
        <v>127</v>
      </c>
      <c r="T179" s="37" t="s">
        <v>315</v>
      </c>
      <c r="U179" s="37" t="s">
        <v>718</v>
      </c>
      <c r="V179" s="37" t="b">
        <v>0</v>
      </c>
      <c r="W179" s="37" t="s">
        <v>127</v>
      </c>
      <c r="X179" s="123"/>
      <c r="Y179" s="37">
        <v>4.88</v>
      </c>
      <c r="Z179" s="37" t="s">
        <v>127</v>
      </c>
      <c r="AA179" s="37">
        <v>69</v>
      </c>
      <c r="AB179" s="37" t="s">
        <v>127</v>
      </c>
      <c r="AC179" s="78">
        <v>1.2</v>
      </c>
      <c r="AD179" s="78">
        <v>2986160</v>
      </c>
      <c r="AE179" s="37" t="s">
        <v>985</v>
      </c>
      <c r="AF179" s="37">
        <v>21134</v>
      </c>
      <c r="AG179" s="37" t="s">
        <v>127</v>
      </c>
      <c r="AH179" s="37" t="b">
        <v>0</v>
      </c>
      <c r="AI179" s="76" t="s">
        <v>127</v>
      </c>
      <c r="AJ179" s="77" t="s">
        <v>142</v>
      </c>
      <c r="AK179" s="37" t="s">
        <v>127</v>
      </c>
      <c r="AL179" s="37" t="s">
        <v>127</v>
      </c>
      <c r="AM179" s="37" t="b">
        <v>0</v>
      </c>
      <c r="AN179" s="37" t="s">
        <v>127</v>
      </c>
      <c r="AO179" s="37" t="s">
        <v>127</v>
      </c>
      <c r="AP179" s="37" t="s">
        <v>127</v>
      </c>
      <c r="AQ179" s="37" t="b">
        <v>0</v>
      </c>
      <c r="AR179" s="37" t="s">
        <v>127</v>
      </c>
      <c r="AS179" s="37" t="s">
        <v>127</v>
      </c>
      <c r="AT179" s="37" t="s">
        <v>127</v>
      </c>
      <c r="AU179" s="37" t="s">
        <v>127</v>
      </c>
      <c r="AV179" s="37" t="s">
        <v>127</v>
      </c>
      <c r="AW179" s="37" t="s">
        <v>127</v>
      </c>
      <c r="AX179" s="37" t="s">
        <v>161</v>
      </c>
      <c r="AY179" s="37" t="s">
        <v>986</v>
      </c>
      <c r="AZ179" s="37" t="s">
        <v>973</v>
      </c>
      <c r="BA179" s="37">
        <v>2019</v>
      </c>
      <c r="BB179" s="37" t="s">
        <v>143</v>
      </c>
      <c r="BC179" s="77" t="s">
        <v>127</v>
      </c>
      <c r="BD179" s="76" t="s">
        <v>987</v>
      </c>
      <c r="BE179" s="37" t="s">
        <v>127</v>
      </c>
      <c r="BF179" s="86" t="s">
        <v>988</v>
      </c>
      <c r="BG179" s="39" t="s">
        <v>127</v>
      </c>
      <c r="BH179" s="39" t="s">
        <v>127</v>
      </c>
      <c r="BI179" s="40" t="b">
        <v>0</v>
      </c>
      <c r="BJ179" s="40" t="s">
        <v>137</v>
      </c>
      <c r="BK179" s="37" t="s">
        <v>127</v>
      </c>
      <c r="BL179" s="41">
        <v>2095.3335500000003</v>
      </c>
      <c r="BM179" s="41">
        <v>7.14229</v>
      </c>
      <c r="BN179" s="41">
        <v>2046.09592</v>
      </c>
      <c r="BO179" s="41">
        <v>0</v>
      </c>
      <c r="BP179" s="41">
        <v>0</v>
      </c>
      <c r="BQ179" s="41">
        <v>5.8681599999999996</v>
      </c>
      <c r="BR179" s="41">
        <v>0</v>
      </c>
      <c r="BS179" s="41">
        <v>0</v>
      </c>
      <c r="BT179" s="41">
        <v>0</v>
      </c>
      <c r="BU179" s="41">
        <v>0</v>
      </c>
      <c r="BV179" s="41">
        <v>0</v>
      </c>
      <c r="BW179" s="49">
        <v>0</v>
      </c>
      <c r="BX179" s="37" t="s">
        <v>127</v>
      </c>
      <c r="BY179" s="37" t="s">
        <v>127</v>
      </c>
      <c r="BZ179" s="37" t="s">
        <v>989</v>
      </c>
      <c r="CA179" s="41">
        <v>168.54</v>
      </c>
      <c r="CB179" s="41">
        <v>0</v>
      </c>
      <c r="CC179" s="41">
        <v>0</v>
      </c>
      <c r="CD179" s="41">
        <v>0.28999999999999998</v>
      </c>
      <c r="CE179" s="41">
        <v>0</v>
      </c>
      <c r="CF179" s="41">
        <v>0</v>
      </c>
      <c r="CG179" s="45">
        <v>0</v>
      </c>
      <c r="CH179" s="45">
        <v>0</v>
      </c>
      <c r="CI179" s="37" t="s">
        <v>127</v>
      </c>
      <c r="CJ179" s="77" t="s">
        <v>127</v>
      </c>
      <c r="CK179" s="98">
        <v>0.18140000000000001</v>
      </c>
      <c r="CL179" s="98">
        <v>0.81859999999999999</v>
      </c>
      <c r="CM179" s="100" t="s">
        <v>189</v>
      </c>
    </row>
    <row r="180" spans="1:91" ht="12.75" customHeight="1" x14ac:dyDescent="0.3">
      <c r="A180" s="37">
        <v>178</v>
      </c>
      <c r="B180" s="37" t="s">
        <v>990</v>
      </c>
      <c r="C180" s="124"/>
      <c r="D180" s="124"/>
      <c r="E180" s="37" t="s">
        <v>991</v>
      </c>
      <c r="F180" s="36" t="s">
        <v>992</v>
      </c>
      <c r="G180" s="81" t="s">
        <v>979</v>
      </c>
      <c r="H180" s="38" t="s">
        <v>130</v>
      </c>
      <c r="I180" s="38" t="s">
        <v>127</v>
      </c>
      <c r="J180" s="38" t="s">
        <v>127</v>
      </c>
      <c r="K180" s="38" t="s">
        <v>132</v>
      </c>
      <c r="L180" s="81" t="s">
        <v>993</v>
      </c>
      <c r="M180" s="38" t="s">
        <v>127</v>
      </c>
      <c r="N180" s="38" t="s">
        <v>127</v>
      </c>
      <c r="O180" s="76">
        <v>44742</v>
      </c>
      <c r="P180" s="37" t="s">
        <v>135</v>
      </c>
      <c r="Q180" s="37" t="s">
        <v>127</v>
      </c>
      <c r="R180" s="37" t="s">
        <v>127</v>
      </c>
      <c r="S180" s="37" t="s">
        <v>127</v>
      </c>
      <c r="T180" s="37" t="s">
        <v>315</v>
      </c>
      <c r="U180" s="37" t="s">
        <v>718</v>
      </c>
      <c r="V180" s="37" t="b">
        <v>0</v>
      </c>
      <c r="W180" s="37" t="s">
        <v>127</v>
      </c>
      <c r="X180" s="123"/>
      <c r="Y180" s="37">
        <v>3.77</v>
      </c>
      <c r="Z180" s="37" t="s">
        <v>127</v>
      </c>
      <c r="AA180" s="37">
        <v>138</v>
      </c>
      <c r="AB180" s="37" t="s">
        <v>127</v>
      </c>
      <c r="AC180" s="78">
        <v>1.2</v>
      </c>
      <c r="AD180" s="78">
        <v>2990000</v>
      </c>
      <c r="AE180" s="37" t="s">
        <v>994</v>
      </c>
      <c r="AF180" s="37">
        <v>21134</v>
      </c>
      <c r="AG180" s="37" t="s">
        <v>127</v>
      </c>
      <c r="AH180" s="37" t="b">
        <v>0</v>
      </c>
      <c r="AI180" s="76" t="s">
        <v>127</v>
      </c>
      <c r="AJ180" s="77" t="s">
        <v>142</v>
      </c>
      <c r="AK180" s="37" t="s">
        <v>127</v>
      </c>
      <c r="AL180" s="37" t="s">
        <v>127</v>
      </c>
      <c r="AM180" s="37" t="b">
        <v>0</v>
      </c>
      <c r="AN180" s="37" t="s">
        <v>127</v>
      </c>
      <c r="AO180" s="37" t="s">
        <v>127</v>
      </c>
      <c r="AP180" s="37" t="s">
        <v>127</v>
      </c>
      <c r="AQ180" s="37" t="b">
        <v>0</v>
      </c>
      <c r="AR180" s="37" t="s">
        <v>127</v>
      </c>
      <c r="AS180" s="37" t="s">
        <v>127</v>
      </c>
      <c r="AT180" s="37" t="s">
        <v>127</v>
      </c>
      <c r="AU180" s="37" t="s">
        <v>127</v>
      </c>
      <c r="AV180" s="37" t="s">
        <v>127</v>
      </c>
      <c r="AW180" s="37" t="s">
        <v>127</v>
      </c>
      <c r="AX180" s="37" t="s">
        <v>161</v>
      </c>
      <c r="AY180" s="37" t="s">
        <v>127</v>
      </c>
      <c r="AZ180" s="37" t="s">
        <v>127</v>
      </c>
      <c r="BA180" s="37" t="s">
        <v>127</v>
      </c>
      <c r="BB180" s="37" t="s">
        <v>143</v>
      </c>
      <c r="BC180" s="77" t="s">
        <v>127</v>
      </c>
      <c r="BD180" s="76" t="s">
        <v>995</v>
      </c>
      <c r="BE180" s="37" t="s">
        <v>127</v>
      </c>
      <c r="BF180" s="86" t="s">
        <v>996</v>
      </c>
      <c r="BG180" s="39" t="s">
        <v>127</v>
      </c>
      <c r="BH180" s="39" t="s">
        <v>127</v>
      </c>
      <c r="BI180" s="40" t="b">
        <v>0</v>
      </c>
      <c r="BJ180" s="40" t="s">
        <v>137</v>
      </c>
      <c r="BK180" s="37" t="s">
        <v>127</v>
      </c>
      <c r="BL180" s="41">
        <v>1182.6238900000001</v>
      </c>
      <c r="BM180" s="41">
        <v>15.359480000000005</v>
      </c>
      <c r="BN180" s="41">
        <v>213.28485999999995</v>
      </c>
      <c r="BO180" s="41">
        <v>925.28756999999996</v>
      </c>
      <c r="BP180" s="41">
        <v>6.1317200000000014</v>
      </c>
      <c r="BQ180" s="41">
        <v>0</v>
      </c>
      <c r="BR180" s="41">
        <v>0</v>
      </c>
      <c r="BS180" s="41">
        <v>0</v>
      </c>
      <c r="BT180" s="41">
        <v>0</v>
      </c>
      <c r="BU180" s="41">
        <v>0</v>
      </c>
      <c r="BV180" s="41">
        <v>0</v>
      </c>
      <c r="BW180" s="49">
        <v>0</v>
      </c>
      <c r="BX180" s="37" t="s">
        <v>127</v>
      </c>
      <c r="BY180" s="37" t="s">
        <v>127</v>
      </c>
      <c r="BZ180" s="37" t="s">
        <v>264</v>
      </c>
      <c r="CA180" s="41">
        <v>0</v>
      </c>
      <c r="CB180" s="41">
        <v>906.92</v>
      </c>
      <c r="CC180" s="41">
        <v>4.91</v>
      </c>
      <c r="CD180" s="41">
        <v>0</v>
      </c>
      <c r="CE180" s="41">
        <v>0</v>
      </c>
      <c r="CF180" s="41">
        <v>0</v>
      </c>
      <c r="CG180" s="45">
        <v>0</v>
      </c>
      <c r="CH180" s="45">
        <v>0</v>
      </c>
      <c r="CI180" s="37" t="s">
        <v>127</v>
      </c>
      <c r="CJ180" s="77" t="s">
        <v>127</v>
      </c>
      <c r="CK180" s="98">
        <v>0.18140000000000001</v>
      </c>
      <c r="CL180" s="98">
        <v>0.81859999999999999</v>
      </c>
      <c r="CM180" s="100" t="s">
        <v>189</v>
      </c>
    </row>
    <row r="181" spans="1:91" ht="12.75" customHeight="1" x14ac:dyDescent="0.3">
      <c r="A181" s="37">
        <v>179</v>
      </c>
      <c r="B181" s="37" t="s">
        <v>997</v>
      </c>
      <c r="C181" s="125"/>
      <c r="D181" s="123"/>
      <c r="E181" s="77" t="s">
        <v>127</v>
      </c>
      <c r="F181" s="36" t="s">
        <v>998</v>
      </c>
      <c r="G181" s="75" t="s">
        <v>129</v>
      </c>
      <c r="H181" s="37" t="s">
        <v>130</v>
      </c>
      <c r="I181" s="37" t="s">
        <v>131</v>
      </c>
      <c r="J181" s="37" t="s">
        <v>127</v>
      </c>
      <c r="K181" s="37" t="s">
        <v>132</v>
      </c>
      <c r="L181" s="75" t="s">
        <v>133</v>
      </c>
      <c r="M181" s="37" t="s">
        <v>127</v>
      </c>
      <c r="N181" s="37" t="s">
        <v>127</v>
      </c>
      <c r="O181" s="76" t="s">
        <v>127</v>
      </c>
      <c r="P181" s="37" t="s">
        <v>135</v>
      </c>
      <c r="Q181" s="37" t="s">
        <v>127</v>
      </c>
      <c r="R181" s="37" t="s">
        <v>127</v>
      </c>
      <c r="S181" s="37" t="s">
        <v>127</v>
      </c>
      <c r="T181" s="37" t="s">
        <v>127</v>
      </c>
      <c r="U181" s="37" t="s">
        <v>136</v>
      </c>
      <c r="V181" s="37" t="b">
        <v>0</v>
      </c>
      <c r="W181" s="77" t="s">
        <v>127</v>
      </c>
      <c r="X181" s="123"/>
      <c r="Y181" s="37" t="s">
        <v>137</v>
      </c>
      <c r="Z181" s="37" t="s">
        <v>137</v>
      </c>
      <c r="AA181" s="37" t="s">
        <v>956</v>
      </c>
      <c r="AB181" s="37" t="s">
        <v>127</v>
      </c>
      <c r="AC181" s="78">
        <v>4.0999999999999996</v>
      </c>
      <c r="AD181" s="78" t="s">
        <v>139</v>
      </c>
      <c r="AE181" s="37" t="s">
        <v>140</v>
      </c>
      <c r="AF181" s="37">
        <v>21135</v>
      </c>
      <c r="AG181" s="37" t="s">
        <v>141</v>
      </c>
      <c r="AH181" s="37" t="b">
        <v>1</v>
      </c>
      <c r="AI181" s="76">
        <v>45257</v>
      </c>
      <c r="AJ181" s="77" t="s">
        <v>142</v>
      </c>
      <c r="AK181" s="37" t="s">
        <v>127</v>
      </c>
      <c r="AL181" s="37" t="s">
        <v>127</v>
      </c>
      <c r="AM181" s="37" t="b">
        <v>0</v>
      </c>
      <c r="AN181" s="37" t="s">
        <v>127</v>
      </c>
      <c r="AO181" s="37" t="s">
        <v>127</v>
      </c>
      <c r="AP181" s="37" t="s">
        <v>137</v>
      </c>
      <c r="AQ181" s="37" t="b">
        <v>0</v>
      </c>
      <c r="AR181" s="37" t="s">
        <v>127</v>
      </c>
      <c r="AS181" s="76" t="s">
        <v>137</v>
      </c>
      <c r="AT181" s="37" t="s">
        <v>127</v>
      </c>
      <c r="AU181" s="37" t="s">
        <v>127</v>
      </c>
      <c r="AV181" s="37" t="s">
        <v>137</v>
      </c>
      <c r="AW181" s="37" t="s">
        <v>137</v>
      </c>
      <c r="AX181" s="37" t="s">
        <v>127</v>
      </c>
      <c r="AY181" s="76" t="s">
        <v>127</v>
      </c>
      <c r="AZ181" s="77" t="s">
        <v>127</v>
      </c>
      <c r="BA181" s="37" t="s">
        <v>127</v>
      </c>
      <c r="BB181" s="37" t="s">
        <v>143</v>
      </c>
      <c r="BC181" s="77" t="s">
        <v>127</v>
      </c>
      <c r="BD181" s="76" t="s">
        <v>127</v>
      </c>
      <c r="BE181" s="37" t="s">
        <v>137</v>
      </c>
      <c r="BF181" s="80" t="s">
        <v>127</v>
      </c>
      <c r="BG181" s="39" t="s">
        <v>127</v>
      </c>
      <c r="BH181" s="37" t="s">
        <v>127</v>
      </c>
      <c r="BI181" s="40" t="b">
        <v>1</v>
      </c>
      <c r="BJ181" s="40" t="s">
        <v>137</v>
      </c>
      <c r="BK181" s="37" t="s">
        <v>127</v>
      </c>
      <c r="BL181" s="110">
        <f>126196.858240756-SUM(BL182:BL183)</f>
        <v>123570.029090756</v>
      </c>
      <c r="BM181" s="110">
        <f>2455.582022402-SUM(BM182:BM183)</f>
        <v>2039.408172402</v>
      </c>
      <c r="BN181" s="110">
        <f>4945.09253166-SUM(BN182:BN183)</f>
        <v>2929.90642166</v>
      </c>
      <c r="BO181" s="110">
        <f>3734.329417138-SUM(BO182:BO183)</f>
        <v>3556.4106271379997</v>
      </c>
      <c r="BP181" s="110">
        <f>7753.78195-SUM(BP182:BP183)</f>
        <v>7748.5826799999995</v>
      </c>
      <c r="BQ181" s="110">
        <f>13263.43193-SUM(BQ182:BQ183)</f>
        <v>13263.431930000001</v>
      </c>
      <c r="BR181" s="110">
        <f>15010.785378187-SUM(BR182:BR183)</f>
        <v>15010.785378187</v>
      </c>
      <c r="BS181" s="110">
        <f>16035.7431375222-SUM(BS182:BS183)</f>
        <v>16035.7431375222</v>
      </c>
      <c r="BT181" s="110">
        <f>17704.0561625777-SUM(BT182:BT183)</f>
        <v>17704.056162577701</v>
      </c>
      <c r="BU181" s="110">
        <f>19556.4474814593-SUM(BU182:BU183)</f>
        <v>19556.447481459301</v>
      </c>
      <c r="BV181" s="110">
        <f>21432.7768213819-SUM(BV182:BV183)</f>
        <v>21432.7768213819</v>
      </c>
      <c r="BW181" s="111">
        <f>12781.36214-SUM(BW182:BW183)</f>
        <v>12781.362139999999</v>
      </c>
      <c r="BX181" s="37" t="s">
        <v>127</v>
      </c>
      <c r="BY181" s="37" t="s">
        <v>127</v>
      </c>
      <c r="BZ181" s="37" t="s">
        <v>155</v>
      </c>
      <c r="CA181" s="41">
        <v>4008.8689499999991</v>
      </c>
      <c r="CB181" s="41">
        <v>1835.88</v>
      </c>
      <c r="CC181" s="41">
        <v>3562.74</v>
      </c>
      <c r="CD181" s="41">
        <v>6312.5153399999972</v>
      </c>
      <c r="CE181" s="41">
        <v>2921.3399100000001</v>
      </c>
      <c r="CF181" s="110">
        <f>9398.06535724937-SUM(CF182:CF183)</f>
        <v>9398.0653572493702</v>
      </c>
      <c r="CG181" s="45">
        <v>0</v>
      </c>
      <c r="CH181" s="45" t="s">
        <v>137</v>
      </c>
      <c r="CI181" s="37" t="s">
        <v>127</v>
      </c>
      <c r="CJ181" s="77" t="s">
        <v>127</v>
      </c>
      <c r="CK181" s="98">
        <v>0.18140000000000001</v>
      </c>
      <c r="CL181" s="98">
        <v>0.81859999999999999</v>
      </c>
      <c r="CM181" s="100" t="s">
        <v>189</v>
      </c>
    </row>
    <row r="182" spans="1:91" ht="12.75" customHeight="1" x14ac:dyDescent="0.3">
      <c r="A182" s="37">
        <v>180</v>
      </c>
      <c r="B182" s="37" t="s">
        <v>999</v>
      </c>
      <c r="C182" s="124"/>
      <c r="D182" s="124"/>
      <c r="E182" s="37" t="s">
        <v>1000</v>
      </c>
      <c r="F182" s="36" t="s">
        <v>1001</v>
      </c>
      <c r="G182" s="81" t="s">
        <v>513</v>
      </c>
      <c r="H182" s="38" t="s">
        <v>130</v>
      </c>
      <c r="I182" s="38" t="s">
        <v>127</v>
      </c>
      <c r="J182" s="38">
        <v>2988970</v>
      </c>
      <c r="K182" s="38" t="s">
        <v>132</v>
      </c>
      <c r="L182" s="81" t="s">
        <v>959</v>
      </c>
      <c r="M182" s="38" t="s">
        <v>127</v>
      </c>
      <c r="N182" s="38" t="s">
        <v>127</v>
      </c>
      <c r="O182" s="76">
        <v>44320</v>
      </c>
      <c r="P182" s="37" t="s">
        <v>135</v>
      </c>
      <c r="Q182" s="37" t="s">
        <v>127</v>
      </c>
      <c r="R182" s="37" t="s">
        <v>127</v>
      </c>
      <c r="S182" s="37" t="s">
        <v>127</v>
      </c>
      <c r="T182" s="37" t="s">
        <v>127</v>
      </c>
      <c r="U182" s="37" t="s">
        <v>981</v>
      </c>
      <c r="V182" s="37" t="b">
        <v>0</v>
      </c>
      <c r="W182" s="37" t="s">
        <v>127</v>
      </c>
      <c r="X182" s="123"/>
      <c r="Y182" s="37">
        <v>0.5</v>
      </c>
      <c r="Z182" s="37" t="s">
        <v>127</v>
      </c>
      <c r="AA182" s="37">
        <v>69</v>
      </c>
      <c r="AB182" s="37" t="s">
        <v>127</v>
      </c>
      <c r="AC182" s="78">
        <v>4.0999999999999996</v>
      </c>
      <c r="AD182" s="78">
        <v>2534998</v>
      </c>
      <c r="AE182" s="37" t="s">
        <v>127</v>
      </c>
      <c r="AF182" s="37">
        <v>21135</v>
      </c>
      <c r="AG182" s="37" t="s">
        <v>127</v>
      </c>
      <c r="AH182" s="37" t="b">
        <v>0</v>
      </c>
      <c r="AI182" s="76" t="s">
        <v>127</v>
      </c>
      <c r="AJ182" s="77" t="s">
        <v>142</v>
      </c>
      <c r="AK182" s="37" t="s">
        <v>127</v>
      </c>
      <c r="AL182" s="37" t="s">
        <v>127</v>
      </c>
      <c r="AM182" s="37" t="b">
        <v>0</v>
      </c>
      <c r="AN182" s="37" t="s">
        <v>127</v>
      </c>
      <c r="AO182" s="37" t="s">
        <v>127</v>
      </c>
      <c r="AP182" s="37" t="s">
        <v>127</v>
      </c>
      <c r="AQ182" s="37" t="b">
        <v>0</v>
      </c>
      <c r="AR182" s="37" t="s">
        <v>127</v>
      </c>
      <c r="AS182" s="37" t="s">
        <v>127</v>
      </c>
      <c r="AT182" s="37" t="s">
        <v>127</v>
      </c>
      <c r="AU182" s="37" t="s">
        <v>127</v>
      </c>
      <c r="AV182" s="37" t="s">
        <v>127</v>
      </c>
      <c r="AW182" s="37" t="s">
        <v>127</v>
      </c>
      <c r="AX182" s="37" t="s">
        <v>161</v>
      </c>
      <c r="AY182" s="37" t="s">
        <v>127</v>
      </c>
      <c r="AZ182" s="37" t="s">
        <v>127</v>
      </c>
      <c r="BA182" s="37" t="s">
        <v>127</v>
      </c>
      <c r="BB182" s="37" t="s">
        <v>143</v>
      </c>
      <c r="BC182" s="77" t="s">
        <v>127</v>
      </c>
      <c r="BD182" s="76" t="s">
        <v>127</v>
      </c>
      <c r="BE182" s="37" t="s">
        <v>127</v>
      </c>
      <c r="BF182" s="80">
        <v>44926</v>
      </c>
      <c r="BG182" s="39" t="s">
        <v>127</v>
      </c>
      <c r="BH182" s="39" t="s">
        <v>127</v>
      </c>
      <c r="BI182" s="40" t="b">
        <v>0</v>
      </c>
      <c r="BJ182" s="40" t="s">
        <v>137</v>
      </c>
      <c r="BK182" s="37" t="s">
        <v>127</v>
      </c>
      <c r="BL182" s="41">
        <v>1555.2432999999999</v>
      </c>
      <c r="BM182" s="41">
        <v>0</v>
      </c>
      <c r="BN182" s="41">
        <v>1482.1904</v>
      </c>
      <c r="BO182" s="41">
        <v>67.853629999999995</v>
      </c>
      <c r="BP182" s="41">
        <v>5.1992699999999994</v>
      </c>
      <c r="BQ182" s="41">
        <v>0</v>
      </c>
      <c r="BR182" s="41">
        <v>0</v>
      </c>
      <c r="BS182" s="41">
        <v>0</v>
      </c>
      <c r="BT182" s="41">
        <v>0</v>
      </c>
      <c r="BU182" s="41">
        <v>0</v>
      </c>
      <c r="BV182" s="41">
        <v>0</v>
      </c>
      <c r="BW182" s="49">
        <v>0</v>
      </c>
      <c r="BX182" s="37" t="s">
        <v>127</v>
      </c>
      <c r="BY182" s="37" t="s">
        <v>127</v>
      </c>
      <c r="BZ182" s="37" t="s">
        <v>252</v>
      </c>
      <c r="CA182" s="41">
        <v>0</v>
      </c>
      <c r="CB182" s="41">
        <v>0</v>
      </c>
      <c r="CC182" s="41">
        <v>1555.24</v>
      </c>
      <c r="CD182" s="41">
        <v>0</v>
      </c>
      <c r="CE182" s="41">
        <v>0</v>
      </c>
      <c r="CF182" s="41">
        <v>0</v>
      </c>
      <c r="CG182" s="45">
        <v>0</v>
      </c>
      <c r="CH182" s="45">
        <v>0</v>
      </c>
      <c r="CI182" s="37" t="s">
        <v>127</v>
      </c>
      <c r="CJ182" s="77" t="s">
        <v>127</v>
      </c>
      <c r="CK182" s="98">
        <v>0.18140000000000001</v>
      </c>
      <c r="CL182" s="98">
        <v>0.81859999999999999</v>
      </c>
      <c r="CM182" s="100" t="s">
        <v>189</v>
      </c>
    </row>
    <row r="183" spans="1:91" ht="12.75" customHeight="1" x14ac:dyDescent="0.3">
      <c r="A183" s="37">
        <v>181</v>
      </c>
      <c r="B183" s="37" t="s">
        <v>1002</v>
      </c>
      <c r="C183" s="124"/>
      <c r="D183" s="124"/>
      <c r="E183" s="37" t="s">
        <v>492</v>
      </c>
      <c r="F183" s="36" t="s">
        <v>1003</v>
      </c>
      <c r="G183" s="81" t="s">
        <v>979</v>
      </c>
      <c r="H183" s="38" t="s">
        <v>130</v>
      </c>
      <c r="I183" s="38" t="s">
        <v>127</v>
      </c>
      <c r="J183" s="38" t="s">
        <v>127</v>
      </c>
      <c r="K183" s="38" t="s">
        <v>132</v>
      </c>
      <c r="L183" s="81" t="s">
        <v>993</v>
      </c>
      <c r="M183" s="38" t="s">
        <v>127</v>
      </c>
      <c r="N183" s="38" t="s">
        <v>127</v>
      </c>
      <c r="O183" s="76">
        <v>44677</v>
      </c>
      <c r="P183" s="37" t="s">
        <v>135</v>
      </c>
      <c r="Q183" s="37" t="s">
        <v>127</v>
      </c>
      <c r="R183" s="37" t="s">
        <v>127</v>
      </c>
      <c r="S183" s="37" t="s">
        <v>127</v>
      </c>
      <c r="T183" s="37" t="s">
        <v>127</v>
      </c>
      <c r="U183" s="37" t="s">
        <v>981</v>
      </c>
      <c r="V183" s="37" t="b">
        <v>0</v>
      </c>
      <c r="W183" s="37" t="s">
        <v>127</v>
      </c>
      <c r="X183" s="123"/>
      <c r="Y183" s="37">
        <v>1.29</v>
      </c>
      <c r="Z183" s="37" t="s">
        <v>127</v>
      </c>
      <c r="AA183" s="37">
        <v>138</v>
      </c>
      <c r="AB183" s="37" t="s">
        <v>127</v>
      </c>
      <c r="AC183" s="78">
        <v>4.0999999999999996</v>
      </c>
      <c r="AD183" s="78">
        <v>2989609</v>
      </c>
      <c r="AE183" s="37" t="s">
        <v>1004</v>
      </c>
      <c r="AF183" s="37">
        <v>21135</v>
      </c>
      <c r="AG183" s="37" t="s">
        <v>127</v>
      </c>
      <c r="AH183" s="37" t="b">
        <v>0</v>
      </c>
      <c r="AI183" s="76" t="s">
        <v>127</v>
      </c>
      <c r="AJ183" s="77" t="s">
        <v>142</v>
      </c>
      <c r="AK183" s="37" t="s">
        <v>127</v>
      </c>
      <c r="AL183" s="37" t="s">
        <v>127</v>
      </c>
      <c r="AM183" s="37" t="b">
        <v>0</v>
      </c>
      <c r="AN183" s="37" t="s">
        <v>127</v>
      </c>
      <c r="AO183" s="37" t="s">
        <v>127</v>
      </c>
      <c r="AP183" s="37" t="s">
        <v>127</v>
      </c>
      <c r="AQ183" s="37" t="b">
        <v>0</v>
      </c>
      <c r="AR183" s="37" t="s">
        <v>127</v>
      </c>
      <c r="AS183" s="37" t="s">
        <v>127</v>
      </c>
      <c r="AT183" s="37" t="s">
        <v>127</v>
      </c>
      <c r="AU183" s="37" t="s">
        <v>127</v>
      </c>
      <c r="AV183" s="37" t="s">
        <v>127</v>
      </c>
      <c r="AW183" s="37" t="s">
        <v>127</v>
      </c>
      <c r="AX183" s="37" t="s">
        <v>161</v>
      </c>
      <c r="AY183" s="37" t="s">
        <v>127</v>
      </c>
      <c r="AZ183" s="37" t="s">
        <v>127</v>
      </c>
      <c r="BA183" s="37" t="s">
        <v>127</v>
      </c>
      <c r="BB183" s="37" t="s">
        <v>143</v>
      </c>
      <c r="BC183" s="77" t="s">
        <v>127</v>
      </c>
      <c r="BD183" s="76" t="s">
        <v>1005</v>
      </c>
      <c r="BE183" s="37" t="s">
        <v>127</v>
      </c>
      <c r="BF183" s="86" t="s">
        <v>1006</v>
      </c>
      <c r="BG183" s="39" t="s">
        <v>127</v>
      </c>
      <c r="BH183" s="39" t="s">
        <v>127</v>
      </c>
      <c r="BI183" s="40" t="b">
        <v>0</v>
      </c>
      <c r="BJ183" s="40" t="s">
        <v>137</v>
      </c>
      <c r="BK183" s="37" t="s">
        <v>127</v>
      </c>
      <c r="BL183" s="41">
        <v>1071.5858500000004</v>
      </c>
      <c r="BM183" s="41">
        <v>416.17384999999996</v>
      </c>
      <c r="BN183" s="41">
        <v>532.99570999999992</v>
      </c>
      <c r="BO183" s="41">
        <v>110.06516000000001</v>
      </c>
      <c r="BP183" s="41">
        <v>0</v>
      </c>
      <c r="BQ183" s="41">
        <v>0</v>
      </c>
      <c r="BR183" s="41">
        <v>0</v>
      </c>
      <c r="BS183" s="41">
        <v>0</v>
      </c>
      <c r="BT183" s="41">
        <v>0</v>
      </c>
      <c r="BU183" s="41">
        <v>0</v>
      </c>
      <c r="BV183" s="41">
        <v>0</v>
      </c>
      <c r="BW183" s="49">
        <v>0</v>
      </c>
      <c r="BX183" s="37" t="s">
        <v>127</v>
      </c>
      <c r="BY183" s="37" t="s">
        <v>127</v>
      </c>
      <c r="BZ183" s="37" t="s">
        <v>244</v>
      </c>
      <c r="CA183" s="41">
        <v>0</v>
      </c>
      <c r="CB183" s="41">
        <v>953.78</v>
      </c>
      <c r="CC183" s="41">
        <v>0</v>
      </c>
      <c r="CD183" s="41">
        <v>0</v>
      </c>
      <c r="CE183" s="41">
        <v>0</v>
      </c>
      <c r="CF183" s="41">
        <v>0</v>
      </c>
      <c r="CG183" s="45">
        <v>0</v>
      </c>
      <c r="CH183" s="45">
        <v>0</v>
      </c>
      <c r="CI183" s="37" t="s">
        <v>127</v>
      </c>
      <c r="CJ183" s="77" t="s">
        <v>127</v>
      </c>
      <c r="CK183" s="98">
        <v>0.18140000000000001</v>
      </c>
      <c r="CL183" s="98">
        <v>0.81859999999999999</v>
      </c>
      <c r="CM183" s="100" t="s">
        <v>189</v>
      </c>
    </row>
    <row r="184" spans="1:91" ht="12.75" customHeight="1" x14ac:dyDescent="0.3">
      <c r="A184" s="37">
        <v>182</v>
      </c>
      <c r="B184" s="37" t="s">
        <v>1007</v>
      </c>
      <c r="C184" s="125"/>
      <c r="D184" s="123"/>
      <c r="E184" s="77" t="s">
        <v>127</v>
      </c>
      <c r="F184" s="36" t="s">
        <v>1008</v>
      </c>
      <c r="G184" s="75" t="s">
        <v>129</v>
      </c>
      <c r="H184" s="37" t="s">
        <v>131</v>
      </c>
      <c r="I184" s="37" t="s">
        <v>127</v>
      </c>
      <c r="J184" s="37" t="s">
        <v>127</v>
      </c>
      <c r="K184" s="37" t="s">
        <v>609</v>
      </c>
      <c r="L184" s="75" t="s">
        <v>206</v>
      </c>
      <c r="M184" s="37" t="s">
        <v>127</v>
      </c>
      <c r="N184" s="37" t="s">
        <v>127</v>
      </c>
      <c r="O184" s="76" t="s">
        <v>127</v>
      </c>
      <c r="P184" s="37" t="s">
        <v>135</v>
      </c>
      <c r="Q184" s="37" t="s">
        <v>127</v>
      </c>
      <c r="R184" s="37" t="s">
        <v>127</v>
      </c>
      <c r="S184" s="37" t="s">
        <v>127</v>
      </c>
      <c r="T184" s="37" t="s">
        <v>611</v>
      </c>
      <c r="U184" s="37" t="s">
        <v>230</v>
      </c>
      <c r="V184" s="37" t="b">
        <v>0</v>
      </c>
      <c r="W184" s="77" t="s">
        <v>127</v>
      </c>
      <c r="X184" s="123"/>
      <c r="Y184" s="37" t="s">
        <v>137</v>
      </c>
      <c r="Z184" s="37" t="s">
        <v>137</v>
      </c>
      <c r="AA184" s="37" t="s">
        <v>153</v>
      </c>
      <c r="AB184" s="37" t="s">
        <v>127</v>
      </c>
      <c r="AC184" s="78">
        <v>1.1000000000000001</v>
      </c>
      <c r="AD184" s="78" t="s">
        <v>139</v>
      </c>
      <c r="AE184" s="37" t="s">
        <v>140</v>
      </c>
      <c r="AF184" s="37">
        <v>21136</v>
      </c>
      <c r="AG184" s="37" t="s">
        <v>141</v>
      </c>
      <c r="AH184" s="37" t="b">
        <v>1</v>
      </c>
      <c r="AI184" s="76">
        <v>45247</v>
      </c>
      <c r="AJ184" s="77" t="s">
        <v>142</v>
      </c>
      <c r="AK184" s="37" t="s">
        <v>127</v>
      </c>
      <c r="AL184" s="37" t="s">
        <v>127</v>
      </c>
      <c r="AM184" s="37" t="b">
        <v>0</v>
      </c>
      <c r="AN184" s="37" t="s">
        <v>127</v>
      </c>
      <c r="AO184" s="37" t="s">
        <v>127</v>
      </c>
      <c r="AP184" s="37" t="s">
        <v>137</v>
      </c>
      <c r="AQ184" s="37" t="b">
        <v>0</v>
      </c>
      <c r="AR184" s="37" t="s">
        <v>127</v>
      </c>
      <c r="AS184" s="76" t="s">
        <v>137</v>
      </c>
      <c r="AT184" s="37" t="s">
        <v>127</v>
      </c>
      <c r="AU184" s="37" t="s">
        <v>127</v>
      </c>
      <c r="AV184" s="37" t="s">
        <v>137</v>
      </c>
      <c r="AW184" s="37" t="s">
        <v>137</v>
      </c>
      <c r="AX184" s="37" t="s">
        <v>127</v>
      </c>
      <c r="AY184" s="76" t="s">
        <v>127</v>
      </c>
      <c r="AZ184" s="77" t="s">
        <v>127</v>
      </c>
      <c r="BA184" s="37" t="s">
        <v>127</v>
      </c>
      <c r="BB184" s="37" t="s">
        <v>143</v>
      </c>
      <c r="BC184" s="77" t="s">
        <v>127</v>
      </c>
      <c r="BD184" s="76" t="s">
        <v>127</v>
      </c>
      <c r="BE184" s="37" t="s">
        <v>137</v>
      </c>
      <c r="BF184" s="80" t="s">
        <v>127</v>
      </c>
      <c r="BG184" s="39" t="s">
        <v>127</v>
      </c>
      <c r="BH184" s="37" t="s">
        <v>127</v>
      </c>
      <c r="BI184" s="40" t="b">
        <v>1</v>
      </c>
      <c r="BJ184" s="40" t="s">
        <v>137</v>
      </c>
      <c r="BK184" s="37" t="s">
        <v>127</v>
      </c>
      <c r="BL184" s="110">
        <f>29888.9818383162-BL185</f>
        <v>28081.206740889818</v>
      </c>
      <c r="BM184" s="110">
        <f>1071.1866-BM185</f>
        <v>1071.1866</v>
      </c>
      <c r="BN184" s="110">
        <f>1627.20927-BN185</f>
        <v>1627.2092700000001</v>
      </c>
      <c r="BO184" s="110">
        <f>1280.67481-BO185</f>
        <v>1280.67481</v>
      </c>
      <c r="BP184" s="110">
        <f>3287.90564-BP185</f>
        <v>1752.8356100000001</v>
      </c>
      <c r="BQ184" s="110">
        <f>3800.6634-BQ185</f>
        <v>3602.85554</v>
      </c>
      <c r="BR184" s="110">
        <f>3109.64484777819-BR185</f>
        <v>3034.7476403518099</v>
      </c>
      <c r="BS184" s="110">
        <f>3316.03539532062-BS185</f>
        <v>3316.03539532062</v>
      </c>
      <c r="BT184" s="110">
        <f>3648.41647188731-BT185</f>
        <v>3648.4164718873099</v>
      </c>
      <c r="BU184" s="110">
        <f>4084.74910158817-BU185</f>
        <v>4084.7491015881701</v>
      </c>
      <c r="BV184" s="110">
        <f>4461.79106174196-BV185</f>
        <v>4461.7910617419602</v>
      </c>
      <c r="BW184" s="111">
        <f>1712.00767-BW185</f>
        <v>1712.00767</v>
      </c>
      <c r="BX184" s="37" t="s">
        <v>127</v>
      </c>
      <c r="BY184" s="37" t="s">
        <v>127</v>
      </c>
      <c r="BZ184" s="37" t="s">
        <v>155</v>
      </c>
      <c r="CA184" s="41">
        <v>803.37038999999993</v>
      </c>
      <c r="CB184" s="41">
        <v>1263.9270099999999</v>
      </c>
      <c r="CC184" s="41">
        <v>748.7843800000004</v>
      </c>
      <c r="CD184" s="41">
        <v>2868.6109500000007</v>
      </c>
      <c r="CE184" s="41">
        <v>1378.28</v>
      </c>
      <c r="CF184" s="110">
        <f>4192.49434237435-CF185</f>
        <v>2384.7192449479694</v>
      </c>
      <c r="CG184" s="45">
        <v>0</v>
      </c>
      <c r="CH184" s="45" t="s">
        <v>137</v>
      </c>
      <c r="CI184" s="37" t="s">
        <v>127</v>
      </c>
      <c r="CJ184" s="77" t="s">
        <v>127</v>
      </c>
      <c r="CK184" s="98">
        <v>0.18140000000000001</v>
      </c>
      <c r="CL184" s="98">
        <v>0.81859999999999999</v>
      </c>
      <c r="CM184" s="100" t="s">
        <v>798</v>
      </c>
    </row>
    <row r="185" spans="1:91" ht="12.75" customHeight="1" x14ac:dyDescent="0.3">
      <c r="A185" s="37">
        <v>183</v>
      </c>
      <c r="B185" s="37" t="s">
        <v>1009</v>
      </c>
      <c r="C185" s="125"/>
      <c r="D185" s="123"/>
      <c r="E185" s="37" t="s">
        <v>246</v>
      </c>
      <c r="F185" s="36" t="s">
        <v>1010</v>
      </c>
      <c r="G185" s="81" t="s">
        <v>979</v>
      </c>
      <c r="H185" s="38" t="s">
        <v>130</v>
      </c>
      <c r="I185" s="93" t="s">
        <v>131</v>
      </c>
      <c r="J185" s="38" t="s">
        <v>127</v>
      </c>
      <c r="K185" s="38" t="s">
        <v>132</v>
      </c>
      <c r="L185" s="81" t="s">
        <v>206</v>
      </c>
      <c r="M185" s="38" t="s">
        <v>127</v>
      </c>
      <c r="N185" s="38" t="s">
        <v>127</v>
      </c>
      <c r="O185" s="80" t="s">
        <v>134</v>
      </c>
      <c r="P185" s="37" t="s">
        <v>135</v>
      </c>
      <c r="Q185" s="37" t="s">
        <v>127</v>
      </c>
      <c r="R185" s="37" t="s">
        <v>127</v>
      </c>
      <c r="S185" s="37" t="s">
        <v>127</v>
      </c>
      <c r="T185" s="37" t="s">
        <v>315</v>
      </c>
      <c r="U185" s="37" t="s">
        <v>718</v>
      </c>
      <c r="V185" s="37" t="b">
        <v>0</v>
      </c>
      <c r="W185" s="37" t="s">
        <v>127</v>
      </c>
      <c r="X185" s="123"/>
      <c r="Y185" s="37" t="s">
        <v>127</v>
      </c>
      <c r="Z185" s="37" t="s">
        <v>127</v>
      </c>
      <c r="AA185" s="37" t="s">
        <v>127</v>
      </c>
      <c r="AB185" s="37" t="s">
        <v>127</v>
      </c>
      <c r="AC185" s="78">
        <v>1.1000000000000001</v>
      </c>
      <c r="AD185" s="78">
        <v>2638493</v>
      </c>
      <c r="AE185" s="37" t="s">
        <v>1011</v>
      </c>
      <c r="AF185" s="37">
        <v>21136</v>
      </c>
      <c r="AG185" s="37" t="s">
        <v>127</v>
      </c>
      <c r="AH185" s="37" t="b">
        <v>0</v>
      </c>
      <c r="AI185" s="76" t="s">
        <v>127</v>
      </c>
      <c r="AJ185" s="77" t="s">
        <v>142</v>
      </c>
      <c r="AK185" s="37" t="s">
        <v>127</v>
      </c>
      <c r="AL185" s="37" t="s">
        <v>127</v>
      </c>
      <c r="AM185" s="37" t="b">
        <v>0</v>
      </c>
      <c r="AN185" s="37" t="s">
        <v>127</v>
      </c>
      <c r="AO185" s="37" t="s">
        <v>127</v>
      </c>
      <c r="AP185" s="37" t="s">
        <v>127</v>
      </c>
      <c r="AQ185" s="37" t="b">
        <v>0</v>
      </c>
      <c r="AR185" s="37" t="s">
        <v>127</v>
      </c>
      <c r="AS185" s="37" t="s">
        <v>127</v>
      </c>
      <c r="AT185" s="37" t="s">
        <v>127</v>
      </c>
      <c r="AU185" s="37" t="s">
        <v>127</v>
      </c>
      <c r="AV185" s="37" t="s">
        <v>127</v>
      </c>
      <c r="AW185" s="37" t="s">
        <v>127</v>
      </c>
      <c r="AX185" s="37" t="s">
        <v>161</v>
      </c>
      <c r="AY185" s="37" t="s">
        <v>127</v>
      </c>
      <c r="AZ185" s="37" t="s">
        <v>127</v>
      </c>
      <c r="BA185" s="37" t="s">
        <v>127</v>
      </c>
      <c r="BB185" s="37" t="s">
        <v>812</v>
      </c>
      <c r="BC185" s="77" t="s">
        <v>127</v>
      </c>
      <c r="BD185" s="37" t="s">
        <v>1012</v>
      </c>
      <c r="BE185" s="37" t="s">
        <v>127</v>
      </c>
      <c r="BF185" s="37" t="s">
        <v>914</v>
      </c>
      <c r="BG185" s="39" t="s">
        <v>127</v>
      </c>
      <c r="BH185" s="39" t="s">
        <v>127</v>
      </c>
      <c r="BI185" s="40" t="b">
        <v>1</v>
      </c>
      <c r="BJ185" s="40" t="s">
        <v>137</v>
      </c>
      <c r="BK185" s="37" t="s">
        <v>127</v>
      </c>
      <c r="BL185" s="41">
        <v>1807.7750974263799</v>
      </c>
      <c r="BM185" s="41">
        <v>0</v>
      </c>
      <c r="BN185" s="41">
        <v>0</v>
      </c>
      <c r="BO185" s="41">
        <v>0</v>
      </c>
      <c r="BP185" s="41">
        <v>1535.0700299999999</v>
      </c>
      <c r="BQ185" s="41">
        <v>197.80785999999998</v>
      </c>
      <c r="BR185" s="41">
        <v>74.897207426380135</v>
      </c>
      <c r="BS185" s="41">
        <v>0</v>
      </c>
      <c r="BT185" s="41">
        <v>0</v>
      </c>
      <c r="BU185" s="41">
        <v>0</v>
      </c>
      <c r="BV185" s="41">
        <v>0</v>
      </c>
      <c r="BW185" s="49">
        <v>0</v>
      </c>
      <c r="BX185" s="37" t="s">
        <v>127</v>
      </c>
      <c r="BY185" s="37" t="s">
        <v>127</v>
      </c>
      <c r="BZ185" s="37" t="s">
        <v>173</v>
      </c>
      <c r="CA185" s="41">
        <v>0</v>
      </c>
      <c r="CB185" s="41">
        <v>0</v>
      </c>
      <c r="CC185" s="41">
        <v>0</v>
      </c>
      <c r="CD185" s="41">
        <v>0</v>
      </c>
      <c r="CE185" s="41">
        <v>1796.8526000000002</v>
      </c>
      <c r="CF185" s="41">
        <v>1807.7750974263804</v>
      </c>
      <c r="CG185" s="45">
        <v>0</v>
      </c>
      <c r="CH185" s="45">
        <v>0</v>
      </c>
      <c r="CI185" s="37" t="s">
        <v>127</v>
      </c>
      <c r="CJ185" s="77" t="s">
        <v>127</v>
      </c>
      <c r="CK185" s="98">
        <v>0.18140000000000001</v>
      </c>
      <c r="CL185" s="98">
        <v>0.81859999999999999</v>
      </c>
      <c r="CM185" s="100" t="s">
        <v>943</v>
      </c>
    </row>
    <row r="186" spans="1:91" ht="12.75" customHeight="1" x14ac:dyDescent="0.3">
      <c r="A186" s="77">
        <v>184</v>
      </c>
      <c r="B186" s="37" t="s">
        <v>1013</v>
      </c>
      <c r="C186" s="125"/>
      <c r="D186" s="123"/>
      <c r="E186" s="77" t="s">
        <v>127</v>
      </c>
      <c r="F186" s="36" t="s">
        <v>1014</v>
      </c>
      <c r="G186" s="75" t="s">
        <v>226</v>
      </c>
      <c r="H186" s="37" t="s">
        <v>227</v>
      </c>
      <c r="I186" s="37" t="s">
        <v>127</v>
      </c>
      <c r="J186" s="37" t="s">
        <v>127</v>
      </c>
      <c r="K186" s="37" t="s">
        <v>212</v>
      </c>
      <c r="L186" s="75" t="s">
        <v>218</v>
      </c>
      <c r="M186" s="37" t="s">
        <v>127</v>
      </c>
      <c r="N186" s="37" t="s">
        <v>127</v>
      </c>
      <c r="O186" s="76" t="s">
        <v>127</v>
      </c>
      <c r="P186" s="37" t="s">
        <v>135</v>
      </c>
      <c r="Q186" s="37" t="s">
        <v>127</v>
      </c>
      <c r="R186" s="37" t="s">
        <v>127</v>
      </c>
      <c r="S186" s="37" t="s">
        <v>127</v>
      </c>
      <c r="T186" s="37" t="s">
        <v>127</v>
      </c>
      <c r="U186" s="37" t="s">
        <v>136</v>
      </c>
      <c r="V186" s="37" t="b">
        <v>0</v>
      </c>
      <c r="W186" s="77" t="s">
        <v>127</v>
      </c>
      <c r="X186" s="123"/>
      <c r="Y186" s="37" t="s">
        <v>137</v>
      </c>
      <c r="Z186" s="37" t="s">
        <v>137</v>
      </c>
      <c r="AA186" s="37" t="s">
        <v>153</v>
      </c>
      <c r="AB186" s="37" t="s">
        <v>127</v>
      </c>
      <c r="AC186" s="78">
        <v>1.3</v>
      </c>
      <c r="AD186" s="78" t="s">
        <v>139</v>
      </c>
      <c r="AE186" s="37" t="s">
        <v>140</v>
      </c>
      <c r="AF186" s="37">
        <v>21146</v>
      </c>
      <c r="AG186" s="37" t="s">
        <v>141</v>
      </c>
      <c r="AH186" s="37" t="b">
        <v>1</v>
      </c>
      <c r="AI186" s="76">
        <v>45251</v>
      </c>
      <c r="AJ186" s="77" t="s">
        <v>142</v>
      </c>
      <c r="AK186" s="37" t="s">
        <v>127</v>
      </c>
      <c r="AL186" s="37" t="s">
        <v>127</v>
      </c>
      <c r="AM186" s="37" t="b">
        <v>0</v>
      </c>
      <c r="AN186" s="37" t="s">
        <v>127</v>
      </c>
      <c r="AO186" s="37" t="s">
        <v>127</v>
      </c>
      <c r="AP186" s="37" t="s">
        <v>137</v>
      </c>
      <c r="AQ186" s="37" t="b">
        <v>0</v>
      </c>
      <c r="AR186" s="37" t="s">
        <v>127</v>
      </c>
      <c r="AS186" s="76" t="s">
        <v>137</v>
      </c>
      <c r="AT186" s="37" t="s">
        <v>127</v>
      </c>
      <c r="AU186" s="37" t="s">
        <v>127</v>
      </c>
      <c r="AV186" s="37" t="s">
        <v>137</v>
      </c>
      <c r="AW186" s="37" t="s">
        <v>137</v>
      </c>
      <c r="AX186" s="37" t="s">
        <v>127</v>
      </c>
      <c r="AY186" s="76" t="s">
        <v>127</v>
      </c>
      <c r="AZ186" s="77" t="s">
        <v>127</v>
      </c>
      <c r="BA186" s="37" t="s">
        <v>127</v>
      </c>
      <c r="BB186" s="37" t="s">
        <v>143</v>
      </c>
      <c r="BC186" s="77" t="s">
        <v>127</v>
      </c>
      <c r="BD186" s="76" t="s">
        <v>127</v>
      </c>
      <c r="BE186" s="37" t="s">
        <v>137</v>
      </c>
      <c r="BF186" s="80" t="s">
        <v>127</v>
      </c>
      <c r="BG186" s="39" t="s">
        <v>127</v>
      </c>
      <c r="BH186" s="37" t="s">
        <v>127</v>
      </c>
      <c r="BI186" s="40" t="b">
        <v>1</v>
      </c>
      <c r="BJ186" s="40" t="s">
        <v>137</v>
      </c>
      <c r="BK186" s="37" t="s">
        <v>127</v>
      </c>
      <c r="BL186" s="110">
        <f>51741.1663831466-SUM(BL187:BL189)</f>
        <v>99.933250665824744</v>
      </c>
      <c r="BM186" s="110">
        <f>0-SUM(BM187:BM189)</f>
        <v>0</v>
      </c>
      <c r="BN186" s="110">
        <f>0-SUM(BN187:BN189)</f>
        <v>0</v>
      </c>
      <c r="BO186" s="110">
        <f>11684.99327-SUM(BO187:BO189)</f>
        <v>0</v>
      </c>
      <c r="BP186" s="110">
        <f>8794.49157-SUM(BP187:BP189)</f>
        <v>0</v>
      </c>
      <c r="BQ186" s="110">
        <f>12435.38355-SUM(BQ187:BQ189)</f>
        <v>35.688760000002731</v>
      </c>
      <c r="BR186" s="110">
        <f>7985.19305914955-SUM(BR187:BR189)</f>
        <v>64.244490649550244</v>
      </c>
      <c r="BS186" s="110">
        <f>10841.104933997-SUM(BS187:BS189)</f>
        <v>3.9970000216271728E-6</v>
      </c>
      <c r="BT186" s="110">
        <f>0-SUM(BT187:BT189)</f>
        <v>0</v>
      </c>
      <c r="BU186" s="110">
        <f>0-SUM(BU187:BU189)</f>
        <v>0</v>
      </c>
      <c r="BV186" s="110">
        <f>0-SUM(BV187:BV189)</f>
        <v>0</v>
      </c>
      <c r="BW186" s="111">
        <f>13725.9678-SUM(BW187:BW189)</f>
        <v>189.03649000000041</v>
      </c>
      <c r="BX186" s="37" t="s">
        <v>127</v>
      </c>
      <c r="BY186" s="37" t="s">
        <v>127</v>
      </c>
      <c r="BZ186" s="37" t="s">
        <v>173</v>
      </c>
      <c r="CA186" s="41">
        <v>0</v>
      </c>
      <c r="CB186" s="41">
        <v>0</v>
      </c>
      <c r="CC186" s="41">
        <v>0</v>
      </c>
      <c r="CD186" s="41">
        <v>0</v>
      </c>
      <c r="CE186" s="41">
        <v>0</v>
      </c>
      <c r="CF186" s="110">
        <f>8020.88181914955-SUM(CF187:CF189)</f>
        <v>99.933250665804735</v>
      </c>
      <c r="CG186" s="45">
        <v>0</v>
      </c>
      <c r="CH186" s="45" t="s">
        <v>127</v>
      </c>
      <c r="CI186" s="37" t="s">
        <v>127</v>
      </c>
      <c r="CJ186" s="77" t="s">
        <v>127</v>
      </c>
      <c r="CK186" s="98">
        <v>1</v>
      </c>
      <c r="CL186" s="98">
        <v>0</v>
      </c>
      <c r="CM186" s="100" t="s">
        <v>1015</v>
      </c>
    </row>
    <row r="187" spans="1:91" ht="12.75" customHeight="1" x14ac:dyDescent="0.3">
      <c r="A187" s="37">
        <v>185</v>
      </c>
      <c r="B187" s="37" t="s">
        <v>1016</v>
      </c>
      <c r="C187" s="125"/>
      <c r="D187" s="123"/>
      <c r="E187" s="37" t="s">
        <v>127</v>
      </c>
      <c r="F187" s="36" t="s">
        <v>1017</v>
      </c>
      <c r="G187" s="81" t="s">
        <v>226</v>
      </c>
      <c r="H187" s="38" t="s">
        <v>227</v>
      </c>
      <c r="I187" s="38" t="s">
        <v>127</v>
      </c>
      <c r="J187" s="38" t="s">
        <v>127</v>
      </c>
      <c r="K187" s="38" t="s">
        <v>132</v>
      </c>
      <c r="L187" s="81" t="s">
        <v>218</v>
      </c>
      <c r="M187" s="38" t="s">
        <v>127</v>
      </c>
      <c r="N187" s="38" t="s">
        <v>127</v>
      </c>
      <c r="O187" s="38" t="s">
        <v>127</v>
      </c>
      <c r="P187" s="37" t="s">
        <v>135</v>
      </c>
      <c r="Q187" s="37" t="s">
        <v>127</v>
      </c>
      <c r="R187" s="37" t="s">
        <v>127</v>
      </c>
      <c r="S187" s="37" t="s">
        <v>127</v>
      </c>
      <c r="T187" s="37" t="s">
        <v>127</v>
      </c>
      <c r="U187" s="37" t="s">
        <v>981</v>
      </c>
      <c r="V187" s="37" t="b">
        <v>0</v>
      </c>
      <c r="W187" s="37" t="s">
        <v>127</v>
      </c>
      <c r="X187" s="123"/>
      <c r="Y187" s="37" t="s">
        <v>137</v>
      </c>
      <c r="Z187" s="37" t="s">
        <v>137</v>
      </c>
      <c r="AA187" s="37" t="s">
        <v>1018</v>
      </c>
      <c r="AB187" s="37" t="s">
        <v>127</v>
      </c>
      <c r="AC187" s="78">
        <v>1.3</v>
      </c>
      <c r="AD187" s="78">
        <v>2254669</v>
      </c>
      <c r="AE187" s="37" t="s">
        <v>1019</v>
      </c>
      <c r="AF187" s="37">
        <v>21146</v>
      </c>
      <c r="AG187" s="37" t="s">
        <v>127</v>
      </c>
      <c r="AH187" s="37" t="b">
        <v>0</v>
      </c>
      <c r="AI187" s="76" t="s">
        <v>127</v>
      </c>
      <c r="AJ187" s="77" t="s">
        <v>142</v>
      </c>
      <c r="AK187" s="37" t="s">
        <v>127</v>
      </c>
      <c r="AL187" s="37">
        <v>2023</v>
      </c>
      <c r="AM187" s="37" t="b">
        <v>0</v>
      </c>
      <c r="AN187" s="37" t="s">
        <v>127</v>
      </c>
      <c r="AO187" s="37" t="s">
        <v>127</v>
      </c>
      <c r="AP187" s="37" t="s">
        <v>127</v>
      </c>
      <c r="AQ187" s="37" t="b">
        <v>0</v>
      </c>
      <c r="AR187" s="37" t="s">
        <v>127</v>
      </c>
      <c r="AS187" s="37" t="s">
        <v>127</v>
      </c>
      <c r="AT187" s="37" t="s">
        <v>127</v>
      </c>
      <c r="AU187" s="37" t="s">
        <v>127</v>
      </c>
      <c r="AV187" s="37" t="s">
        <v>127</v>
      </c>
      <c r="AW187" s="37" t="s">
        <v>127</v>
      </c>
      <c r="AX187" s="37" t="s">
        <v>161</v>
      </c>
      <c r="AY187" s="37" t="s">
        <v>127</v>
      </c>
      <c r="AZ187" s="37" t="s">
        <v>127</v>
      </c>
      <c r="BA187" s="37" t="s">
        <v>127</v>
      </c>
      <c r="BB187" s="37" t="s">
        <v>812</v>
      </c>
      <c r="BC187" s="77" t="s">
        <v>127</v>
      </c>
      <c r="BD187" s="76" t="s">
        <v>1020</v>
      </c>
      <c r="BE187" s="37" t="s">
        <v>127</v>
      </c>
      <c r="BF187" s="86" t="s">
        <v>1021</v>
      </c>
      <c r="BG187" s="35" t="s">
        <v>553</v>
      </c>
      <c r="BH187" s="39" t="s">
        <v>553</v>
      </c>
      <c r="BI187" s="40" t="b">
        <v>1</v>
      </c>
      <c r="BJ187" s="40" t="s">
        <v>137</v>
      </c>
      <c r="BK187" s="37" t="s">
        <v>127</v>
      </c>
      <c r="BL187" s="41">
        <v>13343.439365499997</v>
      </c>
      <c r="BM187" s="41">
        <v>0</v>
      </c>
      <c r="BN187" s="41">
        <v>0</v>
      </c>
      <c r="BO187" s="41">
        <v>0</v>
      </c>
      <c r="BP187" s="41">
        <v>336.57632000000001</v>
      </c>
      <c r="BQ187" s="41">
        <v>12184.140059999998</v>
      </c>
      <c r="BR187" s="41">
        <v>822.72298549999994</v>
      </c>
      <c r="BS187" s="41">
        <v>0</v>
      </c>
      <c r="BT187" s="41">
        <v>0</v>
      </c>
      <c r="BU187" s="41">
        <v>0</v>
      </c>
      <c r="BV187" s="41">
        <v>0</v>
      </c>
      <c r="BW187" s="49">
        <v>13536.93131</v>
      </c>
      <c r="BX187" s="37" t="s">
        <v>127</v>
      </c>
      <c r="BY187" s="37" t="s">
        <v>127</v>
      </c>
      <c r="BZ187" s="37" t="s">
        <v>173</v>
      </c>
      <c r="CA187" s="41">
        <v>0</v>
      </c>
      <c r="CB187" s="41">
        <v>0</v>
      </c>
      <c r="CC187" s="41">
        <v>0</v>
      </c>
      <c r="CD187" s="41">
        <v>0</v>
      </c>
      <c r="CE187" s="41">
        <v>0</v>
      </c>
      <c r="CF187" s="41">
        <v>822.72298549999994</v>
      </c>
      <c r="CG187" s="45">
        <v>1</v>
      </c>
      <c r="CH187" s="45">
        <v>0</v>
      </c>
      <c r="CI187" s="37" t="s">
        <v>127</v>
      </c>
      <c r="CJ187" s="77" t="s">
        <v>127</v>
      </c>
      <c r="CK187" s="98">
        <v>1</v>
      </c>
      <c r="CL187" s="98">
        <v>0</v>
      </c>
      <c r="CM187" s="100" t="s">
        <v>1022</v>
      </c>
    </row>
    <row r="188" spans="1:91" ht="12.75" customHeight="1" x14ac:dyDescent="0.3">
      <c r="A188" s="37">
        <v>186</v>
      </c>
      <c r="B188" s="37" t="s">
        <v>1023</v>
      </c>
      <c r="C188" s="125"/>
      <c r="D188" s="123"/>
      <c r="E188" s="37" t="s">
        <v>127</v>
      </c>
      <c r="F188" s="36" t="s">
        <v>1017</v>
      </c>
      <c r="G188" s="81" t="s">
        <v>226</v>
      </c>
      <c r="H188" s="38" t="s">
        <v>227</v>
      </c>
      <c r="I188" s="38" t="s">
        <v>127</v>
      </c>
      <c r="J188" s="38" t="s">
        <v>127</v>
      </c>
      <c r="K188" s="38" t="s">
        <v>132</v>
      </c>
      <c r="L188" s="81" t="s">
        <v>218</v>
      </c>
      <c r="M188" s="38" t="s">
        <v>127</v>
      </c>
      <c r="N188" s="38" t="s">
        <v>127</v>
      </c>
      <c r="O188" s="38" t="s">
        <v>127</v>
      </c>
      <c r="P188" s="37" t="s">
        <v>135</v>
      </c>
      <c r="Q188" s="37" t="s">
        <v>127</v>
      </c>
      <c r="R188" s="37" t="s">
        <v>127</v>
      </c>
      <c r="S188" s="37" t="s">
        <v>127</v>
      </c>
      <c r="T188" s="37" t="s">
        <v>127</v>
      </c>
      <c r="U188" s="37" t="s">
        <v>981</v>
      </c>
      <c r="V188" s="37" t="b">
        <v>0</v>
      </c>
      <c r="W188" s="37" t="s">
        <v>127</v>
      </c>
      <c r="X188" s="123"/>
      <c r="Y188" s="37" t="s">
        <v>137</v>
      </c>
      <c r="Z188" s="37" t="s">
        <v>137</v>
      </c>
      <c r="AA188" s="37" t="s">
        <v>1018</v>
      </c>
      <c r="AB188" s="37" t="s">
        <v>127</v>
      </c>
      <c r="AC188" s="78">
        <v>1.3</v>
      </c>
      <c r="AD188" s="78">
        <v>2796627</v>
      </c>
      <c r="AE188" s="37" t="s">
        <v>1024</v>
      </c>
      <c r="AF188" s="37">
        <v>21146</v>
      </c>
      <c r="AG188" s="37" t="s">
        <v>127</v>
      </c>
      <c r="AH188" s="37" t="b">
        <v>0</v>
      </c>
      <c r="AI188" s="76" t="s">
        <v>127</v>
      </c>
      <c r="AJ188" s="77" t="s">
        <v>142</v>
      </c>
      <c r="AK188" s="37" t="s">
        <v>127</v>
      </c>
      <c r="AL188" s="37">
        <v>2021</v>
      </c>
      <c r="AM188" s="37" t="b">
        <v>0</v>
      </c>
      <c r="AN188" s="37" t="s">
        <v>127</v>
      </c>
      <c r="AO188" s="37" t="s">
        <v>127</v>
      </c>
      <c r="AP188" s="37" t="s">
        <v>127</v>
      </c>
      <c r="AQ188" s="37" t="b">
        <v>0</v>
      </c>
      <c r="AR188" s="37" t="s">
        <v>127</v>
      </c>
      <c r="AS188" s="37" t="s">
        <v>127</v>
      </c>
      <c r="AT188" s="37" t="s">
        <v>127</v>
      </c>
      <c r="AU188" s="37" t="s">
        <v>127</v>
      </c>
      <c r="AV188" s="37" t="s">
        <v>127</v>
      </c>
      <c r="AW188" s="37" t="s">
        <v>127</v>
      </c>
      <c r="AX188" s="37" t="s">
        <v>161</v>
      </c>
      <c r="AY188" s="37" t="s">
        <v>127</v>
      </c>
      <c r="AZ188" s="37" t="s">
        <v>127</v>
      </c>
      <c r="BA188" s="37" t="s">
        <v>127</v>
      </c>
      <c r="BB188" s="37" t="s">
        <v>143</v>
      </c>
      <c r="BC188" s="77" t="s">
        <v>127</v>
      </c>
      <c r="BD188" s="76" t="s">
        <v>1025</v>
      </c>
      <c r="BE188" s="37" t="s">
        <v>127</v>
      </c>
      <c r="BF188" s="86" t="s">
        <v>1026</v>
      </c>
      <c r="BG188" s="35" t="s">
        <v>1027</v>
      </c>
      <c r="BH188" s="39" t="s">
        <v>1027</v>
      </c>
      <c r="BI188" s="40" t="b">
        <v>1</v>
      </c>
      <c r="BJ188" s="40" t="s">
        <v>137</v>
      </c>
      <c r="BK188" s="37" t="s">
        <v>127</v>
      </c>
      <c r="BL188" s="41">
        <v>20396.071229999998</v>
      </c>
      <c r="BM188" s="41">
        <v>0</v>
      </c>
      <c r="BN188" s="41">
        <v>0</v>
      </c>
      <c r="BO188" s="41">
        <v>11684.993270000001</v>
      </c>
      <c r="BP188" s="41">
        <v>8457.91525</v>
      </c>
      <c r="BQ188" s="41">
        <v>215.55473000000003</v>
      </c>
      <c r="BR188" s="41">
        <v>37.607980000000005</v>
      </c>
      <c r="BS188" s="41">
        <v>0</v>
      </c>
      <c r="BT188" s="41">
        <v>0</v>
      </c>
      <c r="BU188" s="41">
        <v>0</v>
      </c>
      <c r="BV188" s="41">
        <v>0</v>
      </c>
      <c r="BW188" s="49">
        <v>0</v>
      </c>
      <c r="BX188" s="37" t="s">
        <v>127</v>
      </c>
      <c r="BY188" s="37" t="s">
        <v>127</v>
      </c>
      <c r="BZ188" s="37" t="s">
        <v>479</v>
      </c>
      <c r="CA188" s="41">
        <v>0</v>
      </c>
      <c r="CB188" s="41">
        <v>11684.99</v>
      </c>
      <c r="CC188" s="41">
        <v>8457.92</v>
      </c>
      <c r="CD188" s="41">
        <v>215.55</v>
      </c>
      <c r="CE188" s="41">
        <v>49.496660000000006</v>
      </c>
      <c r="CF188" s="41">
        <v>37.607980000000005</v>
      </c>
      <c r="CG188" s="45">
        <v>1</v>
      </c>
      <c r="CH188" s="45">
        <v>0</v>
      </c>
      <c r="CI188" s="37" t="s">
        <v>127</v>
      </c>
      <c r="CJ188" s="77" t="s">
        <v>127</v>
      </c>
      <c r="CK188" s="98">
        <v>1</v>
      </c>
      <c r="CL188" s="98">
        <v>0</v>
      </c>
      <c r="CM188" s="100" t="s">
        <v>1028</v>
      </c>
    </row>
    <row r="189" spans="1:91" ht="12.75" customHeight="1" x14ac:dyDescent="0.3">
      <c r="A189" s="37">
        <v>187</v>
      </c>
      <c r="B189" s="37" t="s">
        <v>1029</v>
      </c>
      <c r="C189" s="125"/>
      <c r="D189" s="123"/>
      <c r="E189" s="37" t="s">
        <v>127</v>
      </c>
      <c r="F189" s="36" t="s">
        <v>1030</v>
      </c>
      <c r="G189" s="81" t="s">
        <v>226</v>
      </c>
      <c r="H189" s="38" t="s">
        <v>227</v>
      </c>
      <c r="I189" s="38" t="s">
        <v>127</v>
      </c>
      <c r="J189" s="38" t="s">
        <v>127</v>
      </c>
      <c r="K189" s="38" t="s">
        <v>132</v>
      </c>
      <c r="L189" s="81" t="s">
        <v>218</v>
      </c>
      <c r="M189" s="38" t="s">
        <v>127</v>
      </c>
      <c r="N189" s="38" t="s">
        <v>127</v>
      </c>
      <c r="O189" s="38" t="s">
        <v>127</v>
      </c>
      <c r="P189" s="37" t="s">
        <v>135</v>
      </c>
      <c r="Q189" s="37" t="s">
        <v>127</v>
      </c>
      <c r="R189" s="37" t="s">
        <v>127</v>
      </c>
      <c r="S189" s="37" t="s">
        <v>127</v>
      </c>
      <c r="T189" s="37" t="s">
        <v>127</v>
      </c>
      <c r="U189" s="37" t="s">
        <v>981</v>
      </c>
      <c r="V189" s="37" t="b">
        <v>0</v>
      </c>
      <c r="W189" s="37" t="s">
        <v>127</v>
      </c>
      <c r="X189" s="123"/>
      <c r="Y189" s="37" t="s">
        <v>137</v>
      </c>
      <c r="Z189" s="37" t="s">
        <v>137</v>
      </c>
      <c r="AA189" s="37" t="s">
        <v>1018</v>
      </c>
      <c r="AB189" s="37" t="s">
        <v>127</v>
      </c>
      <c r="AC189" s="78">
        <v>1.3</v>
      </c>
      <c r="AD189" s="78" t="s">
        <v>1031</v>
      </c>
      <c r="AE189" s="37" t="s">
        <v>1032</v>
      </c>
      <c r="AF189" s="37">
        <v>21146</v>
      </c>
      <c r="AG189" s="37" t="s">
        <v>127</v>
      </c>
      <c r="AH189" s="37" t="b">
        <v>0</v>
      </c>
      <c r="AI189" s="76" t="s">
        <v>127</v>
      </c>
      <c r="AJ189" s="77" t="s">
        <v>142</v>
      </c>
      <c r="AK189" s="37" t="s">
        <v>127</v>
      </c>
      <c r="AL189" s="37">
        <v>2024</v>
      </c>
      <c r="AM189" s="37" t="b">
        <v>0</v>
      </c>
      <c r="AN189" s="37" t="s">
        <v>127</v>
      </c>
      <c r="AO189" s="37" t="s">
        <v>127</v>
      </c>
      <c r="AP189" s="37" t="s">
        <v>127</v>
      </c>
      <c r="AQ189" s="37" t="b">
        <v>0</v>
      </c>
      <c r="AR189" s="37" t="s">
        <v>127</v>
      </c>
      <c r="AS189" s="37" t="s">
        <v>127</v>
      </c>
      <c r="AT189" s="37" t="s">
        <v>127</v>
      </c>
      <c r="AU189" s="37" t="s">
        <v>127</v>
      </c>
      <c r="AV189" s="37" t="s">
        <v>127</v>
      </c>
      <c r="AW189" s="37" t="s">
        <v>127</v>
      </c>
      <c r="AX189" s="37" t="s">
        <v>161</v>
      </c>
      <c r="AY189" s="37" t="s">
        <v>127</v>
      </c>
      <c r="AZ189" s="37" t="s">
        <v>127</v>
      </c>
      <c r="BA189" s="37" t="s">
        <v>127</v>
      </c>
      <c r="BB189" s="37" t="s">
        <v>1033</v>
      </c>
      <c r="BC189" s="77" t="s">
        <v>127</v>
      </c>
      <c r="BD189" s="76" t="s">
        <v>803</v>
      </c>
      <c r="BE189" s="37" t="s">
        <v>127</v>
      </c>
      <c r="BF189" s="86" t="s">
        <v>1034</v>
      </c>
      <c r="BG189" s="35" t="s">
        <v>127</v>
      </c>
      <c r="BH189" s="39" t="s">
        <v>127</v>
      </c>
      <c r="BI189" s="40" t="b">
        <v>1</v>
      </c>
      <c r="BJ189" s="40" t="s">
        <v>137</v>
      </c>
      <c r="BK189" s="37" t="s">
        <v>127</v>
      </c>
      <c r="BL189" s="41">
        <v>17901.722536980775</v>
      </c>
      <c r="BM189" s="41">
        <v>0</v>
      </c>
      <c r="BN189" s="41">
        <v>0</v>
      </c>
      <c r="BO189" s="41">
        <v>0</v>
      </c>
      <c r="BP189" s="41">
        <v>0</v>
      </c>
      <c r="BQ189" s="41">
        <v>0</v>
      </c>
      <c r="BR189" s="41">
        <v>7060.6176029999997</v>
      </c>
      <c r="BS189" s="41">
        <v>10841.10493</v>
      </c>
      <c r="BT189" s="41">
        <v>0</v>
      </c>
      <c r="BU189" s="41">
        <v>0</v>
      </c>
      <c r="BV189" s="41">
        <v>0</v>
      </c>
      <c r="BW189" s="41">
        <v>0</v>
      </c>
      <c r="BX189" s="37" t="s">
        <v>127</v>
      </c>
      <c r="BY189" s="37" t="s">
        <v>127</v>
      </c>
      <c r="BZ189" s="37" t="s">
        <v>173</v>
      </c>
      <c r="CA189" s="41">
        <v>0</v>
      </c>
      <c r="CB189" s="41">
        <v>0</v>
      </c>
      <c r="CC189" s="41">
        <v>0</v>
      </c>
      <c r="CD189" s="41">
        <v>0</v>
      </c>
      <c r="CE189" s="41">
        <v>0</v>
      </c>
      <c r="CF189" s="41">
        <v>7060.6176029837452</v>
      </c>
      <c r="CG189" s="45">
        <v>1</v>
      </c>
      <c r="CH189" s="45">
        <v>0</v>
      </c>
      <c r="CI189" s="37" t="s">
        <v>127</v>
      </c>
      <c r="CJ189" s="77" t="s">
        <v>127</v>
      </c>
      <c r="CK189" s="98">
        <v>1</v>
      </c>
      <c r="CL189" s="98">
        <v>0</v>
      </c>
      <c r="CM189" s="100" t="s">
        <v>1035</v>
      </c>
    </row>
    <row r="190" spans="1:91" ht="12.75" customHeight="1" x14ac:dyDescent="0.3">
      <c r="A190" s="37">
        <v>188</v>
      </c>
      <c r="B190" s="37" t="s">
        <v>1036</v>
      </c>
      <c r="C190" s="125"/>
      <c r="D190" s="123"/>
      <c r="E190" s="77" t="s">
        <v>127</v>
      </c>
      <c r="F190" s="36" t="s">
        <v>1037</v>
      </c>
      <c r="G190" s="75" t="s">
        <v>129</v>
      </c>
      <c r="H190" s="37" t="s">
        <v>131</v>
      </c>
      <c r="I190" s="37" t="s">
        <v>127</v>
      </c>
      <c r="J190" s="37" t="s">
        <v>127</v>
      </c>
      <c r="K190" s="37" t="s">
        <v>132</v>
      </c>
      <c r="L190" s="75" t="s">
        <v>206</v>
      </c>
      <c r="M190" s="37" t="s">
        <v>127</v>
      </c>
      <c r="N190" s="37" t="s">
        <v>127</v>
      </c>
      <c r="O190" s="76" t="s">
        <v>127</v>
      </c>
      <c r="P190" s="37" t="s">
        <v>135</v>
      </c>
      <c r="Q190" s="37" t="s">
        <v>127</v>
      </c>
      <c r="R190" s="37" t="s">
        <v>127</v>
      </c>
      <c r="S190" s="37" t="s">
        <v>127</v>
      </c>
      <c r="T190" s="37" t="s">
        <v>127</v>
      </c>
      <c r="U190" s="37" t="s">
        <v>136</v>
      </c>
      <c r="V190" s="37" t="b">
        <v>0</v>
      </c>
      <c r="W190" s="77" t="s">
        <v>127</v>
      </c>
      <c r="X190" s="123"/>
      <c r="Y190" s="37" t="s">
        <v>137</v>
      </c>
      <c r="Z190" s="37" t="s">
        <v>137</v>
      </c>
      <c r="AA190" s="37" t="s">
        <v>153</v>
      </c>
      <c r="AB190" s="37" t="s">
        <v>127</v>
      </c>
      <c r="AC190" s="78">
        <v>1.2</v>
      </c>
      <c r="AD190" s="78" t="s">
        <v>139</v>
      </c>
      <c r="AE190" s="37" t="s">
        <v>140</v>
      </c>
      <c r="AF190" s="37">
        <v>21150</v>
      </c>
      <c r="AG190" s="37" t="s">
        <v>141</v>
      </c>
      <c r="AH190" s="37" t="b">
        <v>1</v>
      </c>
      <c r="AI190" s="76">
        <v>45309</v>
      </c>
      <c r="AJ190" s="77" t="s">
        <v>142</v>
      </c>
      <c r="AK190" s="37" t="s">
        <v>127</v>
      </c>
      <c r="AL190" s="37" t="s">
        <v>127</v>
      </c>
      <c r="AM190" s="37" t="b">
        <v>0</v>
      </c>
      <c r="AN190" s="37" t="s">
        <v>127</v>
      </c>
      <c r="AO190" s="37" t="s">
        <v>127</v>
      </c>
      <c r="AP190" s="37" t="s">
        <v>137</v>
      </c>
      <c r="AQ190" s="37" t="b">
        <v>0</v>
      </c>
      <c r="AR190" s="37" t="s">
        <v>127</v>
      </c>
      <c r="AS190" s="76" t="s">
        <v>137</v>
      </c>
      <c r="AT190" s="37" t="s">
        <v>127</v>
      </c>
      <c r="AU190" s="37" t="s">
        <v>127</v>
      </c>
      <c r="AV190" s="37" t="s">
        <v>137</v>
      </c>
      <c r="AW190" s="37" t="s">
        <v>137</v>
      </c>
      <c r="AX190" s="37" t="s">
        <v>127</v>
      </c>
      <c r="AY190" s="76" t="s">
        <v>127</v>
      </c>
      <c r="AZ190" s="77" t="s">
        <v>127</v>
      </c>
      <c r="BA190" s="37" t="s">
        <v>127</v>
      </c>
      <c r="BB190" s="37" t="s">
        <v>143</v>
      </c>
      <c r="BC190" s="77" t="s">
        <v>127</v>
      </c>
      <c r="BD190" s="76" t="s">
        <v>127</v>
      </c>
      <c r="BE190" s="37" t="s">
        <v>137</v>
      </c>
      <c r="BF190" s="80" t="s">
        <v>127</v>
      </c>
      <c r="BG190" s="39" t="s">
        <v>127</v>
      </c>
      <c r="BH190" s="37" t="s">
        <v>127</v>
      </c>
      <c r="BI190" s="40" t="b">
        <v>1</v>
      </c>
      <c r="BJ190" s="40" t="s">
        <v>137</v>
      </c>
      <c r="BK190" s="37" t="s">
        <v>127</v>
      </c>
      <c r="BL190" s="110">
        <f>49739.9033362849-SUM(BL191:BL192)</f>
        <v>27617.565026284901</v>
      </c>
      <c r="BM190" s="110">
        <f>5038.01725-SUM(BM191:BM192)</f>
        <v>1368.0013999999996</v>
      </c>
      <c r="BN190" s="110">
        <f>6832.62686-SUM(BN191:BN192)</f>
        <v>1485.7919199999997</v>
      </c>
      <c r="BO190" s="110">
        <f>8061.88101-SUM(BO191:BO192)</f>
        <v>1522.2628900000009</v>
      </c>
      <c r="BP190" s="110">
        <f>2673.49428-SUM(BP191:BP192)</f>
        <v>972.89939999999888</v>
      </c>
      <c r="BQ190" s="110">
        <f>4026.15165-SUM(BQ191:BQ192)</f>
        <v>2654.4209500000002</v>
      </c>
      <c r="BR190" s="110">
        <f>3346.38882355905-SUM(BR191:BR192)</f>
        <v>3341.5113835590496</v>
      </c>
      <c r="BS190" s="110">
        <f>3746.84802862096-SUM(BS191:BS192)</f>
        <v>3746.8480286209601</v>
      </c>
      <c r="BT190" s="110">
        <f>3849.33305850497-SUM(BT191:BT192)</f>
        <v>3849.3330585049698</v>
      </c>
      <c r="BU190" s="110">
        <f>4236.18376648115-SUM(BU191:BU192)</f>
        <v>4236.1837664811501</v>
      </c>
      <c r="BV190" s="110">
        <f>4268.53717911878-SUM(BV191:BV192)</f>
        <v>4268.5371791187799</v>
      </c>
      <c r="BW190" s="111">
        <f>2122.65512-SUM(BW191:BW192)</f>
        <v>2122.6551199999999</v>
      </c>
      <c r="BX190" s="37" t="s">
        <v>127</v>
      </c>
      <c r="BY190" s="37" t="s">
        <v>127</v>
      </c>
      <c r="BZ190" s="37" t="s">
        <v>155</v>
      </c>
      <c r="CA190" s="41">
        <v>636.84799999999996</v>
      </c>
      <c r="CB190" s="41">
        <v>1657.13</v>
      </c>
      <c r="CC190" s="41">
        <v>673.51</v>
      </c>
      <c r="CD190" s="41">
        <v>1024.3599999999999</v>
      </c>
      <c r="CE190" s="41">
        <v>1030.44</v>
      </c>
      <c r="CF190" s="110">
        <f>1597.68114371859-SUM(CF191:CF192)</f>
        <v>1592.80370371859</v>
      </c>
      <c r="CG190" s="45">
        <v>0</v>
      </c>
      <c r="CH190" s="45" t="s">
        <v>137</v>
      </c>
      <c r="CI190" s="37" t="s">
        <v>127</v>
      </c>
      <c r="CJ190" s="77" t="s">
        <v>127</v>
      </c>
      <c r="CK190" s="98">
        <v>0.18140000000000001</v>
      </c>
      <c r="CL190" s="98">
        <v>0.81859999999999999</v>
      </c>
      <c r="CM190" s="100" t="s">
        <v>798</v>
      </c>
    </row>
    <row r="191" spans="1:91" ht="12.75" customHeight="1" x14ac:dyDescent="0.3">
      <c r="A191" s="37">
        <v>189</v>
      </c>
      <c r="B191" s="37" t="s">
        <v>1038</v>
      </c>
      <c r="C191" s="124"/>
      <c r="D191" s="124"/>
      <c r="E191" s="37" t="s">
        <v>258</v>
      </c>
      <c r="F191" s="36" t="s">
        <v>1039</v>
      </c>
      <c r="G191" s="81" t="s">
        <v>211</v>
      </c>
      <c r="H191" s="38" t="s">
        <v>152</v>
      </c>
      <c r="I191" s="38" t="s">
        <v>127</v>
      </c>
      <c r="J191" s="38" t="s">
        <v>127</v>
      </c>
      <c r="K191" s="38" t="s">
        <v>228</v>
      </c>
      <c r="L191" s="81" t="s">
        <v>206</v>
      </c>
      <c r="M191" s="38" t="s">
        <v>127</v>
      </c>
      <c r="N191" s="38" t="s">
        <v>127</v>
      </c>
      <c r="O191" s="80">
        <v>45068</v>
      </c>
      <c r="P191" s="37">
        <v>49</v>
      </c>
      <c r="Q191" s="37" t="s">
        <v>127</v>
      </c>
      <c r="R191" s="37" t="s">
        <v>127</v>
      </c>
      <c r="S191" s="37" t="s">
        <v>127</v>
      </c>
      <c r="T191" s="37" t="s">
        <v>127</v>
      </c>
      <c r="U191" s="37" t="s">
        <v>136</v>
      </c>
      <c r="V191" s="37" t="b">
        <v>0</v>
      </c>
      <c r="W191" s="37" t="s">
        <v>127</v>
      </c>
      <c r="X191" s="123"/>
      <c r="Y191" s="37" t="s">
        <v>127</v>
      </c>
      <c r="Z191" s="37" t="s">
        <v>127</v>
      </c>
      <c r="AA191" s="37">
        <v>69</v>
      </c>
      <c r="AB191" s="37" t="s">
        <v>127</v>
      </c>
      <c r="AC191" s="78">
        <v>1.1000000000000001</v>
      </c>
      <c r="AD191" s="78">
        <v>2529033</v>
      </c>
      <c r="AE191" s="37" t="s">
        <v>1040</v>
      </c>
      <c r="AF191" s="37">
        <v>21150</v>
      </c>
      <c r="AG191" s="37" t="s">
        <v>127</v>
      </c>
      <c r="AH191" s="37" t="b">
        <v>0</v>
      </c>
      <c r="AI191" s="76" t="s">
        <v>127</v>
      </c>
      <c r="AJ191" s="77" t="s">
        <v>142</v>
      </c>
      <c r="AK191" s="37" t="s">
        <v>127</v>
      </c>
      <c r="AL191" s="37" t="s">
        <v>127</v>
      </c>
      <c r="AM191" s="37" t="b">
        <v>0</v>
      </c>
      <c r="AN191" s="37" t="s">
        <v>127</v>
      </c>
      <c r="AO191" s="37" t="s">
        <v>127</v>
      </c>
      <c r="AP191" s="37" t="s">
        <v>127</v>
      </c>
      <c r="AQ191" s="37" t="b">
        <v>0</v>
      </c>
      <c r="AR191" s="37" t="s">
        <v>127</v>
      </c>
      <c r="AS191" s="37" t="s">
        <v>127</v>
      </c>
      <c r="AT191" s="37" t="s">
        <v>127</v>
      </c>
      <c r="AU191" s="37" t="s">
        <v>127</v>
      </c>
      <c r="AV191" s="37" t="s">
        <v>127</v>
      </c>
      <c r="AW191" s="37" t="s">
        <v>127</v>
      </c>
      <c r="AX191" s="37" t="s">
        <v>161</v>
      </c>
      <c r="AY191" s="37" t="s">
        <v>127</v>
      </c>
      <c r="AZ191" s="37" t="s">
        <v>127</v>
      </c>
      <c r="BA191" s="37" t="s">
        <v>127</v>
      </c>
      <c r="BB191" s="37" t="s">
        <v>812</v>
      </c>
      <c r="BC191" s="77" t="s">
        <v>127</v>
      </c>
      <c r="BD191" s="76" t="s">
        <v>1041</v>
      </c>
      <c r="BE191" s="37" t="s">
        <v>127</v>
      </c>
      <c r="BF191" s="86" t="s">
        <v>1042</v>
      </c>
      <c r="BG191" s="39" t="s">
        <v>127</v>
      </c>
      <c r="BH191" s="39" t="s">
        <v>127</v>
      </c>
      <c r="BI191" s="40" t="b">
        <v>1</v>
      </c>
      <c r="BJ191" s="40" t="s">
        <v>137</v>
      </c>
      <c r="BK191" s="37" t="s">
        <v>127</v>
      </c>
      <c r="BL191" s="41">
        <v>1308.0284199999996</v>
      </c>
      <c r="BM191" s="41">
        <v>0</v>
      </c>
      <c r="BN191" s="41">
        <v>0</v>
      </c>
      <c r="BO191" s="41">
        <v>0</v>
      </c>
      <c r="BP191" s="41">
        <v>0</v>
      </c>
      <c r="BQ191" s="41">
        <v>1303.1509799999997</v>
      </c>
      <c r="BR191" s="41">
        <v>4.87744</v>
      </c>
      <c r="BS191" s="41">
        <v>0</v>
      </c>
      <c r="BT191" s="41">
        <v>0</v>
      </c>
      <c r="BU191" s="41">
        <v>0</v>
      </c>
      <c r="BV191" s="41">
        <v>0</v>
      </c>
      <c r="BW191" s="49">
        <v>0</v>
      </c>
      <c r="BX191" s="37" t="s">
        <v>127</v>
      </c>
      <c r="BY191" s="37" t="s">
        <v>127</v>
      </c>
      <c r="BZ191" s="37" t="s">
        <v>198</v>
      </c>
      <c r="CA191" s="41">
        <v>0</v>
      </c>
      <c r="CB191" s="41">
        <v>0</v>
      </c>
      <c r="CC191" s="41">
        <v>0</v>
      </c>
      <c r="CD191" s="41">
        <v>1303.1500000000001</v>
      </c>
      <c r="CE191" s="41">
        <v>4.88</v>
      </c>
      <c r="CF191" s="41">
        <v>4.87744</v>
      </c>
      <c r="CG191" s="45">
        <v>0</v>
      </c>
      <c r="CH191" s="45" t="s">
        <v>127</v>
      </c>
      <c r="CI191" s="37" t="s">
        <v>127</v>
      </c>
      <c r="CJ191" s="77" t="s">
        <v>127</v>
      </c>
      <c r="CK191" s="98">
        <v>0.18140000000000001</v>
      </c>
      <c r="CL191" s="98">
        <v>0.81859999999999999</v>
      </c>
      <c r="CM191" s="100" t="s">
        <v>943</v>
      </c>
    </row>
    <row r="192" spans="1:91" ht="12.75" customHeight="1" x14ac:dyDescent="0.3">
      <c r="A192" s="37">
        <v>190</v>
      </c>
      <c r="B192" s="37" t="s">
        <v>1043</v>
      </c>
      <c r="C192" s="124"/>
      <c r="D192" s="124"/>
      <c r="E192" s="37" t="s">
        <v>1044</v>
      </c>
      <c r="F192" s="36" t="s">
        <v>1045</v>
      </c>
      <c r="G192" s="81" t="s">
        <v>242</v>
      </c>
      <c r="H192" s="38" t="s">
        <v>152</v>
      </c>
      <c r="I192" s="38" t="s">
        <v>127</v>
      </c>
      <c r="J192" s="38" t="s">
        <v>127</v>
      </c>
      <c r="K192" s="38" t="s">
        <v>797</v>
      </c>
      <c r="L192" s="81" t="s">
        <v>133</v>
      </c>
      <c r="M192" s="38" t="s">
        <v>127</v>
      </c>
      <c r="N192" s="38" t="s">
        <v>127</v>
      </c>
      <c r="O192" s="80">
        <v>45090</v>
      </c>
      <c r="P192" s="37">
        <v>58</v>
      </c>
      <c r="Q192" s="37" t="s">
        <v>127</v>
      </c>
      <c r="R192" s="37" t="s">
        <v>127</v>
      </c>
      <c r="S192" s="37" t="s">
        <v>127</v>
      </c>
      <c r="T192" s="37" t="s">
        <v>315</v>
      </c>
      <c r="U192" s="37" t="s">
        <v>718</v>
      </c>
      <c r="V192" s="37" t="b">
        <v>0</v>
      </c>
      <c r="W192" s="37" t="s">
        <v>127</v>
      </c>
      <c r="X192" s="123"/>
      <c r="Y192" s="37" t="s">
        <v>127</v>
      </c>
      <c r="Z192" s="37" t="s">
        <v>127</v>
      </c>
      <c r="AA192" s="37">
        <v>230</v>
      </c>
      <c r="AB192" s="37" t="s">
        <v>127</v>
      </c>
      <c r="AC192" s="78">
        <v>1.1000000000000001</v>
      </c>
      <c r="AD192" s="78">
        <v>5000094</v>
      </c>
      <c r="AE192" s="37" t="s">
        <v>1046</v>
      </c>
      <c r="AF192" s="37">
        <v>21150</v>
      </c>
      <c r="AG192" s="37" t="s">
        <v>127</v>
      </c>
      <c r="AH192" s="37" t="b">
        <v>0</v>
      </c>
      <c r="AI192" s="76" t="s">
        <v>127</v>
      </c>
      <c r="AJ192" s="77" t="s">
        <v>142</v>
      </c>
      <c r="AK192" s="37" t="s">
        <v>127</v>
      </c>
      <c r="AL192" s="37" t="s">
        <v>127</v>
      </c>
      <c r="AM192" s="37" t="b">
        <v>0</v>
      </c>
      <c r="AN192" s="37" t="s">
        <v>127</v>
      </c>
      <c r="AO192" s="37" t="s">
        <v>127</v>
      </c>
      <c r="AP192" s="37" t="s">
        <v>127</v>
      </c>
      <c r="AQ192" s="37" t="b">
        <v>0</v>
      </c>
      <c r="AR192" s="37" t="s">
        <v>127</v>
      </c>
      <c r="AS192" s="37" t="s">
        <v>127</v>
      </c>
      <c r="AT192" s="37" t="s">
        <v>127</v>
      </c>
      <c r="AU192" s="37" t="s">
        <v>127</v>
      </c>
      <c r="AV192" s="37" t="s">
        <v>127</v>
      </c>
      <c r="AW192" s="37" t="s">
        <v>127</v>
      </c>
      <c r="AX192" s="37" t="s">
        <v>127</v>
      </c>
      <c r="AY192" s="37" t="s">
        <v>127</v>
      </c>
      <c r="AZ192" s="37" t="s">
        <v>127</v>
      </c>
      <c r="BA192" s="37" t="s">
        <v>127</v>
      </c>
      <c r="BB192" s="37" t="s">
        <v>143</v>
      </c>
      <c r="BC192" s="77" t="s">
        <v>127</v>
      </c>
      <c r="BD192" s="76" t="s">
        <v>127</v>
      </c>
      <c r="BE192" s="37" t="s">
        <v>127</v>
      </c>
      <c r="BF192" s="37" t="s">
        <v>127</v>
      </c>
      <c r="BG192" s="39" t="s">
        <v>127</v>
      </c>
      <c r="BH192" s="39" t="s">
        <v>127</v>
      </c>
      <c r="BI192" s="40" t="b">
        <v>0</v>
      </c>
      <c r="BJ192" s="40" t="s">
        <v>137</v>
      </c>
      <c r="BK192" s="37" t="s">
        <v>127</v>
      </c>
      <c r="BL192" s="41">
        <v>20814.30989</v>
      </c>
      <c r="BM192" s="41">
        <v>3670.0158500000002</v>
      </c>
      <c r="BN192" s="41">
        <v>5346.8349400000006</v>
      </c>
      <c r="BO192" s="41">
        <v>6539.6181199999992</v>
      </c>
      <c r="BP192" s="41">
        <v>1700.594880000001</v>
      </c>
      <c r="BQ192" s="41">
        <v>68.579719999999995</v>
      </c>
      <c r="BR192" s="41">
        <v>0</v>
      </c>
      <c r="BS192" s="41">
        <v>0</v>
      </c>
      <c r="BT192" s="41">
        <v>0</v>
      </c>
      <c r="BU192" s="41">
        <v>0</v>
      </c>
      <c r="BV192" s="41">
        <v>0</v>
      </c>
      <c r="BW192" s="49">
        <v>0</v>
      </c>
      <c r="BX192" s="37" t="s">
        <v>127</v>
      </c>
      <c r="BY192" s="37" t="s">
        <v>127</v>
      </c>
      <c r="BZ192" s="37" t="s">
        <v>203</v>
      </c>
      <c r="CA192" s="41">
        <v>4590.6490000000003</v>
      </c>
      <c r="CB192" s="41">
        <v>6268.69</v>
      </c>
      <c r="CC192" s="41">
        <v>1463.97</v>
      </c>
      <c r="CD192" s="41">
        <v>68.58</v>
      </c>
      <c r="CE192" s="41">
        <v>0</v>
      </c>
      <c r="CF192" s="41">
        <v>0</v>
      </c>
      <c r="CG192" s="45">
        <v>0</v>
      </c>
      <c r="CH192" s="45" t="s">
        <v>127</v>
      </c>
      <c r="CI192" s="37" t="s">
        <v>127</v>
      </c>
      <c r="CJ192" s="77" t="s">
        <v>127</v>
      </c>
      <c r="CK192" s="98">
        <v>0.18140000000000001</v>
      </c>
      <c r="CL192" s="98">
        <v>0.81859999999999999</v>
      </c>
      <c r="CM192" s="100" t="s">
        <v>189</v>
      </c>
    </row>
    <row r="193" spans="1:91" ht="12.75" customHeight="1" x14ac:dyDescent="0.3">
      <c r="A193" s="37">
        <v>191</v>
      </c>
      <c r="B193" s="37" t="s">
        <v>1047</v>
      </c>
      <c r="C193" s="125"/>
      <c r="D193" s="123"/>
      <c r="E193" s="77" t="s">
        <v>127</v>
      </c>
      <c r="F193" s="36" t="s">
        <v>1048</v>
      </c>
      <c r="G193" s="75" t="s">
        <v>152</v>
      </c>
      <c r="H193" s="37" t="s">
        <v>227</v>
      </c>
      <c r="I193" s="37" t="s">
        <v>131</v>
      </c>
      <c r="J193" s="37" t="s">
        <v>127</v>
      </c>
      <c r="K193" s="37" t="s">
        <v>291</v>
      </c>
      <c r="L193" s="75" t="s">
        <v>292</v>
      </c>
      <c r="M193" s="37" t="s">
        <v>1049</v>
      </c>
      <c r="N193" s="37" t="s">
        <v>127</v>
      </c>
      <c r="O193" s="76" t="s">
        <v>127</v>
      </c>
      <c r="P193" s="37" t="s">
        <v>135</v>
      </c>
      <c r="Q193" s="37" t="s">
        <v>1050</v>
      </c>
      <c r="R193" s="37" t="s">
        <v>430</v>
      </c>
      <c r="S193" s="37" t="s">
        <v>127</v>
      </c>
      <c r="T193" s="37" t="s">
        <v>127</v>
      </c>
      <c r="U193" s="37" t="s">
        <v>136</v>
      </c>
      <c r="V193" s="37" t="b">
        <v>0</v>
      </c>
      <c r="W193" s="77" t="s">
        <v>127</v>
      </c>
      <c r="X193" s="123"/>
      <c r="Y193" s="37" t="s">
        <v>137</v>
      </c>
      <c r="Z193" s="37" t="s">
        <v>137</v>
      </c>
      <c r="AA193" s="37" t="s">
        <v>153</v>
      </c>
      <c r="AB193" s="37" t="s">
        <v>127</v>
      </c>
      <c r="AC193" s="78">
        <v>2.1</v>
      </c>
      <c r="AD193" s="78" t="s">
        <v>139</v>
      </c>
      <c r="AE193" s="37" t="s">
        <v>140</v>
      </c>
      <c r="AF193" s="37">
        <v>21156</v>
      </c>
      <c r="AG193" s="37" t="s">
        <v>141</v>
      </c>
      <c r="AH193" s="37" t="b">
        <v>1</v>
      </c>
      <c r="AI193" s="76">
        <v>45258</v>
      </c>
      <c r="AJ193" s="77" t="s">
        <v>142</v>
      </c>
      <c r="AK193" s="37" t="s">
        <v>127</v>
      </c>
      <c r="AL193" s="37" t="s">
        <v>127</v>
      </c>
      <c r="AM193" s="37" t="b">
        <v>0</v>
      </c>
      <c r="AN193" s="37" t="s">
        <v>127</v>
      </c>
      <c r="AO193" s="37" t="s">
        <v>127</v>
      </c>
      <c r="AP193" s="37" t="s">
        <v>137</v>
      </c>
      <c r="AQ193" s="37" t="b">
        <v>1</v>
      </c>
      <c r="AR193" s="37" t="s">
        <v>150</v>
      </c>
      <c r="AS193" s="76" t="s">
        <v>137</v>
      </c>
      <c r="AT193" s="37" t="s">
        <v>127</v>
      </c>
      <c r="AU193" s="37" t="s">
        <v>127</v>
      </c>
      <c r="AV193" s="37" t="s">
        <v>137</v>
      </c>
      <c r="AW193" s="37" t="s">
        <v>137</v>
      </c>
      <c r="AX193" s="37" t="s">
        <v>127</v>
      </c>
      <c r="AY193" s="76" t="s">
        <v>127</v>
      </c>
      <c r="AZ193" s="77" t="s">
        <v>127</v>
      </c>
      <c r="BA193" s="37" t="s">
        <v>127</v>
      </c>
      <c r="BB193" s="37" t="s">
        <v>143</v>
      </c>
      <c r="BC193" s="77" t="s">
        <v>127</v>
      </c>
      <c r="BD193" s="76" t="s">
        <v>127</v>
      </c>
      <c r="BE193" s="37" t="s">
        <v>137</v>
      </c>
      <c r="BF193" s="80" t="s">
        <v>127</v>
      </c>
      <c r="BG193" s="39" t="s">
        <v>127</v>
      </c>
      <c r="BH193" s="37" t="s">
        <v>127</v>
      </c>
      <c r="BI193" s="40" t="b">
        <v>1</v>
      </c>
      <c r="BJ193" s="40" t="s">
        <v>137</v>
      </c>
      <c r="BK193" s="37" t="s">
        <v>127</v>
      </c>
      <c r="BL193" s="110">
        <f>126448.051383558-SUM(BL194:BL198)</f>
        <v>81320.814351951936</v>
      </c>
      <c r="BM193" s="110">
        <f>4053.670141512-SUM(BM194:BM198)</f>
        <v>2383.010298274</v>
      </c>
      <c r="BN193" s="110">
        <f>2959.05418671-SUM(BN194:BN198)</f>
        <v>2049.9682038049996</v>
      </c>
      <c r="BO193" s="110">
        <f>5407.831777127-SUM(BO194:BO198)</f>
        <v>5319.7218598070003</v>
      </c>
      <c r="BP193" s="110">
        <f>1916.132212051-SUM(BP194:BP198)</f>
        <v>1366.6837080949999</v>
      </c>
      <c r="BQ193" s="110">
        <f>-85.373132696003-SUM(BQ194:BQ198)</f>
        <v>-884.66049539000323</v>
      </c>
      <c r="BR193" s="110">
        <f>6904.10676941505-SUM(BR194:BR198)</f>
        <v>6007.1553601961314</v>
      </c>
      <c r="BS193" s="110">
        <f>6870.8192984983-SUM(BS194:BS198)</f>
        <v>-410.14026613598071</v>
      </c>
      <c r="BT193" s="110">
        <f>33879.6677332867-SUM(BT194:BT198)</f>
        <v>33788.627592110839</v>
      </c>
      <c r="BU193" s="110">
        <f>39802.7144675463-SUM(BU194:BU198)</f>
        <v>7118.2136641862999</v>
      </c>
      <c r="BV193" s="110">
        <f>1484.63849229234-SUM(BV194:BV198)</f>
        <v>1484.6384922923401</v>
      </c>
      <c r="BW193" s="111">
        <f>11251.43265-SUM(BW194:BW198)</f>
        <v>9369.3856100000012</v>
      </c>
      <c r="BX193" s="37" t="s">
        <v>127</v>
      </c>
      <c r="BY193" s="37" t="s">
        <v>127</v>
      </c>
      <c r="BZ193" s="37" t="s">
        <v>155</v>
      </c>
      <c r="CA193" s="41">
        <v>2203.3870000000002</v>
      </c>
      <c r="CB193" s="41">
        <v>4753.08</v>
      </c>
      <c r="CC193" s="41">
        <v>1161.5999999999999</v>
      </c>
      <c r="CD193" s="41">
        <v>-2336.188689999999</v>
      </c>
      <c r="CE193" s="41">
        <v>-4070.2344399999993</v>
      </c>
      <c r="CF193" s="110">
        <f>7407.90720047838-SUM(CF194:CF198)</f>
        <v>6354.1684487334578</v>
      </c>
      <c r="CG193" s="45">
        <v>0</v>
      </c>
      <c r="CH193" s="45" t="s">
        <v>127</v>
      </c>
      <c r="CI193" s="37" t="s">
        <v>127</v>
      </c>
      <c r="CJ193" s="77" t="s">
        <v>127</v>
      </c>
      <c r="CK193" s="98">
        <v>0.18140000000000001</v>
      </c>
      <c r="CL193" s="98">
        <v>0.81859999999999999</v>
      </c>
      <c r="CM193" s="100" t="s">
        <v>1051</v>
      </c>
    </row>
    <row r="194" spans="1:91" ht="12.75" customHeight="1" x14ac:dyDescent="0.3">
      <c r="A194" s="37">
        <v>192</v>
      </c>
      <c r="B194" s="37" t="s">
        <v>1052</v>
      </c>
      <c r="C194" s="124"/>
      <c r="D194" s="124"/>
      <c r="E194" s="37" t="s">
        <v>911</v>
      </c>
      <c r="F194" s="36" t="s">
        <v>1053</v>
      </c>
      <c r="G194" s="81" t="s">
        <v>148</v>
      </c>
      <c r="H194" s="38" t="s">
        <v>227</v>
      </c>
      <c r="I194" s="38" t="s">
        <v>127</v>
      </c>
      <c r="J194" s="38" t="s">
        <v>127</v>
      </c>
      <c r="K194" s="38" t="s">
        <v>291</v>
      </c>
      <c r="L194" s="81" t="s">
        <v>1054</v>
      </c>
      <c r="M194" s="38" t="s">
        <v>1049</v>
      </c>
      <c r="N194" s="38" t="s">
        <v>127</v>
      </c>
      <c r="O194" s="76">
        <v>44742</v>
      </c>
      <c r="P194" s="37">
        <v>23.5</v>
      </c>
      <c r="Q194" s="37" t="s">
        <v>127</v>
      </c>
      <c r="R194" s="37" t="s">
        <v>127</v>
      </c>
      <c r="S194" s="37" t="s">
        <v>127</v>
      </c>
      <c r="T194" s="37" t="s">
        <v>127</v>
      </c>
      <c r="U194" s="77" t="s">
        <v>136</v>
      </c>
      <c r="V194" s="37" t="b">
        <v>0</v>
      </c>
      <c r="W194" s="37" t="s">
        <v>127</v>
      </c>
      <c r="X194" s="123"/>
      <c r="Y194" s="37" t="s">
        <v>127</v>
      </c>
      <c r="Z194" s="37">
        <v>4.78</v>
      </c>
      <c r="AA194" s="37">
        <v>138</v>
      </c>
      <c r="AB194" s="37" t="s">
        <v>1055</v>
      </c>
      <c r="AC194" s="78">
        <v>2.1</v>
      </c>
      <c r="AD194" s="78">
        <v>5502169</v>
      </c>
      <c r="AE194" s="37" t="s">
        <v>1056</v>
      </c>
      <c r="AF194" s="37">
        <v>21156</v>
      </c>
      <c r="AG194" s="37" t="s">
        <v>127</v>
      </c>
      <c r="AH194" s="37" t="b">
        <v>1</v>
      </c>
      <c r="AI194" s="76" t="s">
        <v>127</v>
      </c>
      <c r="AJ194" s="77" t="s">
        <v>142</v>
      </c>
      <c r="AK194" s="37" t="s">
        <v>127</v>
      </c>
      <c r="AL194" s="37" t="s">
        <v>127</v>
      </c>
      <c r="AM194" s="37" t="b">
        <v>0</v>
      </c>
      <c r="AN194" s="37" t="s">
        <v>127</v>
      </c>
      <c r="AO194" s="37" t="s">
        <v>127</v>
      </c>
      <c r="AP194" s="37" t="s">
        <v>127</v>
      </c>
      <c r="AQ194" s="37" t="b">
        <v>1</v>
      </c>
      <c r="AR194" s="37" t="s">
        <v>127</v>
      </c>
      <c r="AS194" s="37" t="s">
        <v>127</v>
      </c>
      <c r="AT194" s="37" t="s">
        <v>127</v>
      </c>
      <c r="AU194" s="37" t="s">
        <v>127</v>
      </c>
      <c r="AV194" s="37" t="s">
        <v>127</v>
      </c>
      <c r="AW194" s="37" t="s">
        <v>127</v>
      </c>
      <c r="AX194" s="37" t="s">
        <v>532</v>
      </c>
      <c r="AY194" s="37" t="s">
        <v>127</v>
      </c>
      <c r="AZ194" s="37" t="s">
        <v>127</v>
      </c>
      <c r="BA194" s="37" t="s">
        <v>127</v>
      </c>
      <c r="BB194" s="37" t="s">
        <v>460</v>
      </c>
      <c r="BC194" s="77" t="s">
        <v>127</v>
      </c>
      <c r="BD194" s="76" t="s">
        <v>1057</v>
      </c>
      <c r="BE194" s="37" t="s">
        <v>127</v>
      </c>
      <c r="BF194" s="37" t="s">
        <v>127</v>
      </c>
      <c r="BG194" s="39" t="s">
        <v>127</v>
      </c>
      <c r="BH194" s="39" t="s">
        <v>127</v>
      </c>
      <c r="BI194" s="40" t="b">
        <v>0</v>
      </c>
      <c r="BJ194" s="40" t="s">
        <v>137</v>
      </c>
      <c r="BK194" s="37" t="s">
        <v>127</v>
      </c>
      <c r="BL194" s="41">
        <v>33617.810769409771</v>
      </c>
      <c r="BM194" s="41">
        <v>0</v>
      </c>
      <c r="BN194" s="41">
        <v>0</v>
      </c>
      <c r="BO194" s="41">
        <v>19.709869999999999</v>
      </c>
      <c r="BP194" s="41">
        <v>141.98529000000005</v>
      </c>
      <c r="BQ194" s="41">
        <v>283.84161</v>
      </c>
      <c r="BR194" s="41">
        <v>350.14674728647498</v>
      </c>
      <c r="BS194" s="41">
        <v>137.62644876329506</v>
      </c>
      <c r="BT194" s="41">
        <v>0</v>
      </c>
      <c r="BU194" s="41">
        <v>32684.500803359999</v>
      </c>
      <c r="BV194" s="41">
        <v>0</v>
      </c>
      <c r="BW194" s="49">
        <v>605.95939999999996</v>
      </c>
      <c r="BX194" s="37" t="s">
        <v>127</v>
      </c>
      <c r="BY194" s="37" t="s">
        <v>127</v>
      </c>
      <c r="BZ194" s="37" t="s">
        <v>127</v>
      </c>
      <c r="CA194" s="41">
        <v>0</v>
      </c>
      <c r="CB194" s="41">
        <v>0</v>
      </c>
      <c r="CC194" s="41">
        <v>0</v>
      </c>
      <c r="CD194" s="41">
        <v>0</v>
      </c>
      <c r="CE194" s="41">
        <v>0</v>
      </c>
      <c r="CF194" s="41">
        <v>0</v>
      </c>
      <c r="CG194" s="45">
        <v>0</v>
      </c>
      <c r="CH194" s="45" t="s">
        <v>127</v>
      </c>
      <c r="CI194" s="37" t="s">
        <v>127</v>
      </c>
      <c r="CJ194" s="77" t="s">
        <v>127</v>
      </c>
      <c r="CK194" s="98">
        <v>0</v>
      </c>
      <c r="CL194" s="98">
        <v>1</v>
      </c>
      <c r="CM194" s="99" t="s">
        <v>1058</v>
      </c>
    </row>
    <row r="195" spans="1:91" ht="12.75" customHeight="1" x14ac:dyDescent="0.3">
      <c r="A195" s="37">
        <v>193</v>
      </c>
      <c r="B195" s="37" t="s">
        <v>1059</v>
      </c>
      <c r="C195" s="124"/>
      <c r="D195" s="124"/>
      <c r="E195" s="37" t="s">
        <v>1060</v>
      </c>
      <c r="F195" s="36" t="s">
        <v>1061</v>
      </c>
      <c r="G195" s="81" t="s">
        <v>148</v>
      </c>
      <c r="H195" s="38" t="s">
        <v>131</v>
      </c>
      <c r="I195" s="38" t="s">
        <v>131</v>
      </c>
      <c r="J195" s="38" t="s">
        <v>127</v>
      </c>
      <c r="K195" s="38" t="s">
        <v>291</v>
      </c>
      <c r="L195" s="81" t="s">
        <v>292</v>
      </c>
      <c r="M195" s="38" t="s">
        <v>127</v>
      </c>
      <c r="N195" s="38" t="s">
        <v>127</v>
      </c>
      <c r="O195" s="76">
        <v>45411</v>
      </c>
      <c r="P195" s="37" t="s">
        <v>127</v>
      </c>
      <c r="Q195" s="37" t="s">
        <v>127</v>
      </c>
      <c r="R195" s="37" t="s">
        <v>127</v>
      </c>
      <c r="S195" s="37" t="s">
        <v>127</v>
      </c>
      <c r="T195" s="37" t="s">
        <v>315</v>
      </c>
      <c r="U195" s="37" t="s">
        <v>136</v>
      </c>
      <c r="V195" s="37" t="b">
        <v>0</v>
      </c>
      <c r="W195" s="37" t="s">
        <v>127</v>
      </c>
      <c r="X195" s="123"/>
      <c r="Y195" s="37" t="s">
        <v>127</v>
      </c>
      <c r="Z195" s="37">
        <v>6.92</v>
      </c>
      <c r="AA195" s="37">
        <v>138</v>
      </c>
      <c r="AB195" s="37" t="s">
        <v>1055</v>
      </c>
      <c r="AC195" s="78">
        <v>2.1</v>
      </c>
      <c r="AD195" s="78">
        <v>5549148</v>
      </c>
      <c r="AE195" s="37" t="s">
        <v>1062</v>
      </c>
      <c r="AF195" s="37">
        <v>21156</v>
      </c>
      <c r="AG195" s="37" t="s">
        <v>127</v>
      </c>
      <c r="AH195" s="37" t="b">
        <v>1</v>
      </c>
      <c r="AI195" s="76" t="s">
        <v>127</v>
      </c>
      <c r="AJ195" s="77" t="s">
        <v>142</v>
      </c>
      <c r="AK195" s="37" t="s">
        <v>127</v>
      </c>
      <c r="AL195" s="37" t="s">
        <v>127</v>
      </c>
      <c r="AM195" s="37" t="b">
        <v>0</v>
      </c>
      <c r="AN195" s="37" t="s">
        <v>127</v>
      </c>
      <c r="AO195" s="37" t="s">
        <v>127</v>
      </c>
      <c r="AP195" s="37" t="s">
        <v>127</v>
      </c>
      <c r="AQ195" s="37" t="b">
        <v>1</v>
      </c>
      <c r="AR195" s="37" t="s">
        <v>127</v>
      </c>
      <c r="AS195" s="37" t="s">
        <v>127</v>
      </c>
      <c r="AT195" s="37" t="s">
        <v>127</v>
      </c>
      <c r="AU195" s="37" t="s">
        <v>127</v>
      </c>
      <c r="AV195" s="37" t="s">
        <v>127</v>
      </c>
      <c r="AW195" s="37" t="s">
        <v>127</v>
      </c>
      <c r="AX195" s="37" t="s">
        <v>127</v>
      </c>
      <c r="AY195" s="37" t="s">
        <v>127</v>
      </c>
      <c r="AZ195" s="37" t="s">
        <v>127</v>
      </c>
      <c r="BA195" s="37" t="s">
        <v>127</v>
      </c>
      <c r="BB195" s="37" t="s">
        <v>154</v>
      </c>
      <c r="BC195" s="77" t="s">
        <v>127</v>
      </c>
      <c r="BD195" s="76" t="s">
        <v>127</v>
      </c>
      <c r="BE195" s="37" t="s">
        <v>127</v>
      </c>
      <c r="BF195" s="80" t="s">
        <v>127</v>
      </c>
      <c r="BG195" s="39" t="s">
        <v>1063</v>
      </c>
      <c r="BH195" s="39" t="s">
        <v>1063</v>
      </c>
      <c r="BI195" s="40" t="b">
        <v>1</v>
      </c>
      <c r="BJ195" s="40" t="s">
        <v>137</v>
      </c>
      <c r="BK195" s="37" t="s">
        <v>127</v>
      </c>
      <c r="BL195" s="41">
        <v>1053.738751744922</v>
      </c>
      <c r="BM195" s="41">
        <v>0</v>
      </c>
      <c r="BN195" s="41">
        <v>0</v>
      </c>
      <c r="BO195" s="41">
        <v>4.3252886699999991</v>
      </c>
      <c r="BP195" s="41">
        <v>261.47025489299995</v>
      </c>
      <c r="BQ195" s="41">
        <v>437.80690982400023</v>
      </c>
      <c r="BR195" s="41">
        <v>350.13629835792221</v>
      </c>
      <c r="BS195" s="41">
        <v>0</v>
      </c>
      <c r="BT195" s="41">
        <v>0</v>
      </c>
      <c r="BU195" s="41">
        <v>0</v>
      </c>
      <c r="BV195" s="41">
        <v>0</v>
      </c>
      <c r="BW195" s="49">
        <v>874.37954000000002</v>
      </c>
      <c r="BX195" s="37" t="s">
        <v>127</v>
      </c>
      <c r="BY195" s="37" t="s">
        <v>127</v>
      </c>
      <c r="BZ195" s="37" t="s">
        <v>173</v>
      </c>
      <c r="CA195" s="41">
        <v>0</v>
      </c>
      <c r="CB195" s="41">
        <v>0</v>
      </c>
      <c r="CC195" s="41">
        <v>0</v>
      </c>
      <c r="CD195" s="41">
        <v>0</v>
      </c>
      <c r="CE195" s="41">
        <v>0</v>
      </c>
      <c r="CF195" s="41">
        <v>1053.7387517449222</v>
      </c>
      <c r="CG195" s="45">
        <v>0</v>
      </c>
      <c r="CH195" s="45">
        <v>0.47</v>
      </c>
      <c r="CI195" s="37" t="s">
        <v>127</v>
      </c>
      <c r="CJ195" s="77" t="s">
        <v>127</v>
      </c>
      <c r="CK195" s="98">
        <v>0</v>
      </c>
      <c r="CL195" s="98">
        <v>1</v>
      </c>
      <c r="CM195" s="100" t="s">
        <v>189</v>
      </c>
    </row>
    <row r="196" spans="1:91" ht="12.75" customHeight="1" x14ac:dyDescent="0.3">
      <c r="A196" s="37">
        <v>194</v>
      </c>
      <c r="B196" s="37" t="s">
        <v>1064</v>
      </c>
      <c r="C196" s="124"/>
      <c r="D196" s="124"/>
      <c r="E196" s="37" t="s">
        <v>246</v>
      </c>
      <c r="F196" s="36" t="s">
        <v>1065</v>
      </c>
      <c r="G196" s="81" t="s">
        <v>226</v>
      </c>
      <c r="H196" s="38" t="s">
        <v>227</v>
      </c>
      <c r="I196" s="38" t="s">
        <v>227</v>
      </c>
      <c r="J196" s="38" t="s">
        <v>127</v>
      </c>
      <c r="K196" s="38" t="s">
        <v>291</v>
      </c>
      <c r="L196" s="81" t="s">
        <v>213</v>
      </c>
      <c r="M196" s="38" t="s">
        <v>1049</v>
      </c>
      <c r="N196" s="38" t="s">
        <v>1049</v>
      </c>
      <c r="O196" s="76">
        <v>45407</v>
      </c>
      <c r="P196" s="37" t="s">
        <v>127</v>
      </c>
      <c r="Q196" s="37" t="s">
        <v>127</v>
      </c>
      <c r="R196" s="37" t="s">
        <v>127</v>
      </c>
      <c r="S196" s="37" t="s">
        <v>127</v>
      </c>
      <c r="T196" s="37" t="s">
        <v>315</v>
      </c>
      <c r="U196" s="37" t="s">
        <v>394</v>
      </c>
      <c r="V196" s="37" t="b">
        <v>0</v>
      </c>
      <c r="W196" s="37" t="s">
        <v>127</v>
      </c>
      <c r="X196" s="123"/>
      <c r="Y196" s="37" t="s">
        <v>127</v>
      </c>
      <c r="Z196" s="37">
        <v>32.81</v>
      </c>
      <c r="AA196" s="37">
        <v>230</v>
      </c>
      <c r="AB196" s="37" t="s">
        <v>127</v>
      </c>
      <c r="AC196" s="78">
        <v>2.1</v>
      </c>
      <c r="AD196" s="78">
        <v>5982721</v>
      </c>
      <c r="AE196" s="37" t="s">
        <v>1066</v>
      </c>
      <c r="AF196" s="37">
        <v>21156</v>
      </c>
      <c r="AG196" s="37" t="s">
        <v>127</v>
      </c>
      <c r="AH196" s="37" t="b">
        <v>1</v>
      </c>
      <c r="AI196" s="76" t="s">
        <v>127</v>
      </c>
      <c r="AJ196" s="77" t="s">
        <v>142</v>
      </c>
      <c r="AK196" s="37" t="s">
        <v>127</v>
      </c>
      <c r="AL196" s="37" t="s">
        <v>127</v>
      </c>
      <c r="AM196" s="37" t="b">
        <v>0</v>
      </c>
      <c r="AN196" s="37" t="s">
        <v>127</v>
      </c>
      <c r="AO196" s="37" t="s">
        <v>127</v>
      </c>
      <c r="AP196" s="37" t="s">
        <v>127</v>
      </c>
      <c r="AQ196" s="37" t="b">
        <v>1</v>
      </c>
      <c r="AR196" s="37" t="s">
        <v>127</v>
      </c>
      <c r="AS196" s="37" t="s">
        <v>127</v>
      </c>
      <c r="AT196" s="37" t="s">
        <v>127</v>
      </c>
      <c r="AU196" s="37" t="s">
        <v>127</v>
      </c>
      <c r="AV196" s="37" t="s">
        <v>127</v>
      </c>
      <c r="AW196" s="37" t="s">
        <v>127</v>
      </c>
      <c r="AX196" s="37" t="s">
        <v>127</v>
      </c>
      <c r="AY196" s="37" t="s">
        <v>127</v>
      </c>
      <c r="AZ196" s="37" t="s">
        <v>127</v>
      </c>
      <c r="BA196" s="37" t="s">
        <v>127</v>
      </c>
      <c r="BB196" s="37" t="s">
        <v>143</v>
      </c>
      <c r="BC196" s="77" t="s">
        <v>127</v>
      </c>
      <c r="BD196" s="76" t="s">
        <v>127</v>
      </c>
      <c r="BE196" s="37" t="s">
        <v>127</v>
      </c>
      <c r="BF196" s="80" t="s">
        <v>127</v>
      </c>
      <c r="BG196" s="39" t="s">
        <v>127</v>
      </c>
      <c r="BH196" s="39" t="s">
        <v>127</v>
      </c>
      <c r="BI196" s="40" t="b">
        <v>0</v>
      </c>
      <c r="BJ196" s="40" t="s">
        <v>137</v>
      </c>
      <c r="BK196" s="37" t="s">
        <v>127</v>
      </c>
      <c r="BL196" s="41">
        <v>1501.4178059870001</v>
      </c>
      <c r="BM196" s="41">
        <v>1338.2501670900001</v>
      </c>
      <c r="BN196" s="41">
        <v>86.067154305000003</v>
      </c>
      <c r="BO196" s="41">
        <v>0.31989832800000001</v>
      </c>
      <c r="BP196" s="41">
        <v>41.661199999999994</v>
      </c>
      <c r="BQ196" s="41">
        <v>0</v>
      </c>
      <c r="BR196" s="41">
        <v>0</v>
      </c>
      <c r="BS196" s="41">
        <v>0</v>
      </c>
      <c r="BT196" s="41">
        <v>0</v>
      </c>
      <c r="BU196" s="41">
        <v>0</v>
      </c>
      <c r="BV196" s="41">
        <v>0</v>
      </c>
      <c r="BW196" s="49">
        <v>0</v>
      </c>
      <c r="BX196" s="37" t="s">
        <v>127</v>
      </c>
      <c r="BY196" s="37" t="s">
        <v>127</v>
      </c>
      <c r="BZ196" s="37" t="s">
        <v>176</v>
      </c>
      <c r="CA196" s="41">
        <v>1434.2180000000001</v>
      </c>
      <c r="CB196" s="41">
        <v>0.28000000000000003</v>
      </c>
      <c r="CC196" s="41">
        <v>41.66</v>
      </c>
      <c r="CD196" s="41">
        <v>0</v>
      </c>
      <c r="CE196" s="41">
        <v>0</v>
      </c>
      <c r="CF196" s="41">
        <v>0</v>
      </c>
      <c r="CG196" s="45">
        <v>0</v>
      </c>
      <c r="CH196" s="45" t="s">
        <v>127</v>
      </c>
      <c r="CI196" s="37" t="s">
        <v>127</v>
      </c>
      <c r="CJ196" s="77" t="s">
        <v>127</v>
      </c>
      <c r="CK196" s="98">
        <v>0</v>
      </c>
      <c r="CL196" s="98">
        <v>1</v>
      </c>
      <c r="CM196" s="100" t="s">
        <v>189</v>
      </c>
    </row>
    <row r="197" spans="1:91" ht="12.75" customHeight="1" x14ac:dyDescent="0.3">
      <c r="A197" s="37">
        <v>195</v>
      </c>
      <c r="B197" s="37" t="s">
        <v>1067</v>
      </c>
      <c r="C197" s="124"/>
      <c r="D197" s="124"/>
      <c r="E197" s="37" t="s">
        <v>246</v>
      </c>
      <c r="F197" s="36" t="s">
        <v>1068</v>
      </c>
      <c r="G197" s="94" t="s">
        <v>152</v>
      </c>
      <c r="H197" s="77" t="s">
        <v>227</v>
      </c>
      <c r="I197" s="77" t="s">
        <v>127</v>
      </c>
      <c r="J197" s="77" t="s">
        <v>127</v>
      </c>
      <c r="K197" s="77" t="s">
        <v>291</v>
      </c>
      <c r="L197" s="94" t="s">
        <v>292</v>
      </c>
      <c r="M197" s="77" t="s">
        <v>127</v>
      </c>
      <c r="N197" s="77" t="s">
        <v>127</v>
      </c>
      <c r="O197" s="80">
        <v>44702</v>
      </c>
      <c r="P197" s="37" t="s">
        <v>127</v>
      </c>
      <c r="Q197" s="37" t="s">
        <v>127</v>
      </c>
      <c r="R197" s="37" t="s">
        <v>127</v>
      </c>
      <c r="S197" s="37" t="s">
        <v>127</v>
      </c>
      <c r="T197" s="37" t="s">
        <v>315</v>
      </c>
      <c r="U197" s="37" t="s">
        <v>981</v>
      </c>
      <c r="V197" s="37" t="b">
        <v>0</v>
      </c>
      <c r="W197" s="37" t="s">
        <v>127</v>
      </c>
      <c r="X197" s="123"/>
      <c r="Y197" s="37" t="s">
        <v>127</v>
      </c>
      <c r="Z197" s="37">
        <v>1.94</v>
      </c>
      <c r="AA197" s="37">
        <v>138</v>
      </c>
      <c r="AB197" s="37" t="s">
        <v>1055</v>
      </c>
      <c r="AC197" s="78">
        <v>2.1</v>
      </c>
      <c r="AD197" s="78">
        <v>5986306</v>
      </c>
      <c r="AE197" s="37" t="s">
        <v>1069</v>
      </c>
      <c r="AF197" s="37">
        <v>21156</v>
      </c>
      <c r="AG197" s="37" t="s">
        <v>127</v>
      </c>
      <c r="AH197" s="37" t="b">
        <v>1</v>
      </c>
      <c r="AI197" s="76" t="s">
        <v>127</v>
      </c>
      <c r="AJ197" s="77" t="s">
        <v>142</v>
      </c>
      <c r="AK197" s="37" t="s">
        <v>127</v>
      </c>
      <c r="AL197" s="37" t="s">
        <v>127</v>
      </c>
      <c r="AM197" s="37" t="b">
        <v>0</v>
      </c>
      <c r="AN197" s="37" t="s">
        <v>127</v>
      </c>
      <c r="AO197" s="37" t="s">
        <v>127</v>
      </c>
      <c r="AP197" s="37" t="s">
        <v>127</v>
      </c>
      <c r="AQ197" s="37" t="b">
        <v>1</v>
      </c>
      <c r="AR197" s="37" t="s">
        <v>127</v>
      </c>
      <c r="AS197" s="37" t="s">
        <v>127</v>
      </c>
      <c r="AT197" s="37" t="s">
        <v>127</v>
      </c>
      <c r="AU197" s="37" t="s">
        <v>127</v>
      </c>
      <c r="AV197" s="37" t="s">
        <v>127</v>
      </c>
      <c r="AW197" s="37" t="s">
        <v>127</v>
      </c>
      <c r="AX197" s="37" t="s">
        <v>1070</v>
      </c>
      <c r="AY197" s="37" t="s">
        <v>1071</v>
      </c>
      <c r="AZ197" s="37" t="s">
        <v>1072</v>
      </c>
      <c r="BA197" s="37">
        <v>2027</v>
      </c>
      <c r="BB197" s="37" t="s">
        <v>443</v>
      </c>
      <c r="BC197" s="77" t="s">
        <v>127</v>
      </c>
      <c r="BD197" s="76" t="s">
        <v>1073</v>
      </c>
      <c r="BE197" s="37" t="s">
        <v>127</v>
      </c>
      <c r="BF197" s="86" t="s">
        <v>1074</v>
      </c>
      <c r="BG197" s="39" t="s">
        <v>127</v>
      </c>
      <c r="BH197" s="39" t="s">
        <v>127</v>
      </c>
      <c r="BI197" s="40" t="b">
        <v>0</v>
      </c>
      <c r="BJ197" s="40" t="s">
        <v>137</v>
      </c>
      <c r="BK197" s="37" t="s">
        <v>127</v>
      </c>
      <c r="BL197" s="41">
        <v>7653.4038481783618</v>
      </c>
      <c r="BM197" s="41">
        <v>0</v>
      </c>
      <c r="BN197" s="41">
        <v>2.993794424999999</v>
      </c>
      <c r="BO197" s="41">
        <v>37.397831199000002</v>
      </c>
      <c r="BP197" s="41">
        <v>104.33175906300002</v>
      </c>
      <c r="BQ197" s="41">
        <v>77.638842870000005</v>
      </c>
      <c r="BR197" s="41">
        <v>196.66836357452146</v>
      </c>
      <c r="BS197" s="41">
        <v>7143.3331158709852</v>
      </c>
      <c r="BT197" s="41">
        <v>91.040141175854657</v>
      </c>
      <c r="BU197" s="41">
        <v>0</v>
      </c>
      <c r="BV197" s="41">
        <v>0</v>
      </c>
      <c r="BW197" s="49">
        <v>401.7081</v>
      </c>
      <c r="BX197" s="37" t="s">
        <v>127</v>
      </c>
      <c r="BY197" s="37" t="s">
        <v>127</v>
      </c>
      <c r="BZ197" s="37" t="s">
        <v>127</v>
      </c>
      <c r="CA197" s="41">
        <v>0</v>
      </c>
      <c r="CB197" s="41">
        <v>0</v>
      </c>
      <c r="CC197" s="41">
        <v>0</v>
      </c>
      <c r="CD197" s="41">
        <v>0</v>
      </c>
      <c r="CE197" s="41">
        <v>0</v>
      </c>
      <c r="CF197" s="41">
        <v>0</v>
      </c>
      <c r="CG197" s="45">
        <v>0</v>
      </c>
      <c r="CH197" s="45">
        <v>0.94259999999999999</v>
      </c>
      <c r="CI197" s="37" t="s">
        <v>127</v>
      </c>
      <c r="CJ197" s="77" t="s">
        <v>127</v>
      </c>
      <c r="CK197" s="98">
        <v>0</v>
      </c>
      <c r="CL197" s="98">
        <v>1</v>
      </c>
      <c r="CM197" s="99" t="s">
        <v>1075</v>
      </c>
    </row>
    <row r="198" spans="1:91" ht="12.75" customHeight="1" x14ac:dyDescent="0.3">
      <c r="A198" s="37">
        <v>196</v>
      </c>
      <c r="B198" s="37" t="s">
        <v>1076</v>
      </c>
      <c r="C198" s="124"/>
      <c r="D198" s="124"/>
      <c r="E198" s="37" t="s">
        <v>246</v>
      </c>
      <c r="F198" s="36" t="s">
        <v>1077</v>
      </c>
      <c r="G198" s="81" t="s">
        <v>226</v>
      </c>
      <c r="H198" s="38" t="s">
        <v>227</v>
      </c>
      <c r="I198" s="38" t="s">
        <v>227</v>
      </c>
      <c r="J198" s="38" t="s">
        <v>127</v>
      </c>
      <c r="K198" s="38" t="s">
        <v>291</v>
      </c>
      <c r="L198" s="81" t="s">
        <v>213</v>
      </c>
      <c r="M198" s="38" t="s">
        <v>1049</v>
      </c>
      <c r="N198" s="38" t="s">
        <v>1049</v>
      </c>
      <c r="O198" s="76">
        <v>45420</v>
      </c>
      <c r="P198" s="37" t="s">
        <v>127</v>
      </c>
      <c r="Q198" s="37" t="s">
        <v>127</v>
      </c>
      <c r="R198" s="37" t="s">
        <v>127</v>
      </c>
      <c r="S198" s="37" t="s">
        <v>127</v>
      </c>
      <c r="T198" s="37" t="s">
        <v>315</v>
      </c>
      <c r="U198" s="37" t="s">
        <v>394</v>
      </c>
      <c r="V198" s="37" t="b">
        <v>0</v>
      </c>
      <c r="W198" s="37" t="s">
        <v>127</v>
      </c>
      <c r="X198" s="123"/>
      <c r="Y198" s="37" t="s">
        <v>127</v>
      </c>
      <c r="Z198" s="37">
        <v>0.23</v>
      </c>
      <c r="AA198" s="37">
        <v>69</v>
      </c>
      <c r="AB198" s="37" t="s">
        <v>127</v>
      </c>
      <c r="AC198" s="78">
        <v>2.1</v>
      </c>
      <c r="AD198" s="78">
        <v>5987479</v>
      </c>
      <c r="AE198" s="37" t="s">
        <v>1078</v>
      </c>
      <c r="AF198" s="37">
        <v>21156</v>
      </c>
      <c r="AG198" s="37" t="s">
        <v>127</v>
      </c>
      <c r="AH198" s="37" t="b">
        <v>1</v>
      </c>
      <c r="AI198" s="76" t="s">
        <v>127</v>
      </c>
      <c r="AJ198" s="77" t="s">
        <v>142</v>
      </c>
      <c r="AK198" s="37" t="s">
        <v>127</v>
      </c>
      <c r="AL198" s="37" t="s">
        <v>127</v>
      </c>
      <c r="AM198" s="37" t="b">
        <v>0</v>
      </c>
      <c r="AN198" s="37" t="s">
        <v>127</v>
      </c>
      <c r="AO198" s="37" t="s">
        <v>127</v>
      </c>
      <c r="AP198" s="37" t="s">
        <v>127</v>
      </c>
      <c r="AQ198" s="37" t="b">
        <v>1</v>
      </c>
      <c r="AR198" s="37" t="s">
        <v>127</v>
      </c>
      <c r="AS198" s="37" t="s">
        <v>127</v>
      </c>
      <c r="AT198" s="37" t="s">
        <v>127</v>
      </c>
      <c r="AU198" s="37" t="s">
        <v>127</v>
      </c>
      <c r="AV198" s="37" t="s">
        <v>127</v>
      </c>
      <c r="AW198" s="37" t="s">
        <v>127</v>
      </c>
      <c r="AX198" s="37" t="s">
        <v>161</v>
      </c>
      <c r="AY198" s="37" t="s">
        <v>127</v>
      </c>
      <c r="AZ198" s="37" t="s">
        <v>127</v>
      </c>
      <c r="BA198" s="37" t="s">
        <v>127</v>
      </c>
      <c r="BB198" s="37" t="s">
        <v>143</v>
      </c>
      <c r="BC198" s="77" t="s">
        <v>127</v>
      </c>
      <c r="BD198" s="76" t="s">
        <v>1079</v>
      </c>
      <c r="BE198" s="37" t="s">
        <v>127</v>
      </c>
      <c r="BF198" s="86" t="s">
        <v>1080</v>
      </c>
      <c r="BG198" s="39" t="s">
        <v>127</v>
      </c>
      <c r="BH198" s="39" t="s">
        <v>127</v>
      </c>
      <c r="BI198" s="40" t="b">
        <v>0</v>
      </c>
      <c r="BJ198" s="40" t="s">
        <v>137</v>
      </c>
      <c r="BK198" s="37" t="s">
        <v>127</v>
      </c>
      <c r="BL198" s="41">
        <v>1300.8658562860001</v>
      </c>
      <c r="BM198" s="41">
        <v>332.40967614800013</v>
      </c>
      <c r="BN198" s="41">
        <v>820.02503417500043</v>
      </c>
      <c r="BO198" s="41">
        <v>26.357029123</v>
      </c>
      <c r="BP198" s="41">
        <v>0</v>
      </c>
      <c r="BQ198" s="41">
        <v>0</v>
      </c>
      <c r="BR198" s="41">
        <v>0</v>
      </c>
      <c r="BS198" s="41">
        <v>0</v>
      </c>
      <c r="BT198" s="41">
        <v>0</v>
      </c>
      <c r="BU198" s="41">
        <v>0</v>
      </c>
      <c r="BV198" s="41">
        <v>0</v>
      </c>
      <c r="BW198" s="49">
        <v>0</v>
      </c>
      <c r="BX198" s="37" t="s">
        <v>127</v>
      </c>
      <c r="BY198" s="37" t="s">
        <v>127</v>
      </c>
      <c r="BZ198" s="37" t="s">
        <v>207</v>
      </c>
      <c r="CA198" s="41">
        <v>1250.3969999999999</v>
      </c>
      <c r="CB198" s="41">
        <v>23.76</v>
      </c>
      <c r="CC198" s="41">
        <v>0</v>
      </c>
      <c r="CD198" s="41">
        <v>0</v>
      </c>
      <c r="CE198" s="41">
        <v>0</v>
      </c>
      <c r="CF198" s="41">
        <v>0</v>
      </c>
      <c r="CG198" s="45">
        <v>0</v>
      </c>
      <c r="CH198" s="45" t="s">
        <v>127</v>
      </c>
      <c r="CI198" s="37" t="s">
        <v>127</v>
      </c>
      <c r="CJ198" s="77" t="s">
        <v>127</v>
      </c>
      <c r="CK198" s="98">
        <v>0</v>
      </c>
      <c r="CL198" s="98">
        <v>1</v>
      </c>
      <c r="CM198" s="100" t="s">
        <v>189</v>
      </c>
    </row>
    <row r="199" spans="1:91" ht="12.75" customHeight="1" x14ac:dyDescent="0.3">
      <c r="A199" s="37">
        <v>197</v>
      </c>
      <c r="B199" s="37" t="s">
        <v>1081</v>
      </c>
      <c r="C199" s="125"/>
      <c r="D199" s="123"/>
      <c r="E199" s="77" t="s">
        <v>127</v>
      </c>
      <c r="F199" s="36" t="s">
        <v>1082</v>
      </c>
      <c r="G199" s="75" t="s">
        <v>148</v>
      </c>
      <c r="H199" s="37" t="s">
        <v>131</v>
      </c>
      <c r="I199" s="37" t="s">
        <v>127</v>
      </c>
      <c r="J199" s="37" t="s">
        <v>127</v>
      </c>
      <c r="K199" s="37" t="s">
        <v>132</v>
      </c>
      <c r="L199" s="75" t="s">
        <v>179</v>
      </c>
      <c r="M199" s="37" t="s">
        <v>127</v>
      </c>
      <c r="N199" s="37" t="s">
        <v>127</v>
      </c>
      <c r="O199" s="76" t="s">
        <v>127</v>
      </c>
      <c r="P199" s="37" t="s">
        <v>135</v>
      </c>
      <c r="Q199" s="37" t="s">
        <v>127</v>
      </c>
      <c r="R199" s="37" t="s">
        <v>127</v>
      </c>
      <c r="S199" s="37" t="s">
        <v>127</v>
      </c>
      <c r="T199" s="37" t="s">
        <v>137</v>
      </c>
      <c r="U199" s="37" t="s">
        <v>136</v>
      </c>
      <c r="V199" s="37" t="b">
        <v>0</v>
      </c>
      <c r="W199" s="77" t="s">
        <v>127</v>
      </c>
      <c r="X199" s="123"/>
      <c r="Y199" s="37" t="s">
        <v>137</v>
      </c>
      <c r="Z199" s="37" t="s">
        <v>137</v>
      </c>
      <c r="AA199" s="37" t="s">
        <v>347</v>
      </c>
      <c r="AB199" s="37" t="s">
        <v>348</v>
      </c>
      <c r="AC199" s="78">
        <v>4.3</v>
      </c>
      <c r="AD199" s="78" t="s">
        <v>139</v>
      </c>
      <c r="AE199" s="37" t="s">
        <v>140</v>
      </c>
      <c r="AF199" s="37">
        <v>22126</v>
      </c>
      <c r="AG199" s="37" t="s">
        <v>141</v>
      </c>
      <c r="AH199" s="37" t="b">
        <v>1</v>
      </c>
      <c r="AI199" s="76" t="s">
        <v>127</v>
      </c>
      <c r="AJ199" s="77" t="s">
        <v>142</v>
      </c>
      <c r="AK199" s="37" t="s">
        <v>127</v>
      </c>
      <c r="AL199" s="37" t="s">
        <v>127</v>
      </c>
      <c r="AM199" s="37" t="b">
        <v>0</v>
      </c>
      <c r="AN199" s="37" t="s">
        <v>127</v>
      </c>
      <c r="AO199" s="37" t="s">
        <v>127</v>
      </c>
      <c r="AP199" s="37" t="s">
        <v>137</v>
      </c>
      <c r="AQ199" s="37" t="b">
        <v>0</v>
      </c>
      <c r="AR199" s="37" t="s">
        <v>127</v>
      </c>
      <c r="AS199" s="76" t="s">
        <v>137</v>
      </c>
      <c r="AT199" s="37" t="s">
        <v>127</v>
      </c>
      <c r="AU199" s="37" t="s">
        <v>127</v>
      </c>
      <c r="AV199" s="37" t="s">
        <v>137</v>
      </c>
      <c r="AW199" s="37" t="s">
        <v>137</v>
      </c>
      <c r="AX199" s="37" t="s">
        <v>161</v>
      </c>
      <c r="AY199" s="76" t="s">
        <v>127</v>
      </c>
      <c r="AZ199" s="77" t="s">
        <v>127</v>
      </c>
      <c r="BA199" s="37" t="s">
        <v>127</v>
      </c>
      <c r="BB199" s="37" t="s">
        <v>143</v>
      </c>
      <c r="BC199" s="77" t="s">
        <v>127</v>
      </c>
      <c r="BD199" s="76" t="s">
        <v>127</v>
      </c>
      <c r="BE199" s="37" t="s">
        <v>137</v>
      </c>
      <c r="BF199" s="80" t="s">
        <v>127</v>
      </c>
      <c r="BG199" s="39" t="s">
        <v>127</v>
      </c>
      <c r="BH199" s="37" t="s">
        <v>127</v>
      </c>
      <c r="BI199" s="40" t="b">
        <v>1</v>
      </c>
      <c r="BJ199" s="40" t="s">
        <v>137</v>
      </c>
      <c r="BK199" s="37" t="s">
        <v>127</v>
      </c>
      <c r="BL199" s="41">
        <v>5100.6612566755639</v>
      </c>
      <c r="BM199" s="41">
        <v>79.252071511999972</v>
      </c>
      <c r="BN199" s="41">
        <v>28.547054559999999</v>
      </c>
      <c r="BO199" s="41">
        <v>33.689831761999997</v>
      </c>
      <c r="BP199" s="41">
        <v>491.09300114900003</v>
      </c>
      <c r="BQ199" s="41">
        <v>866.39765416299997</v>
      </c>
      <c r="BR199" s="41">
        <v>661.9824272896974</v>
      </c>
      <c r="BS199" s="41">
        <v>1144.831267335127</v>
      </c>
      <c r="BT199" s="41">
        <v>618.98163164336279</v>
      </c>
      <c r="BU199" s="41">
        <v>585.83435933212695</v>
      </c>
      <c r="BV199" s="41">
        <v>571.12853952525006</v>
      </c>
      <c r="BW199" s="49">
        <v>954.79632000000004</v>
      </c>
      <c r="BX199" s="37" t="s">
        <v>127</v>
      </c>
      <c r="BY199" s="37" t="s">
        <v>127</v>
      </c>
      <c r="BZ199" s="37" t="s">
        <v>198</v>
      </c>
      <c r="CA199" s="41">
        <v>0</v>
      </c>
      <c r="CB199" s="41">
        <v>0</v>
      </c>
      <c r="CC199" s="41">
        <v>0</v>
      </c>
      <c r="CD199" s="41">
        <v>721.84620000000007</v>
      </c>
      <c r="CE199" s="41">
        <v>0</v>
      </c>
      <c r="CF199" s="41">
        <v>897.96290841374048</v>
      </c>
      <c r="CG199" s="45">
        <v>0</v>
      </c>
      <c r="CH199" s="45" t="s">
        <v>137</v>
      </c>
      <c r="CI199" s="37" t="s">
        <v>127</v>
      </c>
      <c r="CJ199" s="77" t="s">
        <v>127</v>
      </c>
      <c r="CK199" s="98">
        <v>1</v>
      </c>
      <c r="CL199" s="98">
        <v>0</v>
      </c>
      <c r="CM199" s="100" t="s">
        <v>695</v>
      </c>
    </row>
    <row r="200" spans="1:91" ht="12.75" customHeight="1" x14ac:dyDescent="0.3">
      <c r="A200" s="37">
        <v>198</v>
      </c>
      <c r="B200" s="37" t="s">
        <v>1083</v>
      </c>
      <c r="C200" s="125"/>
      <c r="D200" s="123"/>
      <c r="E200" s="77" t="s">
        <v>127</v>
      </c>
      <c r="F200" s="36" t="s">
        <v>1084</v>
      </c>
      <c r="G200" s="75" t="s">
        <v>148</v>
      </c>
      <c r="H200" s="37" t="s">
        <v>131</v>
      </c>
      <c r="I200" s="37" t="s">
        <v>127</v>
      </c>
      <c r="J200" s="37" t="s">
        <v>127</v>
      </c>
      <c r="K200" s="37" t="s">
        <v>132</v>
      </c>
      <c r="L200" s="75" t="s">
        <v>229</v>
      </c>
      <c r="M200" s="37" t="s">
        <v>127</v>
      </c>
      <c r="N200" s="37" t="s">
        <v>127</v>
      </c>
      <c r="O200" s="76" t="s">
        <v>127</v>
      </c>
      <c r="P200" s="37" t="s">
        <v>135</v>
      </c>
      <c r="Q200" s="37" t="s">
        <v>482</v>
      </c>
      <c r="R200" s="37" t="s">
        <v>127</v>
      </c>
      <c r="S200" s="37" t="s">
        <v>127</v>
      </c>
      <c r="T200" s="37" t="s">
        <v>611</v>
      </c>
      <c r="U200" s="37" t="s">
        <v>230</v>
      </c>
      <c r="V200" s="37" t="b">
        <v>0</v>
      </c>
      <c r="W200" s="77" t="s">
        <v>127</v>
      </c>
      <c r="X200" s="123"/>
      <c r="Y200" s="37" t="s">
        <v>137</v>
      </c>
      <c r="Z200" s="37" t="s">
        <v>137</v>
      </c>
      <c r="AA200" s="37" t="s">
        <v>127</v>
      </c>
      <c r="AB200" s="37" t="s">
        <v>127</v>
      </c>
      <c r="AC200" s="78">
        <v>1.1000000000000001</v>
      </c>
      <c r="AD200" s="78" t="s">
        <v>139</v>
      </c>
      <c r="AE200" s="37" t="s">
        <v>140</v>
      </c>
      <c r="AF200" s="37">
        <v>22256</v>
      </c>
      <c r="AG200" s="37" t="s">
        <v>141</v>
      </c>
      <c r="AH200" s="37" t="b">
        <v>1</v>
      </c>
      <c r="AI200" s="76" t="s">
        <v>127</v>
      </c>
      <c r="AJ200" s="77" t="s">
        <v>142</v>
      </c>
      <c r="AK200" s="37" t="s">
        <v>127</v>
      </c>
      <c r="AL200" s="37" t="s">
        <v>127</v>
      </c>
      <c r="AM200" s="37" t="b">
        <v>0</v>
      </c>
      <c r="AN200" s="37" t="s">
        <v>127</v>
      </c>
      <c r="AO200" s="37" t="s">
        <v>127</v>
      </c>
      <c r="AP200" s="37" t="s">
        <v>137</v>
      </c>
      <c r="AQ200" s="37" t="b">
        <v>0</v>
      </c>
      <c r="AR200" s="37" t="s">
        <v>127</v>
      </c>
      <c r="AS200" s="76" t="s">
        <v>137</v>
      </c>
      <c r="AT200" s="37" t="s">
        <v>127</v>
      </c>
      <c r="AU200" s="37" t="s">
        <v>127</v>
      </c>
      <c r="AV200" s="37" t="s">
        <v>137</v>
      </c>
      <c r="AW200" s="37" t="s">
        <v>137</v>
      </c>
      <c r="AX200" s="37" t="s">
        <v>161</v>
      </c>
      <c r="AY200" s="76" t="s">
        <v>127</v>
      </c>
      <c r="AZ200" s="77" t="s">
        <v>127</v>
      </c>
      <c r="BA200" s="37" t="s">
        <v>127</v>
      </c>
      <c r="BB200" s="37" t="s">
        <v>143</v>
      </c>
      <c r="BC200" s="77" t="s">
        <v>127</v>
      </c>
      <c r="BD200" s="76" t="s">
        <v>127</v>
      </c>
      <c r="BE200" s="37" t="s">
        <v>137</v>
      </c>
      <c r="BF200" s="80" t="s">
        <v>127</v>
      </c>
      <c r="BG200" s="39" t="s">
        <v>127</v>
      </c>
      <c r="BH200" s="37" t="s">
        <v>127</v>
      </c>
      <c r="BI200" s="40" t="b">
        <v>1</v>
      </c>
      <c r="BJ200" s="40" t="s">
        <v>137</v>
      </c>
      <c r="BK200" s="37" t="s">
        <v>127</v>
      </c>
      <c r="BL200" s="110">
        <f>4751.22962317218-BL201</f>
        <v>201.88361337831611</v>
      </c>
      <c r="BM200" s="110">
        <f>0-BM201</f>
        <v>0</v>
      </c>
      <c r="BN200" s="110">
        <f>0-BN201</f>
        <v>0</v>
      </c>
      <c r="BO200" s="110">
        <f>(-1.13686837721616E-16)-BO201</f>
        <v>-1.1368683772161601E-16</v>
      </c>
      <c r="BP200" s="110">
        <f>1224.678670362-BP201</f>
        <v>0</v>
      </c>
      <c r="BQ200" s="110">
        <f>1043.882434896-BQ201</f>
        <v>0</v>
      </c>
      <c r="BR200" s="110">
        <f>478.340427855855-BR201</f>
        <v>201.88361337831299</v>
      </c>
      <c r="BS200" s="110">
        <f>658.18990402347-BS201</f>
        <v>0</v>
      </c>
      <c r="BT200" s="110">
        <f>666.655186034851-BT201</f>
        <v>0</v>
      </c>
      <c r="BU200" s="110">
        <f>679.483-BU201</f>
        <v>0</v>
      </c>
      <c r="BV200" s="110">
        <f>0-BV201</f>
        <v>0</v>
      </c>
      <c r="BW200" s="111">
        <f>0-BW201</f>
        <v>0</v>
      </c>
      <c r="BX200" s="37" t="s">
        <v>127</v>
      </c>
      <c r="BY200" s="37" t="s">
        <v>127</v>
      </c>
      <c r="BZ200" s="37" t="s">
        <v>173</v>
      </c>
      <c r="CA200" s="41">
        <v>0</v>
      </c>
      <c r="CB200" s="41">
        <v>0</v>
      </c>
      <c r="CC200" s="41">
        <v>0</v>
      </c>
      <c r="CD200" s="41">
        <v>0</v>
      </c>
      <c r="CE200" s="41">
        <v>0</v>
      </c>
      <c r="CF200" s="110">
        <f>201.883613378313-CF201</f>
        <v>201.88361337831299</v>
      </c>
      <c r="CG200" s="45">
        <v>0</v>
      </c>
      <c r="CH200" s="45" t="s">
        <v>137</v>
      </c>
      <c r="CI200" s="37" t="s">
        <v>127</v>
      </c>
      <c r="CJ200" s="77" t="s">
        <v>127</v>
      </c>
      <c r="CK200" s="98">
        <v>0.18140000000000001</v>
      </c>
      <c r="CL200" s="98">
        <v>0.81859999999999999</v>
      </c>
      <c r="CM200" s="99" t="s">
        <v>1085</v>
      </c>
    </row>
    <row r="201" spans="1:91" ht="12.75" customHeight="1" x14ac:dyDescent="0.3">
      <c r="A201" s="37">
        <v>199</v>
      </c>
      <c r="B201" s="37" t="s">
        <v>1086</v>
      </c>
      <c r="C201" s="125"/>
      <c r="D201" s="123"/>
      <c r="E201" s="37" t="s">
        <v>246</v>
      </c>
      <c r="F201" s="36" t="s">
        <v>1087</v>
      </c>
      <c r="G201" s="81" t="s">
        <v>794</v>
      </c>
      <c r="H201" s="37" t="s">
        <v>131</v>
      </c>
      <c r="I201" s="37" t="s">
        <v>127</v>
      </c>
      <c r="J201" s="37" t="s">
        <v>127</v>
      </c>
      <c r="K201" s="37" t="s">
        <v>609</v>
      </c>
      <c r="L201" s="75" t="s">
        <v>229</v>
      </c>
      <c r="M201" s="37" t="s">
        <v>127</v>
      </c>
      <c r="N201" s="37" t="s">
        <v>127</v>
      </c>
      <c r="O201" s="76" t="s">
        <v>127</v>
      </c>
      <c r="P201" s="37" t="s">
        <v>135</v>
      </c>
      <c r="Q201" s="37" t="s">
        <v>127</v>
      </c>
      <c r="R201" s="37" t="s">
        <v>127</v>
      </c>
      <c r="S201" s="37" t="s">
        <v>127</v>
      </c>
      <c r="T201" s="37" t="s">
        <v>611</v>
      </c>
      <c r="U201" s="37" t="s">
        <v>230</v>
      </c>
      <c r="V201" s="37" t="b">
        <v>0</v>
      </c>
      <c r="W201" s="77" t="s">
        <v>127</v>
      </c>
      <c r="X201" s="123"/>
      <c r="Y201" s="37" t="s">
        <v>127</v>
      </c>
      <c r="Z201" s="37" t="s">
        <v>127</v>
      </c>
      <c r="AA201" s="37" t="s">
        <v>127</v>
      </c>
      <c r="AB201" s="37" t="s">
        <v>127</v>
      </c>
      <c r="AC201" s="78">
        <v>1.2</v>
      </c>
      <c r="AD201" s="78">
        <v>2167374</v>
      </c>
      <c r="AE201" s="37" t="s">
        <v>1088</v>
      </c>
      <c r="AF201" s="37">
        <v>22256</v>
      </c>
      <c r="AG201" s="37" t="s">
        <v>127</v>
      </c>
      <c r="AH201" s="37" t="b">
        <v>1</v>
      </c>
      <c r="AI201" s="76" t="s">
        <v>127</v>
      </c>
      <c r="AJ201" s="77" t="s">
        <v>142</v>
      </c>
      <c r="AK201" s="37" t="s">
        <v>127</v>
      </c>
      <c r="AL201" s="37" t="s">
        <v>127</v>
      </c>
      <c r="AM201" s="37" t="b">
        <v>0</v>
      </c>
      <c r="AN201" s="37" t="s">
        <v>127</v>
      </c>
      <c r="AO201" s="37" t="s">
        <v>127</v>
      </c>
      <c r="AP201" s="37" t="s">
        <v>127</v>
      </c>
      <c r="AQ201" s="37" t="b">
        <v>0</v>
      </c>
      <c r="AR201" s="37" t="s">
        <v>127</v>
      </c>
      <c r="AS201" s="76" t="s">
        <v>137</v>
      </c>
      <c r="AT201" s="37" t="s">
        <v>127</v>
      </c>
      <c r="AU201" s="37" t="s">
        <v>127</v>
      </c>
      <c r="AV201" s="37" t="s">
        <v>137</v>
      </c>
      <c r="AW201" s="37" t="s">
        <v>137</v>
      </c>
      <c r="AX201" s="37" t="s">
        <v>161</v>
      </c>
      <c r="AY201" s="76" t="s">
        <v>127</v>
      </c>
      <c r="AZ201" s="77" t="s">
        <v>127</v>
      </c>
      <c r="BA201" s="37" t="s">
        <v>127</v>
      </c>
      <c r="BB201" s="121" t="s">
        <v>460</v>
      </c>
      <c r="BC201" s="77" t="s">
        <v>127</v>
      </c>
      <c r="BD201" s="80" t="s">
        <v>127</v>
      </c>
      <c r="BE201" s="37" t="s">
        <v>127</v>
      </c>
      <c r="BF201" s="80" t="s">
        <v>127</v>
      </c>
      <c r="BG201" s="39" t="s">
        <v>127</v>
      </c>
      <c r="BH201" s="37" t="s">
        <v>127</v>
      </c>
      <c r="BI201" s="40" t="b">
        <v>0</v>
      </c>
      <c r="BJ201" s="40" t="s">
        <v>137</v>
      </c>
      <c r="BK201" s="37" t="s">
        <v>127</v>
      </c>
      <c r="BL201" s="41">
        <v>4549.3460097938641</v>
      </c>
      <c r="BM201" s="41">
        <v>0</v>
      </c>
      <c r="BN201" s="41">
        <v>0</v>
      </c>
      <c r="BO201" s="41">
        <v>0</v>
      </c>
      <c r="BP201" s="41">
        <v>1224.6786703619998</v>
      </c>
      <c r="BQ201" s="41">
        <v>1043.8824348960002</v>
      </c>
      <c r="BR201" s="41">
        <v>276.45681447754203</v>
      </c>
      <c r="BS201" s="41">
        <v>658.18990402347049</v>
      </c>
      <c r="BT201" s="41">
        <v>666.655186034851</v>
      </c>
      <c r="BU201" s="41">
        <v>679.48299999999995</v>
      </c>
      <c r="BV201" s="41">
        <v>0</v>
      </c>
      <c r="BW201" s="49">
        <v>0</v>
      </c>
      <c r="BX201" s="37" t="s">
        <v>127</v>
      </c>
      <c r="BY201" s="37" t="s">
        <v>127</v>
      </c>
      <c r="BZ201" s="37" t="s">
        <v>127</v>
      </c>
      <c r="CA201" s="41">
        <v>0</v>
      </c>
      <c r="CB201" s="41">
        <v>0</v>
      </c>
      <c r="CC201" s="41">
        <v>0</v>
      </c>
      <c r="CD201" s="41">
        <v>0</v>
      </c>
      <c r="CE201" s="41">
        <v>0</v>
      </c>
      <c r="CF201" s="41">
        <v>0</v>
      </c>
      <c r="CG201" s="45">
        <v>0</v>
      </c>
      <c r="CH201" s="45" t="s">
        <v>137</v>
      </c>
      <c r="CI201" s="37" t="s">
        <v>127</v>
      </c>
      <c r="CJ201" s="77" t="s">
        <v>127</v>
      </c>
      <c r="CK201" s="98">
        <v>0.18140000000000001</v>
      </c>
      <c r="CL201" s="98">
        <v>0.81859999999999999</v>
      </c>
      <c r="CM201" s="100" t="s">
        <v>1089</v>
      </c>
    </row>
    <row r="202" spans="1:91" ht="12.75" customHeight="1" x14ac:dyDescent="0.3">
      <c r="A202" s="37">
        <v>200</v>
      </c>
      <c r="B202" s="37" t="s">
        <v>1090</v>
      </c>
      <c r="C202" s="125"/>
      <c r="D202" s="123"/>
      <c r="E202" s="77" t="s">
        <v>127</v>
      </c>
      <c r="F202" s="36" t="s">
        <v>1091</v>
      </c>
      <c r="G202" s="75" t="s">
        <v>159</v>
      </c>
      <c r="H202" s="37" t="s">
        <v>131</v>
      </c>
      <c r="I202" s="37" t="s">
        <v>127</v>
      </c>
      <c r="J202" s="37" t="s">
        <v>127</v>
      </c>
      <c r="K202" s="37" t="s">
        <v>132</v>
      </c>
      <c r="L202" s="75" t="s">
        <v>213</v>
      </c>
      <c r="M202" s="37" t="s">
        <v>127</v>
      </c>
      <c r="N202" s="37" t="s">
        <v>127</v>
      </c>
      <c r="O202" s="76" t="s">
        <v>127</v>
      </c>
      <c r="P202" s="37" t="s">
        <v>127</v>
      </c>
      <c r="Q202" s="37" t="s">
        <v>482</v>
      </c>
      <c r="R202" s="37" t="s">
        <v>127</v>
      </c>
      <c r="S202" s="37" t="s">
        <v>127</v>
      </c>
      <c r="T202" s="37" t="s">
        <v>127</v>
      </c>
      <c r="U202" s="37" t="s">
        <v>136</v>
      </c>
      <c r="V202" s="37" t="b">
        <v>0</v>
      </c>
      <c r="W202" s="77" t="s">
        <v>127</v>
      </c>
      <c r="X202" s="123"/>
      <c r="Y202" s="37" t="s">
        <v>127</v>
      </c>
      <c r="Z202" s="37" t="s">
        <v>127</v>
      </c>
      <c r="AA202" s="37">
        <v>69</v>
      </c>
      <c r="AB202" s="37" t="s">
        <v>127</v>
      </c>
      <c r="AC202" s="78">
        <v>4.3</v>
      </c>
      <c r="AD202" s="78" t="s">
        <v>139</v>
      </c>
      <c r="AE202" s="37" t="s">
        <v>140</v>
      </c>
      <c r="AF202" s="37">
        <v>23129</v>
      </c>
      <c r="AG202" s="37" t="s">
        <v>141</v>
      </c>
      <c r="AH202" s="37" t="b">
        <v>1</v>
      </c>
      <c r="AI202" s="76" t="s">
        <v>127</v>
      </c>
      <c r="AJ202" s="77" t="s">
        <v>142</v>
      </c>
      <c r="AK202" s="37" t="s">
        <v>127</v>
      </c>
      <c r="AL202" s="37" t="s">
        <v>127</v>
      </c>
      <c r="AM202" s="37" t="b">
        <v>0</v>
      </c>
      <c r="AN202" s="37" t="s">
        <v>127</v>
      </c>
      <c r="AO202" s="37" t="s">
        <v>127</v>
      </c>
      <c r="AP202" s="37" t="s">
        <v>137</v>
      </c>
      <c r="AQ202" s="37" t="b">
        <v>0</v>
      </c>
      <c r="AR202" s="37" t="s">
        <v>127</v>
      </c>
      <c r="AS202" s="76" t="s">
        <v>127</v>
      </c>
      <c r="AT202" s="37" t="s">
        <v>127</v>
      </c>
      <c r="AU202" s="37" t="s">
        <v>127</v>
      </c>
      <c r="AV202" s="37" t="s">
        <v>127</v>
      </c>
      <c r="AW202" s="37" t="s">
        <v>127</v>
      </c>
      <c r="AX202" s="37" t="s">
        <v>161</v>
      </c>
      <c r="AY202" s="76" t="s">
        <v>127</v>
      </c>
      <c r="AZ202" s="77" t="s">
        <v>127</v>
      </c>
      <c r="BA202" s="37" t="s">
        <v>127</v>
      </c>
      <c r="BB202" s="37" t="s">
        <v>143</v>
      </c>
      <c r="BC202" s="77" t="s">
        <v>127</v>
      </c>
      <c r="BD202" s="76" t="s">
        <v>127</v>
      </c>
      <c r="BE202" s="37" t="s">
        <v>137</v>
      </c>
      <c r="BF202" s="80" t="s">
        <v>127</v>
      </c>
      <c r="BG202" s="39" t="s">
        <v>127</v>
      </c>
      <c r="BH202" s="37" t="s">
        <v>127</v>
      </c>
      <c r="BI202" s="40" t="b">
        <v>1</v>
      </c>
      <c r="BJ202" s="40">
        <v>3560</v>
      </c>
      <c r="BK202" s="37" t="s">
        <v>127</v>
      </c>
      <c r="BL202" s="41">
        <v>12125.61289706036</v>
      </c>
      <c r="BM202" s="41">
        <v>0</v>
      </c>
      <c r="BN202" s="41">
        <v>0</v>
      </c>
      <c r="BO202" s="41">
        <v>0</v>
      </c>
      <c r="BP202" s="41">
        <v>0</v>
      </c>
      <c r="BQ202" s="41">
        <v>1.9112283650000002</v>
      </c>
      <c r="BR202" s="41">
        <v>3364.6745884221182</v>
      </c>
      <c r="BS202" s="41">
        <v>4267.170745508618</v>
      </c>
      <c r="BT202" s="41">
        <v>4491.8563347646059</v>
      </c>
      <c r="BU202" s="41">
        <v>0</v>
      </c>
      <c r="BV202" s="41">
        <v>0</v>
      </c>
      <c r="BW202" s="49">
        <v>115.96776999999999</v>
      </c>
      <c r="BX202" s="37" t="s">
        <v>127</v>
      </c>
      <c r="BY202" s="37" t="s">
        <v>127</v>
      </c>
      <c r="BZ202" s="37" t="s">
        <v>173</v>
      </c>
      <c r="CA202" s="41">
        <v>0</v>
      </c>
      <c r="CB202" s="41">
        <v>0</v>
      </c>
      <c r="CC202" s="41">
        <v>0</v>
      </c>
      <c r="CD202" s="41">
        <v>0</v>
      </c>
      <c r="CE202" s="41">
        <v>0</v>
      </c>
      <c r="CF202" s="41">
        <v>547.90896711291691</v>
      </c>
      <c r="CG202" s="45">
        <v>0</v>
      </c>
      <c r="CH202" s="45" t="s">
        <v>127</v>
      </c>
      <c r="CI202" s="37" t="s">
        <v>127</v>
      </c>
      <c r="CJ202" s="77" t="s">
        <v>127</v>
      </c>
      <c r="CK202" s="98">
        <v>0.18140000000000001</v>
      </c>
      <c r="CL202" s="98">
        <v>0.81859999999999999</v>
      </c>
      <c r="CM202" s="100" t="s">
        <v>474</v>
      </c>
    </row>
    <row r="203" spans="1:91" ht="12.75" customHeight="1" x14ac:dyDescent="0.3">
      <c r="A203" s="37">
        <v>201</v>
      </c>
      <c r="B203" s="37" t="s">
        <v>1092</v>
      </c>
      <c r="C203" s="127"/>
      <c r="D203" s="127"/>
      <c r="E203" s="77" t="s">
        <v>127</v>
      </c>
      <c r="F203" s="36" t="s">
        <v>1093</v>
      </c>
      <c r="G203" s="81" t="s">
        <v>129</v>
      </c>
      <c r="H203" s="38" t="s">
        <v>1094</v>
      </c>
      <c r="I203" s="38" t="s">
        <v>127</v>
      </c>
      <c r="J203" s="38" t="s">
        <v>127</v>
      </c>
      <c r="K203" s="38" t="s">
        <v>160</v>
      </c>
      <c r="L203" s="81" t="s">
        <v>1095</v>
      </c>
      <c r="M203" s="38" t="s">
        <v>127</v>
      </c>
      <c r="N203" s="38" t="s">
        <v>127</v>
      </c>
      <c r="O203" s="76">
        <v>45378</v>
      </c>
      <c r="P203" s="37" t="s">
        <v>135</v>
      </c>
      <c r="Q203" s="37" t="s">
        <v>127</v>
      </c>
      <c r="R203" s="37" t="s">
        <v>127</v>
      </c>
      <c r="S203" s="37" t="s">
        <v>127</v>
      </c>
      <c r="T203" s="77" t="s">
        <v>127</v>
      </c>
      <c r="U203" s="77" t="s">
        <v>136</v>
      </c>
      <c r="V203" s="37" t="b">
        <v>0</v>
      </c>
      <c r="W203" s="37" t="s">
        <v>127</v>
      </c>
      <c r="X203" s="123"/>
      <c r="Y203" s="77" t="s">
        <v>127</v>
      </c>
      <c r="Z203" s="77" t="s">
        <v>127</v>
      </c>
      <c r="AA203" s="37" t="s">
        <v>127</v>
      </c>
      <c r="AB203" s="37" t="s">
        <v>127</v>
      </c>
      <c r="AC203" s="78">
        <v>3.1</v>
      </c>
      <c r="AD203" s="78" t="s">
        <v>139</v>
      </c>
      <c r="AE203" s="37" t="s">
        <v>140</v>
      </c>
      <c r="AF203" s="37">
        <v>23130</v>
      </c>
      <c r="AG203" s="37" t="s">
        <v>127</v>
      </c>
      <c r="AH203" s="37" t="b">
        <v>0</v>
      </c>
      <c r="AI203" s="76">
        <v>45343</v>
      </c>
      <c r="AJ203" s="77" t="s">
        <v>142</v>
      </c>
      <c r="AK203" s="37" t="s">
        <v>127</v>
      </c>
      <c r="AL203" s="37" t="s">
        <v>127</v>
      </c>
      <c r="AM203" s="37" t="b">
        <v>0</v>
      </c>
      <c r="AN203" s="37" t="s">
        <v>127</v>
      </c>
      <c r="AO203" s="37" t="s">
        <v>127</v>
      </c>
      <c r="AP203" s="37" t="s">
        <v>127</v>
      </c>
      <c r="AQ203" s="37" t="b">
        <v>0</v>
      </c>
      <c r="AR203" s="37" t="s">
        <v>127</v>
      </c>
      <c r="AS203" s="37" t="s">
        <v>127</v>
      </c>
      <c r="AT203" s="37" t="s">
        <v>127</v>
      </c>
      <c r="AU203" s="37" t="s">
        <v>127</v>
      </c>
      <c r="AV203" s="37" t="s">
        <v>127</v>
      </c>
      <c r="AW203" s="37" t="s">
        <v>127</v>
      </c>
      <c r="AX203" s="37" t="s">
        <v>127</v>
      </c>
      <c r="AY203" s="77" t="s">
        <v>127</v>
      </c>
      <c r="AZ203" s="77" t="s">
        <v>127</v>
      </c>
      <c r="BA203" s="77" t="s">
        <v>127</v>
      </c>
      <c r="BB203" s="37" t="s">
        <v>154</v>
      </c>
      <c r="BC203" s="77" t="s">
        <v>127</v>
      </c>
      <c r="BD203" s="80" t="s">
        <v>127</v>
      </c>
      <c r="BE203" s="37" t="s">
        <v>127</v>
      </c>
      <c r="BF203" s="80" t="s">
        <v>127</v>
      </c>
      <c r="BG203" s="39" t="s">
        <v>127</v>
      </c>
      <c r="BH203" s="39" t="s">
        <v>127</v>
      </c>
      <c r="BI203" s="40" t="b">
        <v>0</v>
      </c>
      <c r="BJ203" s="40" t="s">
        <v>137</v>
      </c>
      <c r="BK203" s="37" t="s">
        <v>127</v>
      </c>
      <c r="BL203" s="41">
        <v>4642.5916964870812</v>
      </c>
      <c r="BM203" s="41">
        <v>0</v>
      </c>
      <c r="BN203" s="41">
        <v>0</v>
      </c>
      <c r="BO203" s="41">
        <v>0</v>
      </c>
      <c r="BP203" s="41">
        <v>0</v>
      </c>
      <c r="BQ203" s="41">
        <v>0</v>
      </c>
      <c r="BR203" s="41">
        <v>1786.9553551101267</v>
      </c>
      <c r="BS203" s="41">
        <v>2209.1780759135668</v>
      </c>
      <c r="BT203" s="41">
        <v>149.9431749348997</v>
      </c>
      <c r="BU203" s="41">
        <v>52.18773859529859</v>
      </c>
      <c r="BV203" s="41">
        <v>52.909132902582904</v>
      </c>
      <c r="BW203" s="49">
        <v>0</v>
      </c>
      <c r="BX203" s="37" t="s">
        <v>127</v>
      </c>
      <c r="BY203" s="37" t="s">
        <v>127</v>
      </c>
      <c r="BZ203" s="37" t="s">
        <v>127</v>
      </c>
      <c r="CA203" s="41">
        <v>0</v>
      </c>
      <c r="CB203" s="41">
        <v>0</v>
      </c>
      <c r="CC203" s="41">
        <v>0</v>
      </c>
      <c r="CD203" s="41">
        <v>0</v>
      </c>
      <c r="CE203" s="41">
        <v>0</v>
      </c>
      <c r="CF203" s="41">
        <v>0</v>
      </c>
      <c r="CG203" s="45">
        <v>0</v>
      </c>
      <c r="CH203" s="45" t="s">
        <v>127</v>
      </c>
      <c r="CI203" s="37" t="s">
        <v>127</v>
      </c>
      <c r="CJ203" s="77" t="s">
        <v>127</v>
      </c>
      <c r="CK203" s="98">
        <v>0.18140000000000001</v>
      </c>
      <c r="CL203" s="98">
        <v>0.81859999999999999</v>
      </c>
      <c r="CM203" s="100" t="s">
        <v>1096</v>
      </c>
    </row>
    <row r="204" spans="1:91" ht="12.75" customHeight="1" x14ac:dyDescent="0.3">
      <c r="A204" s="37">
        <v>202</v>
      </c>
      <c r="B204" s="37" t="s">
        <v>1097</v>
      </c>
      <c r="C204" s="127"/>
      <c r="D204" s="127"/>
      <c r="E204" s="77" t="s">
        <v>127</v>
      </c>
      <c r="F204" s="36" t="s">
        <v>1098</v>
      </c>
      <c r="G204" s="81" t="s">
        <v>129</v>
      </c>
      <c r="H204" s="38" t="s">
        <v>1094</v>
      </c>
      <c r="I204" s="38" t="s">
        <v>127</v>
      </c>
      <c r="J204" s="38" t="s">
        <v>127</v>
      </c>
      <c r="K204" s="38" t="s">
        <v>160</v>
      </c>
      <c r="L204" s="81" t="s">
        <v>1095</v>
      </c>
      <c r="M204" s="38" t="s">
        <v>127</v>
      </c>
      <c r="N204" s="38" t="s">
        <v>127</v>
      </c>
      <c r="O204" s="76">
        <v>45378</v>
      </c>
      <c r="P204" s="37" t="s">
        <v>135</v>
      </c>
      <c r="Q204" s="37" t="s">
        <v>127</v>
      </c>
      <c r="R204" s="37" t="s">
        <v>127</v>
      </c>
      <c r="S204" s="37" t="s">
        <v>127</v>
      </c>
      <c r="T204" s="77" t="s">
        <v>127</v>
      </c>
      <c r="U204" s="77" t="s">
        <v>136</v>
      </c>
      <c r="V204" s="37" t="b">
        <v>0</v>
      </c>
      <c r="W204" s="37" t="s">
        <v>127</v>
      </c>
      <c r="X204" s="123"/>
      <c r="Y204" s="77" t="s">
        <v>127</v>
      </c>
      <c r="Z204" s="77" t="s">
        <v>127</v>
      </c>
      <c r="AA204" s="37" t="s">
        <v>127</v>
      </c>
      <c r="AB204" s="37" t="s">
        <v>127</v>
      </c>
      <c r="AC204" s="78">
        <v>3.1</v>
      </c>
      <c r="AD204" s="78" t="s">
        <v>139</v>
      </c>
      <c r="AE204" s="37" t="s">
        <v>140</v>
      </c>
      <c r="AF204" s="37">
        <v>23131</v>
      </c>
      <c r="AG204" s="37" t="s">
        <v>127</v>
      </c>
      <c r="AH204" s="37" t="b">
        <v>0</v>
      </c>
      <c r="AI204" s="76">
        <v>45334</v>
      </c>
      <c r="AJ204" s="77" t="s">
        <v>142</v>
      </c>
      <c r="AK204" s="37" t="s">
        <v>127</v>
      </c>
      <c r="AL204" s="37" t="s">
        <v>127</v>
      </c>
      <c r="AM204" s="37" t="b">
        <v>0</v>
      </c>
      <c r="AN204" s="37" t="s">
        <v>127</v>
      </c>
      <c r="AO204" s="37" t="s">
        <v>127</v>
      </c>
      <c r="AP204" s="37" t="s">
        <v>127</v>
      </c>
      <c r="AQ204" s="37" t="b">
        <v>0</v>
      </c>
      <c r="AR204" s="37" t="s">
        <v>127</v>
      </c>
      <c r="AS204" s="37" t="s">
        <v>127</v>
      </c>
      <c r="AT204" s="37" t="s">
        <v>127</v>
      </c>
      <c r="AU204" s="37" t="s">
        <v>127</v>
      </c>
      <c r="AV204" s="37" t="s">
        <v>127</v>
      </c>
      <c r="AW204" s="37" t="s">
        <v>127</v>
      </c>
      <c r="AX204" s="37" t="s">
        <v>127</v>
      </c>
      <c r="AY204" s="77" t="s">
        <v>127</v>
      </c>
      <c r="AZ204" s="77" t="s">
        <v>127</v>
      </c>
      <c r="BA204" s="77" t="s">
        <v>127</v>
      </c>
      <c r="BB204" s="37" t="s">
        <v>154</v>
      </c>
      <c r="BC204" s="77" t="s">
        <v>127</v>
      </c>
      <c r="BD204" s="80" t="s">
        <v>127</v>
      </c>
      <c r="BE204" s="37" t="s">
        <v>127</v>
      </c>
      <c r="BF204" s="80" t="s">
        <v>127</v>
      </c>
      <c r="BG204" s="39" t="s">
        <v>127</v>
      </c>
      <c r="BH204" s="39" t="s">
        <v>127</v>
      </c>
      <c r="BI204" s="40" t="b">
        <v>1</v>
      </c>
      <c r="BJ204" s="40" t="s">
        <v>137</v>
      </c>
      <c r="BK204" s="37" t="s">
        <v>127</v>
      </c>
      <c r="BL204" s="41">
        <v>6699.0288267147516</v>
      </c>
      <c r="BM204" s="41">
        <v>0</v>
      </c>
      <c r="BN204" s="41">
        <v>0</v>
      </c>
      <c r="BO204" s="41">
        <v>0</v>
      </c>
      <c r="BP204" s="41">
        <v>0</v>
      </c>
      <c r="BQ204" s="41">
        <v>0</v>
      </c>
      <c r="BR204" s="41">
        <v>4456.4341854239492</v>
      </c>
      <c r="BS204" s="41">
        <v>410.04981927384694</v>
      </c>
      <c r="BT204" s="41">
        <v>383.72626805635315</v>
      </c>
      <c r="BU204" s="41">
        <v>152.28250945129625</v>
      </c>
      <c r="BV204" s="41">
        <v>154.38751990727778</v>
      </c>
      <c r="BW204" s="49">
        <v>0</v>
      </c>
      <c r="BX204" s="37" t="s">
        <v>127</v>
      </c>
      <c r="BY204" s="37" t="s">
        <v>127</v>
      </c>
      <c r="BZ204" s="37" t="s">
        <v>173</v>
      </c>
      <c r="CA204" s="41">
        <v>0</v>
      </c>
      <c r="CB204" s="41">
        <v>0</v>
      </c>
      <c r="CC204" s="41">
        <v>0</v>
      </c>
      <c r="CD204" s="41">
        <v>0</v>
      </c>
      <c r="CE204" s="41">
        <v>118.37553</v>
      </c>
      <c r="CF204" s="41">
        <v>0</v>
      </c>
      <c r="CG204" s="45">
        <v>0</v>
      </c>
      <c r="CH204" s="45" t="s">
        <v>127</v>
      </c>
      <c r="CI204" s="37" t="s">
        <v>127</v>
      </c>
      <c r="CJ204" s="77" t="s">
        <v>127</v>
      </c>
      <c r="CK204" s="98">
        <v>0.18140000000000001</v>
      </c>
      <c r="CL204" s="98">
        <v>0.81859999999999999</v>
      </c>
      <c r="CM204" s="100" t="s">
        <v>1099</v>
      </c>
    </row>
    <row r="205" spans="1:91" ht="12.75" customHeight="1" x14ac:dyDescent="0.3">
      <c r="A205" s="37">
        <v>203</v>
      </c>
      <c r="B205" s="37" t="s">
        <v>1100</v>
      </c>
      <c r="C205" s="123"/>
      <c r="D205" s="127"/>
      <c r="E205" s="77" t="s">
        <v>127</v>
      </c>
      <c r="F205" s="35" t="s">
        <v>1101</v>
      </c>
      <c r="G205" s="75" t="s">
        <v>513</v>
      </c>
      <c r="H205" s="37" t="s">
        <v>1094</v>
      </c>
      <c r="I205" s="37" t="s">
        <v>127</v>
      </c>
      <c r="J205" s="37" t="s">
        <v>127</v>
      </c>
      <c r="K205" s="37" t="s">
        <v>160</v>
      </c>
      <c r="L205" s="75" t="s">
        <v>783</v>
      </c>
      <c r="M205" s="37" t="s">
        <v>127</v>
      </c>
      <c r="N205" s="37" t="s">
        <v>127</v>
      </c>
      <c r="O205" s="37" t="s">
        <v>134</v>
      </c>
      <c r="P205" s="37" t="s">
        <v>135</v>
      </c>
      <c r="Q205" s="37" t="s">
        <v>127</v>
      </c>
      <c r="R205" s="37" t="s">
        <v>127</v>
      </c>
      <c r="S205" s="37" t="s">
        <v>127</v>
      </c>
      <c r="T205" s="37" t="s">
        <v>127</v>
      </c>
      <c r="U205" s="37" t="s">
        <v>136</v>
      </c>
      <c r="V205" s="37" t="b">
        <v>0</v>
      </c>
      <c r="W205" s="77" t="s">
        <v>127</v>
      </c>
      <c r="X205" s="123"/>
      <c r="Y205" s="37" t="s">
        <v>137</v>
      </c>
      <c r="Z205" s="37" t="s">
        <v>137</v>
      </c>
      <c r="AA205" s="37" t="s">
        <v>153</v>
      </c>
      <c r="AB205" s="37" t="s">
        <v>127</v>
      </c>
      <c r="AC205" s="78">
        <v>3.1</v>
      </c>
      <c r="AD205" s="78" t="s">
        <v>1102</v>
      </c>
      <c r="AE205" s="37" t="s">
        <v>140</v>
      </c>
      <c r="AF205" s="37">
        <v>105</v>
      </c>
      <c r="AG205" s="37" t="s">
        <v>141</v>
      </c>
      <c r="AH205" s="37" t="b">
        <v>1</v>
      </c>
      <c r="AI205" s="76" t="s">
        <v>127</v>
      </c>
      <c r="AJ205" s="77" t="s">
        <v>142</v>
      </c>
      <c r="AK205" s="37" t="s">
        <v>127</v>
      </c>
      <c r="AL205" s="37" t="s">
        <v>127</v>
      </c>
      <c r="AM205" s="37" t="b">
        <v>0</v>
      </c>
      <c r="AN205" s="37" t="s">
        <v>127</v>
      </c>
      <c r="AO205" s="37" t="s">
        <v>127</v>
      </c>
      <c r="AP205" s="37" t="s">
        <v>137</v>
      </c>
      <c r="AQ205" s="37" t="b">
        <v>0</v>
      </c>
      <c r="AR205" s="37" t="s">
        <v>127</v>
      </c>
      <c r="AS205" s="37" t="s">
        <v>137</v>
      </c>
      <c r="AT205" s="37" t="s">
        <v>127</v>
      </c>
      <c r="AU205" s="37" t="s">
        <v>127</v>
      </c>
      <c r="AV205" s="37" t="s">
        <v>137</v>
      </c>
      <c r="AW205" s="37" t="s">
        <v>137</v>
      </c>
      <c r="AX205" s="37" t="s">
        <v>127</v>
      </c>
      <c r="AY205" s="37" t="s">
        <v>127</v>
      </c>
      <c r="AZ205" s="77" t="s">
        <v>127</v>
      </c>
      <c r="BA205" s="37" t="s">
        <v>127</v>
      </c>
      <c r="BB205" s="37" t="s">
        <v>143</v>
      </c>
      <c r="BC205" s="77" t="s">
        <v>127</v>
      </c>
      <c r="BD205" s="76" t="s">
        <v>127</v>
      </c>
      <c r="BE205" s="37" t="s">
        <v>127</v>
      </c>
      <c r="BF205" s="80" t="s">
        <v>127</v>
      </c>
      <c r="BG205" s="37" t="s">
        <v>127</v>
      </c>
      <c r="BH205" s="37" t="s">
        <v>127</v>
      </c>
      <c r="BI205" s="40" t="b">
        <v>0</v>
      </c>
      <c r="BJ205" s="40" t="s">
        <v>137</v>
      </c>
      <c r="BK205" s="37" t="s">
        <v>127</v>
      </c>
      <c r="BL205" s="41">
        <v>1647.5638706239997</v>
      </c>
      <c r="BM205" s="108">
        <v>1175.4253299999998</v>
      </c>
      <c r="BN205" s="108">
        <v>83.907709999999994</v>
      </c>
      <c r="BO205" s="108">
        <v>-2.0837099999999995</v>
      </c>
      <c r="BP205" s="108">
        <v>38.019369999999995</v>
      </c>
      <c r="BQ205" s="109">
        <v>0</v>
      </c>
      <c r="BR205" s="109">
        <v>0</v>
      </c>
      <c r="BS205" s="109">
        <v>0</v>
      </c>
      <c r="BT205" s="109">
        <v>0</v>
      </c>
      <c r="BU205" s="109">
        <v>0</v>
      </c>
      <c r="BV205" s="109">
        <v>0</v>
      </c>
      <c r="BW205" s="50">
        <v>0</v>
      </c>
      <c r="BX205" s="37" t="s">
        <v>127</v>
      </c>
      <c r="BY205" s="37" t="s">
        <v>127</v>
      </c>
      <c r="BZ205" s="37" t="s">
        <v>176</v>
      </c>
      <c r="CA205" s="41">
        <v>57.693220000000004</v>
      </c>
      <c r="CB205" s="41">
        <v>-1.39096</v>
      </c>
      <c r="CC205" s="41">
        <v>25.386959999999998</v>
      </c>
      <c r="CD205" s="41">
        <v>0</v>
      </c>
      <c r="CE205" s="41">
        <v>0</v>
      </c>
      <c r="CF205" s="41">
        <v>0</v>
      </c>
      <c r="CG205" s="45">
        <v>0</v>
      </c>
      <c r="CH205" s="45" t="s">
        <v>137</v>
      </c>
      <c r="CI205" s="37" t="s">
        <v>127</v>
      </c>
      <c r="CJ205" s="77" t="s">
        <v>127</v>
      </c>
      <c r="CK205" s="98">
        <v>0.18140000000000001</v>
      </c>
      <c r="CL205" s="98">
        <v>0.81859999999999999</v>
      </c>
      <c r="CM205" s="100" t="s">
        <v>1103</v>
      </c>
    </row>
    <row r="206" spans="1:91" ht="12.75" customHeight="1" x14ac:dyDescent="0.3">
      <c r="A206" s="37">
        <v>204</v>
      </c>
      <c r="B206" s="37" t="s">
        <v>1104</v>
      </c>
      <c r="C206" s="124"/>
      <c r="D206" s="124"/>
      <c r="E206" s="37" t="s">
        <v>437</v>
      </c>
      <c r="F206" s="36" t="s">
        <v>1105</v>
      </c>
      <c r="G206" s="75" t="s">
        <v>148</v>
      </c>
      <c r="H206" s="37" t="s">
        <v>227</v>
      </c>
      <c r="I206" s="37" t="s">
        <v>127</v>
      </c>
      <c r="J206" s="37" t="s">
        <v>127</v>
      </c>
      <c r="K206" s="37" t="s">
        <v>1106</v>
      </c>
      <c r="L206" s="75" t="s">
        <v>1054</v>
      </c>
      <c r="M206" s="37" t="s">
        <v>150</v>
      </c>
      <c r="N206" s="37" t="s">
        <v>127</v>
      </c>
      <c r="O206" s="76">
        <v>45190.319212962961</v>
      </c>
      <c r="P206" s="37" t="s">
        <v>135</v>
      </c>
      <c r="Q206" s="37" t="s">
        <v>150</v>
      </c>
      <c r="R206" s="37" t="s">
        <v>271</v>
      </c>
      <c r="S206" s="37" t="s">
        <v>127</v>
      </c>
      <c r="T206" s="37" t="s">
        <v>127</v>
      </c>
      <c r="U206" s="37" t="s">
        <v>136</v>
      </c>
      <c r="V206" s="37" t="b">
        <v>0</v>
      </c>
      <c r="W206" s="77" t="s">
        <v>1107</v>
      </c>
      <c r="X206" s="123"/>
      <c r="Y206" s="37" t="s">
        <v>137</v>
      </c>
      <c r="Z206" s="83">
        <v>1.0083819999999999</v>
      </c>
      <c r="AA206" s="37">
        <v>69</v>
      </c>
      <c r="AB206" s="37" t="s">
        <v>306</v>
      </c>
      <c r="AC206" s="78">
        <v>4.2</v>
      </c>
      <c r="AD206" s="78">
        <v>5986060</v>
      </c>
      <c r="AE206" s="37" t="s">
        <v>1108</v>
      </c>
      <c r="AF206" s="37">
        <v>5253</v>
      </c>
      <c r="AG206" s="37" t="s">
        <v>141</v>
      </c>
      <c r="AH206" s="37" t="b">
        <v>0</v>
      </c>
      <c r="AI206" s="76">
        <v>41695</v>
      </c>
      <c r="AJ206" s="77" t="s">
        <v>142</v>
      </c>
      <c r="AK206" s="37">
        <v>2010</v>
      </c>
      <c r="AL206" s="37">
        <v>2016</v>
      </c>
      <c r="AM206" s="37" t="b">
        <v>0</v>
      </c>
      <c r="AN206" s="37">
        <v>2016</v>
      </c>
      <c r="AO206" s="37" t="s">
        <v>127</v>
      </c>
      <c r="AP206" s="37" t="s">
        <v>1109</v>
      </c>
      <c r="AQ206" s="37" t="b">
        <v>0</v>
      </c>
      <c r="AR206" s="37" t="s">
        <v>1110</v>
      </c>
      <c r="AS206" s="76">
        <v>43010</v>
      </c>
      <c r="AT206" s="37" t="s">
        <v>1111</v>
      </c>
      <c r="AU206" s="37" t="s">
        <v>127</v>
      </c>
      <c r="AV206" s="37" t="s">
        <v>933</v>
      </c>
      <c r="AW206" s="37" t="s">
        <v>137</v>
      </c>
      <c r="AX206" s="37" t="s">
        <v>1112</v>
      </c>
      <c r="AY206" s="37" t="s">
        <v>1113</v>
      </c>
      <c r="AZ206" s="37" t="s">
        <v>973</v>
      </c>
      <c r="BA206" s="37">
        <v>2017</v>
      </c>
      <c r="BB206" s="37" t="s">
        <v>143</v>
      </c>
      <c r="BC206" s="77" t="s">
        <v>127</v>
      </c>
      <c r="BD206" s="76" t="s">
        <v>1114</v>
      </c>
      <c r="BE206" s="76">
        <v>43617</v>
      </c>
      <c r="BF206" s="86" t="s">
        <v>1115</v>
      </c>
      <c r="BG206" s="39" t="s">
        <v>1116</v>
      </c>
      <c r="BH206" s="37" t="s">
        <v>127</v>
      </c>
      <c r="BI206" s="40" t="b">
        <v>0</v>
      </c>
      <c r="BJ206" s="40">
        <v>24115</v>
      </c>
      <c r="BK206" s="37" t="s">
        <v>127</v>
      </c>
      <c r="BL206" s="41">
        <v>29085.255496022019</v>
      </c>
      <c r="BM206" s="49">
        <v>10046.272428296004</v>
      </c>
      <c r="BN206" s="49">
        <v>309.1135908600001</v>
      </c>
      <c r="BO206" s="49">
        <v>4.6688357949999997</v>
      </c>
      <c r="BP206" s="49">
        <v>0</v>
      </c>
      <c r="BQ206" s="50">
        <v>0</v>
      </c>
      <c r="BR206" s="50">
        <v>0</v>
      </c>
      <c r="BS206" s="50">
        <v>0</v>
      </c>
      <c r="BT206" s="50">
        <v>0</v>
      </c>
      <c r="BU206" s="50">
        <v>0</v>
      </c>
      <c r="BV206" s="50">
        <v>0</v>
      </c>
      <c r="BW206" s="50">
        <v>0</v>
      </c>
      <c r="BX206" s="37" t="s">
        <v>127</v>
      </c>
      <c r="BY206" s="37" t="s">
        <v>127</v>
      </c>
      <c r="BZ206" s="37" t="s">
        <v>207</v>
      </c>
      <c r="CA206" s="41">
        <v>264.56287000000009</v>
      </c>
      <c r="CB206" s="41">
        <v>2.3943400000000001</v>
      </c>
      <c r="CC206" s="41">
        <v>0</v>
      </c>
      <c r="CD206" s="41">
        <v>0</v>
      </c>
      <c r="CE206" s="41">
        <v>0</v>
      </c>
      <c r="CF206" s="41">
        <v>0</v>
      </c>
      <c r="CG206" s="45">
        <v>0</v>
      </c>
      <c r="CH206" s="45" t="s">
        <v>137</v>
      </c>
      <c r="CI206" s="37" t="s">
        <v>127</v>
      </c>
      <c r="CJ206" s="77" t="s">
        <v>127</v>
      </c>
      <c r="CK206" s="98">
        <v>0</v>
      </c>
      <c r="CL206" s="98">
        <v>1</v>
      </c>
      <c r="CM206" s="100" t="s">
        <v>1117</v>
      </c>
    </row>
    <row r="207" spans="1:91" ht="12.75" customHeight="1" x14ac:dyDescent="0.3">
      <c r="A207" s="37">
        <v>205</v>
      </c>
      <c r="B207" s="37" t="s">
        <v>1118</v>
      </c>
      <c r="C207" s="124"/>
      <c r="D207" s="124"/>
      <c r="E207" s="37" t="s">
        <v>1119</v>
      </c>
      <c r="F207" s="36" t="s">
        <v>1120</v>
      </c>
      <c r="G207" s="75" t="s">
        <v>615</v>
      </c>
      <c r="H207" s="37" t="s">
        <v>131</v>
      </c>
      <c r="I207" s="37" t="s">
        <v>227</v>
      </c>
      <c r="J207" s="37" t="s">
        <v>127</v>
      </c>
      <c r="K207" s="37" t="s">
        <v>1106</v>
      </c>
      <c r="L207" s="75" t="s">
        <v>1121</v>
      </c>
      <c r="M207" s="37" t="s">
        <v>384</v>
      </c>
      <c r="N207" s="37" t="s">
        <v>127</v>
      </c>
      <c r="O207" s="76">
        <v>45226.554166666669</v>
      </c>
      <c r="P207" s="37" t="s">
        <v>1122</v>
      </c>
      <c r="Q207" s="37" t="s">
        <v>168</v>
      </c>
      <c r="R207" s="37" t="s">
        <v>1123</v>
      </c>
      <c r="S207" s="37" t="s">
        <v>152</v>
      </c>
      <c r="T207" s="37" t="s">
        <v>315</v>
      </c>
      <c r="U207" s="37" t="s">
        <v>947</v>
      </c>
      <c r="V207" s="37" t="b">
        <v>0</v>
      </c>
      <c r="W207" s="77" t="s">
        <v>1124</v>
      </c>
      <c r="X207" s="123"/>
      <c r="Y207" s="83">
        <v>9.1338589999999993</v>
      </c>
      <c r="Z207" s="83">
        <v>6</v>
      </c>
      <c r="AA207" s="37">
        <v>230</v>
      </c>
      <c r="AB207" s="37" t="s">
        <v>1125</v>
      </c>
      <c r="AC207" s="78">
        <v>2.1</v>
      </c>
      <c r="AD207" s="78" t="s">
        <v>1126</v>
      </c>
      <c r="AE207" s="37" t="s">
        <v>1127</v>
      </c>
      <c r="AF207" s="37">
        <v>6129</v>
      </c>
      <c r="AG207" s="37" t="s">
        <v>141</v>
      </c>
      <c r="AH207" s="37" t="b">
        <v>0</v>
      </c>
      <c r="AI207" s="76">
        <v>42887</v>
      </c>
      <c r="AJ207" s="77" t="s">
        <v>142</v>
      </c>
      <c r="AK207" s="37">
        <v>2006</v>
      </c>
      <c r="AL207" s="37">
        <v>2011</v>
      </c>
      <c r="AM207" s="37" t="b">
        <v>0</v>
      </c>
      <c r="AN207" s="37" t="s">
        <v>1128</v>
      </c>
      <c r="AO207" s="37" t="s">
        <v>127</v>
      </c>
      <c r="AP207" s="37" t="s">
        <v>1129</v>
      </c>
      <c r="AQ207" s="37" t="b">
        <v>0</v>
      </c>
      <c r="AR207" s="37" t="s">
        <v>1110</v>
      </c>
      <c r="AS207" s="76">
        <v>42485</v>
      </c>
      <c r="AT207" s="37" t="s">
        <v>1130</v>
      </c>
      <c r="AU207" s="37" t="s">
        <v>127</v>
      </c>
      <c r="AV207" s="37" t="s">
        <v>933</v>
      </c>
      <c r="AW207" s="37" t="s">
        <v>137</v>
      </c>
      <c r="AX207" s="37" t="s">
        <v>1131</v>
      </c>
      <c r="AY207" s="37" t="s">
        <v>1132</v>
      </c>
      <c r="AZ207" s="37" t="s">
        <v>973</v>
      </c>
      <c r="BA207" s="37">
        <v>2016</v>
      </c>
      <c r="BB207" s="37" t="s">
        <v>396</v>
      </c>
      <c r="BC207" s="77" t="s">
        <v>127</v>
      </c>
      <c r="BD207" s="76" t="s">
        <v>1133</v>
      </c>
      <c r="BE207" s="76">
        <v>42142</v>
      </c>
      <c r="BF207" s="86" t="s">
        <v>1134</v>
      </c>
      <c r="BG207" s="39" t="s">
        <v>553</v>
      </c>
      <c r="BH207" s="37" t="s">
        <v>553</v>
      </c>
      <c r="BI207" s="40" t="b">
        <v>1</v>
      </c>
      <c r="BJ207" s="41">
        <v>363363</v>
      </c>
      <c r="BK207" s="41">
        <v>381000</v>
      </c>
      <c r="BL207" s="41">
        <v>373655.52069872635</v>
      </c>
      <c r="BM207" s="49">
        <v>40753.364590023994</v>
      </c>
      <c r="BN207" s="49">
        <v>97253.989726075015</v>
      </c>
      <c r="BO207" s="49">
        <v>47918.477053829993</v>
      </c>
      <c r="BP207" s="49">
        <v>30254.703020243996</v>
      </c>
      <c r="BQ207" s="50">
        <v>41823.031189810987</v>
      </c>
      <c r="BR207" s="50">
        <v>15872.464829274229</v>
      </c>
      <c r="BS207" s="50">
        <v>1355.0263184198868</v>
      </c>
      <c r="BT207" s="50">
        <v>0</v>
      </c>
      <c r="BU207" s="50">
        <v>0</v>
      </c>
      <c r="BV207" s="50">
        <v>0</v>
      </c>
      <c r="BW207" s="50">
        <v>0</v>
      </c>
      <c r="BX207" s="37" t="s">
        <v>127</v>
      </c>
      <c r="BY207" s="37" t="s">
        <v>127</v>
      </c>
      <c r="BZ207" s="37" t="s">
        <v>155</v>
      </c>
      <c r="CA207" s="41">
        <v>78952.298190000001</v>
      </c>
      <c r="CB207" s="41">
        <v>129188.57337999997</v>
      </c>
      <c r="CC207" s="41">
        <v>5201.7747000000018</v>
      </c>
      <c r="CD207" s="41">
        <v>129169.38928</v>
      </c>
      <c r="CE207" s="41">
        <v>4707.0246899999993</v>
      </c>
      <c r="CF207" s="41">
        <v>15293.383372595208</v>
      </c>
      <c r="CG207" s="45">
        <v>0</v>
      </c>
      <c r="CH207" s="45" t="s">
        <v>137</v>
      </c>
      <c r="CI207" s="37" t="s">
        <v>127</v>
      </c>
      <c r="CJ207" s="77" t="s">
        <v>1135</v>
      </c>
      <c r="CK207" s="98">
        <v>0.6</v>
      </c>
      <c r="CL207" s="98">
        <v>0.4</v>
      </c>
      <c r="CM207" s="100" t="s">
        <v>1136</v>
      </c>
    </row>
    <row r="208" spans="1:91" ht="12.75" customHeight="1" x14ac:dyDescent="0.3">
      <c r="A208" s="37">
        <v>206</v>
      </c>
      <c r="B208" s="37" t="s">
        <v>1137</v>
      </c>
      <c r="C208" s="124"/>
      <c r="D208" s="124"/>
      <c r="E208" s="37" t="s">
        <v>1138</v>
      </c>
      <c r="F208" s="36" t="s">
        <v>1139</v>
      </c>
      <c r="G208" s="75" t="s">
        <v>129</v>
      </c>
      <c r="H208" s="37" t="s">
        <v>130</v>
      </c>
      <c r="I208" s="37" t="s">
        <v>268</v>
      </c>
      <c r="J208" s="37" t="s">
        <v>127</v>
      </c>
      <c r="K208" s="37" t="s">
        <v>609</v>
      </c>
      <c r="L208" s="75" t="s">
        <v>133</v>
      </c>
      <c r="M208" s="37" t="s">
        <v>127</v>
      </c>
      <c r="N208" s="37" t="s">
        <v>127</v>
      </c>
      <c r="O208" s="76">
        <v>45170</v>
      </c>
      <c r="P208" s="37">
        <v>45</v>
      </c>
      <c r="Q208" s="37" t="s">
        <v>127</v>
      </c>
      <c r="R208" s="37" t="s">
        <v>127</v>
      </c>
      <c r="S208" s="37" t="s">
        <v>127</v>
      </c>
      <c r="T208" s="37" t="s">
        <v>248</v>
      </c>
      <c r="U208" s="37" t="s">
        <v>230</v>
      </c>
      <c r="V208" s="37" t="b">
        <v>0</v>
      </c>
      <c r="W208" s="77" t="s">
        <v>127</v>
      </c>
      <c r="X208" s="123"/>
      <c r="Y208" s="83">
        <v>4.6373689999999996</v>
      </c>
      <c r="Z208" s="37" t="s">
        <v>137</v>
      </c>
      <c r="AA208" s="37">
        <v>69</v>
      </c>
      <c r="AB208" s="37" t="s">
        <v>127</v>
      </c>
      <c r="AC208" s="78">
        <v>1.2</v>
      </c>
      <c r="AD208" s="78" t="s">
        <v>1140</v>
      </c>
      <c r="AE208" s="37" t="s">
        <v>1141</v>
      </c>
      <c r="AF208" s="37">
        <v>9132</v>
      </c>
      <c r="AG208" s="37" t="s">
        <v>141</v>
      </c>
      <c r="AH208" s="37" t="b">
        <v>1</v>
      </c>
      <c r="AI208" s="76">
        <v>40709</v>
      </c>
      <c r="AJ208" s="77" t="s">
        <v>142</v>
      </c>
      <c r="AK208" s="37">
        <v>2009</v>
      </c>
      <c r="AL208" s="37" t="s">
        <v>127</v>
      </c>
      <c r="AM208" s="37" t="b">
        <v>0</v>
      </c>
      <c r="AN208" s="37" t="s">
        <v>127</v>
      </c>
      <c r="AO208" s="37" t="s">
        <v>127</v>
      </c>
      <c r="AP208" s="37" t="s">
        <v>137</v>
      </c>
      <c r="AQ208" s="37" t="b">
        <v>0</v>
      </c>
      <c r="AR208" s="37" t="s">
        <v>127</v>
      </c>
      <c r="AS208" s="76" t="s">
        <v>137</v>
      </c>
      <c r="AT208" s="37" t="s">
        <v>389</v>
      </c>
      <c r="AU208" s="37" t="s">
        <v>127</v>
      </c>
      <c r="AV208" s="37" t="s">
        <v>137</v>
      </c>
      <c r="AW208" s="37" t="s">
        <v>137</v>
      </c>
      <c r="AX208" s="37" t="s">
        <v>1070</v>
      </c>
      <c r="AY208" s="37" t="s">
        <v>1142</v>
      </c>
      <c r="AZ208" s="37" t="s">
        <v>973</v>
      </c>
      <c r="BA208" s="37">
        <v>2020</v>
      </c>
      <c r="BB208" s="37" t="s">
        <v>143</v>
      </c>
      <c r="BC208" s="77" t="s">
        <v>127</v>
      </c>
      <c r="BD208" s="76" t="s">
        <v>1143</v>
      </c>
      <c r="BE208" s="76">
        <v>44135</v>
      </c>
      <c r="BF208" s="86" t="s">
        <v>1144</v>
      </c>
      <c r="BG208" s="39" t="s">
        <v>219</v>
      </c>
      <c r="BH208" s="37" t="s">
        <v>127</v>
      </c>
      <c r="BI208" s="40" t="b">
        <v>1</v>
      </c>
      <c r="BJ208" s="40">
        <v>65729</v>
      </c>
      <c r="BK208" s="37" t="s">
        <v>127</v>
      </c>
      <c r="BL208" s="41">
        <v>106527.34110992878</v>
      </c>
      <c r="BM208" s="49">
        <v>1770.9611681239996</v>
      </c>
      <c r="BN208" s="49">
        <v>17098.809157905016</v>
      </c>
      <c r="BO208" s="49">
        <v>58109.34245404297</v>
      </c>
      <c r="BP208" s="49">
        <v>16718.846308780001</v>
      </c>
      <c r="BQ208" s="50">
        <v>2765.3050719139992</v>
      </c>
      <c r="BR208" s="50">
        <v>132.12669508466709</v>
      </c>
      <c r="BS208" s="50">
        <v>1835.6153603242269</v>
      </c>
      <c r="BT208" s="50">
        <v>0</v>
      </c>
      <c r="BU208" s="50">
        <v>0</v>
      </c>
      <c r="BV208" s="50">
        <v>0</v>
      </c>
      <c r="BW208" s="50">
        <v>0</v>
      </c>
      <c r="BX208" s="37" t="s">
        <v>127</v>
      </c>
      <c r="BY208" s="37" t="s">
        <v>127</v>
      </c>
      <c r="BZ208" s="37" t="s">
        <v>162</v>
      </c>
      <c r="CA208" s="41">
        <v>0</v>
      </c>
      <c r="CB208" s="41">
        <v>0</v>
      </c>
      <c r="CC208" s="41">
        <v>100051.98745999999</v>
      </c>
      <c r="CD208" s="41">
        <v>2324.2878999999998</v>
      </c>
      <c r="CE208" s="41">
        <v>100.25729999999999</v>
      </c>
      <c r="CF208" s="41">
        <v>65.471499999999978</v>
      </c>
      <c r="CG208" s="45">
        <v>0</v>
      </c>
      <c r="CH208" s="45" t="s">
        <v>137</v>
      </c>
      <c r="CI208" s="37" t="s">
        <v>127</v>
      </c>
      <c r="CJ208" s="77" t="s">
        <v>127</v>
      </c>
      <c r="CK208" s="98">
        <v>0</v>
      </c>
      <c r="CL208" s="98">
        <v>1</v>
      </c>
      <c r="CM208" s="100" t="s">
        <v>1145</v>
      </c>
    </row>
    <row r="209" spans="1:91" ht="12.75" customHeight="1" x14ac:dyDescent="0.3">
      <c r="A209" s="37">
        <v>207</v>
      </c>
      <c r="B209" s="37" t="s">
        <v>1146</v>
      </c>
      <c r="C209" s="124"/>
      <c r="D209" s="124"/>
      <c r="E209" s="37" t="s">
        <v>1147</v>
      </c>
      <c r="F209" s="36" t="s">
        <v>1148</v>
      </c>
      <c r="G209" s="75" t="s">
        <v>129</v>
      </c>
      <c r="H209" s="37" t="s">
        <v>130</v>
      </c>
      <c r="I209" s="37" t="s">
        <v>127</v>
      </c>
      <c r="J209" s="37" t="s">
        <v>127</v>
      </c>
      <c r="K209" s="37" t="s">
        <v>609</v>
      </c>
      <c r="L209" s="75" t="s">
        <v>133</v>
      </c>
      <c r="M209" s="37" t="s">
        <v>127</v>
      </c>
      <c r="N209" s="37" t="s">
        <v>127</v>
      </c>
      <c r="O209" s="76">
        <v>44457</v>
      </c>
      <c r="P209" s="37">
        <v>34</v>
      </c>
      <c r="Q209" s="37" t="s">
        <v>127</v>
      </c>
      <c r="R209" s="37" t="s">
        <v>127</v>
      </c>
      <c r="S209" s="37" t="s">
        <v>127</v>
      </c>
      <c r="T209" s="37" t="s">
        <v>315</v>
      </c>
      <c r="U209" s="37" t="s">
        <v>947</v>
      </c>
      <c r="V209" s="37" t="b">
        <v>0</v>
      </c>
      <c r="W209" s="77" t="s">
        <v>127</v>
      </c>
      <c r="X209" s="123"/>
      <c r="Y209" s="83">
        <v>7.7111390000000002</v>
      </c>
      <c r="Z209" s="37" t="s">
        <v>137</v>
      </c>
      <c r="AA209" s="37">
        <v>69</v>
      </c>
      <c r="AB209" s="37" t="s">
        <v>127</v>
      </c>
      <c r="AC209" s="78">
        <v>1.2</v>
      </c>
      <c r="AD209" s="78">
        <v>2902100</v>
      </c>
      <c r="AE209" s="37" t="s">
        <v>1149</v>
      </c>
      <c r="AF209" s="37">
        <v>9137</v>
      </c>
      <c r="AG209" s="37" t="s">
        <v>141</v>
      </c>
      <c r="AH209" s="37" t="b">
        <v>1</v>
      </c>
      <c r="AI209" s="76">
        <v>43658</v>
      </c>
      <c r="AJ209" s="77" t="s">
        <v>142</v>
      </c>
      <c r="AK209" s="37">
        <v>2009</v>
      </c>
      <c r="AL209" s="37" t="s">
        <v>137</v>
      </c>
      <c r="AM209" s="37" t="b">
        <v>0</v>
      </c>
      <c r="AN209" s="37" t="s">
        <v>137</v>
      </c>
      <c r="AO209" s="37" t="s">
        <v>137</v>
      </c>
      <c r="AP209" s="37" t="s">
        <v>137</v>
      </c>
      <c r="AQ209" s="37" t="b">
        <v>0</v>
      </c>
      <c r="AR209" s="37" t="s">
        <v>1110</v>
      </c>
      <c r="AS209" s="76" t="s">
        <v>137</v>
      </c>
      <c r="AT209" s="37" t="s">
        <v>1111</v>
      </c>
      <c r="AU209" s="37" t="s">
        <v>127</v>
      </c>
      <c r="AV209" s="37" t="s">
        <v>933</v>
      </c>
      <c r="AW209" s="37" t="s">
        <v>137</v>
      </c>
      <c r="AX209" s="37" t="s">
        <v>1112</v>
      </c>
      <c r="AY209" s="37" t="s">
        <v>1150</v>
      </c>
      <c r="AZ209" s="37" t="s">
        <v>973</v>
      </c>
      <c r="BA209" s="37">
        <v>2019</v>
      </c>
      <c r="BB209" s="37" t="s">
        <v>143</v>
      </c>
      <c r="BC209" s="77" t="s">
        <v>127</v>
      </c>
      <c r="BD209" s="76" t="s">
        <v>1151</v>
      </c>
      <c r="BE209" s="37" t="s">
        <v>127</v>
      </c>
      <c r="BF209" s="86" t="s">
        <v>1152</v>
      </c>
      <c r="BG209" s="39" t="s">
        <v>127</v>
      </c>
      <c r="BH209" s="37" t="s">
        <v>127</v>
      </c>
      <c r="BI209" s="40" t="b">
        <v>0</v>
      </c>
      <c r="BJ209" s="40" t="s">
        <v>137</v>
      </c>
      <c r="BK209" s="37" t="s">
        <v>127</v>
      </c>
      <c r="BL209" s="41">
        <v>31459.290099191487</v>
      </c>
      <c r="BM209" s="49">
        <v>20369.827702823994</v>
      </c>
      <c r="BN209" s="49">
        <v>6335.7265774918806</v>
      </c>
      <c r="BO209" s="49">
        <v>64.53797833699997</v>
      </c>
      <c r="BP209" s="49">
        <v>1.3954779419999999</v>
      </c>
      <c r="BQ209" s="50">
        <v>0</v>
      </c>
      <c r="BR209" s="50">
        <v>0</v>
      </c>
      <c r="BS209" s="50">
        <v>0</v>
      </c>
      <c r="BT209" s="50">
        <v>0</v>
      </c>
      <c r="BU209" s="50">
        <v>0</v>
      </c>
      <c r="BV209" s="50">
        <v>0</v>
      </c>
      <c r="BW209" s="50">
        <v>0</v>
      </c>
      <c r="BX209" s="37" t="s">
        <v>127</v>
      </c>
      <c r="BY209" s="37" t="s">
        <v>127</v>
      </c>
      <c r="BZ209" s="37" t="s">
        <v>176</v>
      </c>
      <c r="CA209" s="41">
        <v>29658.631519999995</v>
      </c>
      <c r="CB209" s="41">
        <v>54.952009999999987</v>
      </c>
      <c r="CC209" s="41">
        <v>1.1916100000013039</v>
      </c>
      <c r="CD209" s="41">
        <v>0</v>
      </c>
      <c r="CE209" s="41">
        <v>0</v>
      </c>
      <c r="CF209" s="41">
        <v>0</v>
      </c>
      <c r="CG209" s="45">
        <v>0</v>
      </c>
      <c r="CH209" s="45" t="s">
        <v>137</v>
      </c>
      <c r="CI209" s="37" t="s">
        <v>127</v>
      </c>
      <c r="CJ209" s="77" t="s">
        <v>127</v>
      </c>
      <c r="CK209" s="98">
        <v>0</v>
      </c>
      <c r="CL209" s="98">
        <v>1</v>
      </c>
      <c r="CM209" s="100" t="s">
        <v>1153</v>
      </c>
    </row>
    <row r="210" spans="1:91" ht="12.75" customHeight="1" x14ac:dyDescent="0.3">
      <c r="A210" s="37">
        <v>208</v>
      </c>
      <c r="B210" s="37" t="s">
        <v>1154</v>
      </c>
      <c r="C210" s="124"/>
      <c r="D210" s="124"/>
      <c r="E210" s="37" t="s">
        <v>246</v>
      </c>
      <c r="F210" s="36" t="s">
        <v>1155</v>
      </c>
      <c r="G210" s="75" t="s">
        <v>513</v>
      </c>
      <c r="H210" s="37" t="s">
        <v>130</v>
      </c>
      <c r="I210" s="37" t="s">
        <v>268</v>
      </c>
      <c r="J210" s="37">
        <v>23126</v>
      </c>
      <c r="K210" s="37" t="s">
        <v>609</v>
      </c>
      <c r="L210" s="75" t="s">
        <v>133</v>
      </c>
      <c r="M210" s="37" t="s">
        <v>127</v>
      </c>
      <c r="N210" s="37" t="s">
        <v>127</v>
      </c>
      <c r="O210" s="76">
        <v>44588</v>
      </c>
      <c r="P210" s="37">
        <v>45</v>
      </c>
      <c r="Q210" s="37" t="s">
        <v>127</v>
      </c>
      <c r="R210" s="37" t="s">
        <v>127</v>
      </c>
      <c r="S210" s="37" t="s">
        <v>127</v>
      </c>
      <c r="T210" s="37" t="s">
        <v>315</v>
      </c>
      <c r="U210" s="37" t="s">
        <v>947</v>
      </c>
      <c r="V210" s="37" t="b">
        <v>0</v>
      </c>
      <c r="W210" s="77" t="s">
        <v>127</v>
      </c>
      <c r="X210" s="123"/>
      <c r="Y210" s="83">
        <v>24.675932</v>
      </c>
      <c r="Z210" s="37" t="s">
        <v>137</v>
      </c>
      <c r="AA210" s="37">
        <v>69</v>
      </c>
      <c r="AB210" s="37" t="s">
        <v>127</v>
      </c>
      <c r="AC210" s="78">
        <v>1.2</v>
      </c>
      <c r="AD210" s="78">
        <v>2984061</v>
      </c>
      <c r="AE210" s="37" t="s">
        <v>1156</v>
      </c>
      <c r="AF210" s="37">
        <v>9142</v>
      </c>
      <c r="AG210" s="37" t="s">
        <v>141</v>
      </c>
      <c r="AH210" s="37" t="b">
        <v>1</v>
      </c>
      <c r="AI210" s="76">
        <v>43466</v>
      </c>
      <c r="AJ210" s="77" t="s">
        <v>142</v>
      </c>
      <c r="AK210" s="37">
        <v>2012</v>
      </c>
      <c r="AL210" s="37" t="s">
        <v>127</v>
      </c>
      <c r="AM210" s="37" t="b">
        <v>0</v>
      </c>
      <c r="AN210" s="37" t="s">
        <v>127</v>
      </c>
      <c r="AO210" s="37" t="s">
        <v>127</v>
      </c>
      <c r="AP210" s="37" t="s">
        <v>137</v>
      </c>
      <c r="AQ210" s="37" t="b">
        <v>0</v>
      </c>
      <c r="AR210" s="37" t="s">
        <v>127</v>
      </c>
      <c r="AS210" s="76" t="s">
        <v>137</v>
      </c>
      <c r="AT210" s="37" t="s">
        <v>389</v>
      </c>
      <c r="AU210" s="37" t="s">
        <v>150</v>
      </c>
      <c r="AV210" s="37" t="s">
        <v>137</v>
      </c>
      <c r="AW210" s="37" t="s">
        <v>1157</v>
      </c>
      <c r="AX210" s="37" t="s">
        <v>161</v>
      </c>
      <c r="AY210" s="37" t="s">
        <v>127</v>
      </c>
      <c r="AZ210" s="37" t="s">
        <v>127</v>
      </c>
      <c r="BA210" s="37" t="s">
        <v>127</v>
      </c>
      <c r="BB210" s="37" t="s">
        <v>143</v>
      </c>
      <c r="BC210" s="77" t="s">
        <v>127</v>
      </c>
      <c r="BD210" s="76" t="s">
        <v>1158</v>
      </c>
      <c r="BE210" s="76">
        <v>45565</v>
      </c>
      <c r="BF210" s="86" t="s">
        <v>1159</v>
      </c>
      <c r="BG210" s="39" t="s">
        <v>1160</v>
      </c>
      <c r="BH210" s="37" t="s">
        <v>219</v>
      </c>
      <c r="BI210" s="40" t="b">
        <v>0</v>
      </c>
      <c r="BJ210" s="40">
        <v>5446.0598499999996</v>
      </c>
      <c r="BK210" s="37" t="s">
        <v>127</v>
      </c>
      <c r="BL210" s="41">
        <v>143982.09023589871</v>
      </c>
      <c r="BM210" s="49">
        <v>1370.7499599999992</v>
      </c>
      <c r="BN210" s="49">
        <v>1677.8191200000001</v>
      </c>
      <c r="BO210" s="49">
        <v>2076.9475900000002</v>
      </c>
      <c r="BP210" s="49">
        <v>1401.8346099999997</v>
      </c>
      <c r="BQ210" s="50">
        <v>1382.6850000000002</v>
      </c>
      <c r="BR210" s="50">
        <v>1537.4199639105477</v>
      </c>
      <c r="BS210" s="50">
        <v>25906.155746321998</v>
      </c>
      <c r="BT210" s="50">
        <v>75193.338071287129</v>
      </c>
      <c r="BU210" s="50">
        <v>30797.90283437867</v>
      </c>
      <c r="BV210" s="50">
        <v>0</v>
      </c>
      <c r="BW210" s="50">
        <v>10184.346250000001</v>
      </c>
      <c r="BX210" s="37" t="s">
        <v>127</v>
      </c>
      <c r="BY210" s="37" t="s">
        <v>127</v>
      </c>
      <c r="BZ210" s="37" t="s">
        <v>127</v>
      </c>
      <c r="CA210" s="41">
        <v>0</v>
      </c>
      <c r="CB210" s="41">
        <v>0</v>
      </c>
      <c r="CC210" s="41">
        <v>0</v>
      </c>
      <c r="CD210" s="41">
        <v>0</v>
      </c>
      <c r="CE210" s="41">
        <v>0</v>
      </c>
      <c r="CF210" s="41">
        <v>0</v>
      </c>
      <c r="CG210" s="45">
        <v>0</v>
      </c>
      <c r="CH210" s="45" t="s">
        <v>137</v>
      </c>
      <c r="CI210" s="37" t="s">
        <v>1161</v>
      </c>
      <c r="CJ210" s="77" t="s">
        <v>127</v>
      </c>
      <c r="CK210" s="98">
        <v>0</v>
      </c>
      <c r="CL210" s="98">
        <v>1</v>
      </c>
      <c r="CM210" s="100" t="s">
        <v>1162</v>
      </c>
    </row>
    <row r="211" spans="1:91" ht="12.75" customHeight="1" x14ac:dyDescent="0.3">
      <c r="A211" s="37">
        <v>209</v>
      </c>
      <c r="B211" s="37" t="s">
        <v>1163</v>
      </c>
      <c r="C211" s="124"/>
      <c r="D211" s="124"/>
      <c r="E211" s="37" t="s">
        <v>258</v>
      </c>
      <c r="F211" s="36" t="s">
        <v>1164</v>
      </c>
      <c r="G211" s="75" t="s">
        <v>129</v>
      </c>
      <c r="H211" s="37" t="s">
        <v>131</v>
      </c>
      <c r="I211" s="37" t="s">
        <v>127</v>
      </c>
      <c r="J211" s="37" t="s">
        <v>127</v>
      </c>
      <c r="K211" s="37" t="s">
        <v>1165</v>
      </c>
      <c r="L211" s="75" t="s">
        <v>959</v>
      </c>
      <c r="M211" s="37" t="s">
        <v>1049</v>
      </c>
      <c r="N211" s="37" t="s">
        <v>127</v>
      </c>
      <c r="O211" s="76">
        <v>45068</v>
      </c>
      <c r="P211" s="37">
        <v>24</v>
      </c>
      <c r="Q211" s="37" t="s">
        <v>168</v>
      </c>
      <c r="R211" s="37" t="s">
        <v>1123</v>
      </c>
      <c r="S211" s="37" t="s">
        <v>127</v>
      </c>
      <c r="T211" s="37" t="s">
        <v>127</v>
      </c>
      <c r="U211" s="37" t="s">
        <v>136</v>
      </c>
      <c r="V211" s="37" t="b">
        <v>0</v>
      </c>
      <c r="W211" s="77" t="s">
        <v>127</v>
      </c>
      <c r="X211" s="123"/>
      <c r="Y211" s="83">
        <v>7.9514930000000001</v>
      </c>
      <c r="Z211" s="37" t="s">
        <v>137</v>
      </c>
      <c r="AA211" s="37" t="s">
        <v>1166</v>
      </c>
      <c r="AB211" s="37" t="s">
        <v>127</v>
      </c>
      <c r="AC211" s="78">
        <v>2.1</v>
      </c>
      <c r="AD211" s="78" t="s">
        <v>1167</v>
      </c>
      <c r="AE211" s="37" t="s">
        <v>1168</v>
      </c>
      <c r="AF211" s="37">
        <v>9153</v>
      </c>
      <c r="AG211" s="37" t="s">
        <v>141</v>
      </c>
      <c r="AH211" s="37" t="b">
        <v>0</v>
      </c>
      <c r="AI211" s="76">
        <v>42614</v>
      </c>
      <c r="AJ211" s="77" t="s">
        <v>142</v>
      </c>
      <c r="AK211" s="37">
        <v>2011</v>
      </c>
      <c r="AL211" s="37">
        <v>2011</v>
      </c>
      <c r="AM211" s="37" t="b">
        <v>0</v>
      </c>
      <c r="AN211" s="37" t="s">
        <v>1169</v>
      </c>
      <c r="AO211" s="37" t="s">
        <v>127</v>
      </c>
      <c r="AP211" s="37" t="s">
        <v>1129</v>
      </c>
      <c r="AQ211" s="37" t="b">
        <v>0</v>
      </c>
      <c r="AR211" s="37" t="s">
        <v>127</v>
      </c>
      <c r="AS211" s="76" t="s">
        <v>137</v>
      </c>
      <c r="AT211" s="37" t="s">
        <v>127</v>
      </c>
      <c r="AU211" s="37" t="s">
        <v>127</v>
      </c>
      <c r="AV211" s="37" t="s">
        <v>137</v>
      </c>
      <c r="AW211" s="37" t="s">
        <v>137</v>
      </c>
      <c r="AX211" s="37" t="s">
        <v>1070</v>
      </c>
      <c r="AY211" s="37" t="s">
        <v>1170</v>
      </c>
      <c r="AZ211" s="37" t="s">
        <v>973</v>
      </c>
      <c r="BA211" s="37">
        <v>2017</v>
      </c>
      <c r="BB211" s="37" t="s">
        <v>143</v>
      </c>
      <c r="BC211" s="77" t="s">
        <v>127</v>
      </c>
      <c r="BD211" s="76" t="s">
        <v>1171</v>
      </c>
      <c r="BE211" s="76">
        <v>42156</v>
      </c>
      <c r="BF211" s="86" t="s">
        <v>1172</v>
      </c>
      <c r="BG211" s="39" t="s">
        <v>552</v>
      </c>
      <c r="BH211" s="37" t="s">
        <v>127</v>
      </c>
      <c r="BI211" s="40" t="b">
        <v>1</v>
      </c>
      <c r="BJ211" s="40">
        <v>28730.526880000001</v>
      </c>
      <c r="BK211" s="37" t="s">
        <v>127</v>
      </c>
      <c r="BL211" s="41">
        <v>40126.217813841082</v>
      </c>
      <c r="BM211" s="49">
        <v>12532.683949814002</v>
      </c>
      <c r="BN211" s="49">
        <v>198.95090330000014</v>
      </c>
      <c r="BO211" s="49">
        <v>52.127802162999998</v>
      </c>
      <c r="BP211" s="49">
        <v>0.13369</v>
      </c>
      <c r="BQ211" s="50">
        <v>0</v>
      </c>
      <c r="BR211" s="50">
        <v>-24.737160000000003</v>
      </c>
      <c r="BS211" s="50">
        <v>0</v>
      </c>
      <c r="BT211" s="50">
        <v>0</v>
      </c>
      <c r="BU211" s="50">
        <v>0</v>
      </c>
      <c r="BV211" s="50">
        <v>0</v>
      </c>
      <c r="BW211" s="50">
        <v>0</v>
      </c>
      <c r="BX211" s="37" t="s">
        <v>127</v>
      </c>
      <c r="BY211" s="37" t="s">
        <v>127</v>
      </c>
      <c r="BZ211" s="37" t="s">
        <v>1173</v>
      </c>
      <c r="CA211" s="41">
        <v>3884.2550399999996</v>
      </c>
      <c r="CB211" s="41">
        <v>46.96427000000002</v>
      </c>
      <c r="CC211" s="41">
        <v>0.13369</v>
      </c>
      <c r="CD211" s="41">
        <v>0</v>
      </c>
      <c r="CE211" s="41">
        <v>-24.737159999999992</v>
      </c>
      <c r="CF211" s="41">
        <v>-24.737159999999999</v>
      </c>
      <c r="CG211" s="45">
        <v>0</v>
      </c>
      <c r="CH211" s="45" t="s">
        <v>137</v>
      </c>
      <c r="CI211" s="37" t="s">
        <v>127</v>
      </c>
      <c r="CJ211" s="77" t="s">
        <v>127</v>
      </c>
      <c r="CK211" s="98">
        <v>0</v>
      </c>
      <c r="CL211" s="98">
        <v>1</v>
      </c>
      <c r="CM211" s="100" t="s">
        <v>1174</v>
      </c>
    </row>
    <row r="212" spans="1:91" ht="12.75" customHeight="1" x14ac:dyDescent="0.3">
      <c r="A212" s="37">
        <v>210</v>
      </c>
      <c r="B212" s="37" t="s">
        <v>1175</v>
      </c>
      <c r="C212" s="124"/>
      <c r="D212" s="124"/>
      <c r="E212" s="37" t="s">
        <v>964</v>
      </c>
      <c r="F212" s="36" t="s">
        <v>1176</v>
      </c>
      <c r="G212" s="75" t="s">
        <v>129</v>
      </c>
      <c r="H212" s="37" t="s">
        <v>130</v>
      </c>
      <c r="I212" s="37" t="s">
        <v>131</v>
      </c>
      <c r="J212" s="37" t="s">
        <v>127</v>
      </c>
      <c r="K212" s="37" t="s">
        <v>609</v>
      </c>
      <c r="L212" s="75" t="s">
        <v>133</v>
      </c>
      <c r="M212" s="37" t="s">
        <v>384</v>
      </c>
      <c r="N212" s="37" t="s">
        <v>127</v>
      </c>
      <c r="O212" s="76">
        <v>44344</v>
      </c>
      <c r="P212" s="37">
        <v>60</v>
      </c>
      <c r="Q212" s="37" t="s">
        <v>168</v>
      </c>
      <c r="R212" s="37" t="s">
        <v>1123</v>
      </c>
      <c r="S212" s="37" t="s">
        <v>127</v>
      </c>
      <c r="T212" s="37" t="s">
        <v>315</v>
      </c>
      <c r="U212" s="37" t="s">
        <v>947</v>
      </c>
      <c r="V212" s="37" t="b">
        <v>0</v>
      </c>
      <c r="W212" s="77" t="s">
        <v>127</v>
      </c>
      <c r="X212" s="123"/>
      <c r="Y212" s="83">
        <v>5.3506109999999998</v>
      </c>
      <c r="Z212" s="37" t="s">
        <v>137</v>
      </c>
      <c r="AA212" s="37">
        <v>69</v>
      </c>
      <c r="AB212" s="37" t="s">
        <v>127</v>
      </c>
      <c r="AC212" s="78">
        <v>1.2</v>
      </c>
      <c r="AD212" s="78" t="s">
        <v>1177</v>
      </c>
      <c r="AE212" s="37" t="s">
        <v>1178</v>
      </c>
      <c r="AF212" s="37">
        <v>10143</v>
      </c>
      <c r="AG212" s="37" t="s">
        <v>141</v>
      </c>
      <c r="AH212" s="37" t="b">
        <v>0</v>
      </c>
      <c r="AI212" s="76">
        <v>44146</v>
      </c>
      <c r="AJ212" s="77" t="s">
        <v>142</v>
      </c>
      <c r="AK212" s="37">
        <v>2012</v>
      </c>
      <c r="AL212" s="37">
        <v>2014</v>
      </c>
      <c r="AM212" s="37" t="b">
        <v>0</v>
      </c>
      <c r="AN212" s="37">
        <v>2014</v>
      </c>
      <c r="AO212" s="37" t="s">
        <v>127</v>
      </c>
      <c r="AP212" s="37" t="s">
        <v>1179</v>
      </c>
      <c r="AQ212" s="37" t="b">
        <v>0</v>
      </c>
      <c r="AR212" s="37" t="s">
        <v>150</v>
      </c>
      <c r="AS212" s="76" t="s">
        <v>137</v>
      </c>
      <c r="AT212" s="37" t="s">
        <v>389</v>
      </c>
      <c r="AU212" s="37" t="s">
        <v>150</v>
      </c>
      <c r="AV212" s="37" t="s">
        <v>933</v>
      </c>
      <c r="AW212" s="37" t="s">
        <v>1180</v>
      </c>
      <c r="AX212" s="37" t="s">
        <v>1112</v>
      </c>
      <c r="AY212" s="37" t="s">
        <v>1181</v>
      </c>
      <c r="AZ212" s="37" t="s">
        <v>1072</v>
      </c>
      <c r="BA212" s="37">
        <v>2026</v>
      </c>
      <c r="BB212" s="37" t="s">
        <v>443</v>
      </c>
      <c r="BC212" s="77" t="s">
        <v>127</v>
      </c>
      <c r="BD212" s="76" t="s">
        <v>1182</v>
      </c>
      <c r="BE212" s="76">
        <v>42156</v>
      </c>
      <c r="BF212" s="86" t="s">
        <v>1183</v>
      </c>
      <c r="BG212" s="39" t="s">
        <v>1184</v>
      </c>
      <c r="BH212" s="37" t="s">
        <v>219</v>
      </c>
      <c r="BI212" s="40" t="b">
        <v>0</v>
      </c>
      <c r="BJ212" s="41">
        <v>142840.72513000001</v>
      </c>
      <c r="BK212" s="37" t="s">
        <v>127</v>
      </c>
      <c r="BL212" s="41">
        <v>50404.719292515983</v>
      </c>
      <c r="BM212" s="49">
        <v>1215.8538520160012</v>
      </c>
      <c r="BN212" s="49">
        <v>1575.7259817900003</v>
      </c>
      <c r="BO212" s="49">
        <v>1488.9729913559991</v>
      </c>
      <c r="BP212" s="49">
        <v>1637.5558510500002</v>
      </c>
      <c r="BQ212" s="50">
        <v>1784.9566615860001</v>
      </c>
      <c r="BR212" s="50">
        <v>1504.2902163218323</v>
      </c>
      <c r="BS212" s="50">
        <v>4364.4786112732563</v>
      </c>
      <c r="BT212" s="50">
        <v>1894.4344269478831</v>
      </c>
      <c r="BU212" s="50">
        <v>26935.789748292904</v>
      </c>
      <c r="BV212" s="50">
        <v>4501.4817703540639</v>
      </c>
      <c r="BW212" s="50">
        <v>10622.0643</v>
      </c>
      <c r="BX212" s="37" t="s">
        <v>127</v>
      </c>
      <c r="BY212" s="37" t="s">
        <v>127</v>
      </c>
      <c r="BZ212" s="37" t="s">
        <v>180</v>
      </c>
      <c r="CA212" s="41">
        <v>0.12957000000000002</v>
      </c>
      <c r="CB212" s="41">
        <v>0</v>
      </c>
      <c r="CC212" s="41">
        <v>0</v>
      </c>
      <c r="CD212" s="41">
        <v>0</v>
      </c>
      <c r="CE212" s="41">
        <v>0</v>
      </c>
      <c r="CF212" s="41">
        <v>0</v>
      </c>
      <c r="CG212" s="45">
        <v>0</v>
      </c>
      <c r="CH212" s="45" t="s">
        <v>137</v>
      </c>
      <c r="CI212" s="37" t="s">
        <v>1185</v>
      </c>
      <c r="CJ212" s="77" t="s">
        <v>127</v>
      </c>
      <c r="CK212" s="98">
        <v>0</v>
      </c>
      <c r="CL212" s="98">
        <v>1</v>
      </c>
      <c r="CM212" s="100" t="s">
        <v>1186</v>
      </c>
    </row>
    <row r="213" spans="1:91" ht="12.75" customHeight="1" x14ac:dyDescent="0.3">
      <c r="A213" s="37">
        <v>211</v>
      </c>
      <c r="B213" s="37" t="s">
        <v>1187</v>
      </c>
      <c r="C213" s="124"/>
      <c r="D213" s="124"/>
      <c r="E213" s="37" t="s">
        <v>1188</v>
      </c>
      <c r="F213" s="36" t="s">
        <v>1189</v>
      </c>
      <c r="G213" s="75" t="s">
        <v>129</v>
      </c>
      <c r="H213" s="37" t="s">
        <v>130</v>
      </c>
      <c r="I213" s="37" t="s">
        <v>127</v>
      </c>
      <c r="J213" s="37" t="s">
        <v>127</v>
      </c>
      <c r="K213" s="37" t="s">
        <v>609</v>
      </c>
      <c r="L213" s="75" t="s">
        <v>133</v>
      </c>
      <c r="M213" s="37" t="s">
        <v>127</v>
      </c>
      <c r="N213" s="37" t="s">
        <v>127</v>
      </c>
      <c r="O213" s="76">
        <v>44114</v>
      </c>
      <c r="P213" s="37">
        <v>51</v>
      </c>
      <c r="Q213" s="37" t="s">
        <v>127</v>
      </c>
      <c r="R213" s="37" t="s">
        <v>127</v>
      </c>
      <c r="S213" s="37" t="s">
        <v>127</v>
      </c>
      <c r="T213" s="37" t="s">
        <v>315</v>
      </c>
      <c r="U213" s="37" t="s">
        <v>947</v>
      </c>
      <c r="V213" s="37" t="b">
        <v>0</v>
      </c>
      <c r="W213" s="77" t="s">
        <v>127</v>
      </c>
      <c r="X213" s="123"/>
      <c r="Y213" s="83">
        <v>11.548520999999999</v>
      </c>
      <c r="Z213" s="37" t="s">
        <v>137</v>
      </c>
      <c r="AA213" s="37">
        <v>69</v>
      </c>
      <c r="AB213" s="37" t="s">
        <v>127</v>
      </c>
      <c r="AC213" s="78">
        <v>1.2</v>
      </c>
      <c r="AD213" s="78" t="s">
        <v>1190</v>
      </c>
      <c r="AE213" s="37" t="s">
        <v>1191</v>
      </c>
      <c r="AF213" s="37">
        <v>10144</v>
      </c>
      <c r="AG213" s="37" t="s">
        <v>141</v>
      </c>
      <c r="AH213" s="37" t="b">
        <v>1</v>
      </c>
      <c r="AI213" s="76">
        <v>44154</v>
      </c>
      <c r="AJ213" s="77" t="s">
        <v>142</v>
      </c>
      <c r="AK213" s="37">
        <v>2012</v>
      </c>
      <c r="AL213" s="37" t="s">
        <v>137</v>
      </c>
      <c r="AM213" s="37" t="b">
        <v>0</v>
      </c>
      <c r="AN213" s="37" t="s">
        <v>137</v>
      </c>
      <c r="AO213" s="37" t="s">
        <v>137</v>
      </c>
      <c r="AP213" s="37" t="s">
        <v>137</v>
      </c>
      <c r="AQ213" s="37" t="b">
        <v>0</v>
      </c>
      <c r="AR213" s="37" t="s">
        <v>150</v>
      </c>
      <c r="AS213" s="76">
        <v>43770</v>
      </c>
      <c r="AT213" s="37" t="s">
        <v>389</v>
      </c>
      <c r="AU213" s="37" t="s">
        <v>390</v>
      </c>
      <c r="AV213" s="37" t="s">
        <v>933</v>
      </c>
      <c r="AW213" s="37" t="s">
        <v>1180</v>
      </c>
      <c r="AX213" s="37" t="s">
        <v>1070</v>
      </c>
      <c r="AY213" s="37" t="s">
        <v>1192</v>
      </c>
      <c r="AZ213" s="37" t="s">
        <v>973</v>
      </c>
      <c r="BA213" s="37">
        <v>2021</v>
      </c>
      <c r="BB213" s="37" t="s">
        <v>622</v>
      </c>
      <c r="BC213" s="77" t="s">
        <v>127</v>
      </c>
      <c r="BD213" s="76" t="s">
        <v>1193</v>
      </c>
      <c r="BE213" s="76">
        <v>45400</v>
      </c>
      <c r="BF213" s="86" t="s">
        <v>1194</v>
      </c>
      <c r="BG213" s="39" t="s">
        <v>127</v>
      </c>
      <c r="BH213" s="37" t="s">
        <v>127</v>
      </c>
      <c r="BI213" s="40" t="b">
        <v>1</v>
      </c>
      <c r="BJ213" s="40">
        <v>43446.39518</v>
      </c>
      <c r="BK213" s="37" t="s">
        <v>127</v>
      </c>
      <c r="BL213" s="41">
        <v>53025.375805766642</v>
      </c>
      <c r="BM213" s="49">
        <v>623.74939784799994</v>
      </c>
      <c r="BN213" s="49">
        <v>1527.9657394650001</v>
      </c>
      <c r="BO213" s="49">
        <v>4000.9639898860005</v>
      </c>
      <c r="BP213" s="49">
        <v>2467.6772277649993</v>
      </c>
      <c r="BQ213" s="50">
        <v>30943.919650978001</v>
      </c>
      <c r="BR213" s="50">
        <v>7669.4889929200735</v>
      </c>
      <c r="BS213" s="50">
        <v>2742.7231658375199</v>
      </c>
      <c r="BT213" s="50">
        <v>0</v>
      </c>
      <c r="BU213" s="50">
        <v>0</v>
      </c>
      <c r="BV213" s="50">
        <v>0</v>
      </c>
      <c r="BW213" s="50">
        <v>0</v>
      </c>
      <c r="BX213" s="37" t="s">
        <v>127</v>
      </c>
      <c r="BY213" s="37" t="s">
        <v>127</v>
      </c>
      <c r="BZ213" s="37" t="s">
        <v>173</v>
      </c>
      <c r="CA213" s="41">
        <v>0</v>
      </c>
      <c r="CB213" s="41">
        <v>0</v>
      </c>
      <c r="CC213" s="41">
        <v>0</v>
      </c>
      <c r="CD213" s="41">
        <v>0</v>
      </c>
      <c r="CE213" s="41">
        <v>42642.441399999996</v>
      </c>
      <c r="CF213" s="41">
        <v>46339.756124939442</v>
      </c>
      <c r="CG213" s="45">
        <v>0</v>
      </c>
      <c r="CH213" s="45" t="s">
        <v>137</v>
      </c>
      <c r="CI213" s="37" t="s">
        <v>1195</v>
      </c>
      <c r="CJ213" s="77" t="s">
        <v>127</v>
      </c>
      <c r="CK213" s="98">
        <v>0</v>
      </c>
      <c r="CL213" s="98">
        <v>1</v>
      </c>
      <c r="CM213" s="100" t="s">
        <v>1196</v>
      </c>
    </row>
    <row r="214" spans="1:91" ht="12.75" customHeight="1" x14ac:dyDescent="0.3">
      <c r="A214" s="37">
        <v>212</v>
      </c>
      <c r="B214" s="37" t="s">
        <v>1197</v>
      </c>
      <c r="C214" s="124"/>
      <c r="D214" s="124"/>
      <c r="E214" s="37" t="s">
        <v>964</v>
      </c>
      <c r="F214" s="36" t="s">
        <v>1198</v>
      </c>
      <c r="G214" s="75" t="s">
        <v>129</v>
      </c>
      <c r="H214" s="37" t="s">
        <v>130</v>
      </c>
      <c r="I214" s="37" t="s">
        <v>127</v>
      </c>
      <c r="J214" s="37" t="s">
        <v>127</v>
      </c>
      <c r="K214" s="37" t="s">
        <v>609</v>
      </c>
      <c r="L214" s="75" t="s">
        <v>133</v>
      </c>
      <c r="M214" s="37" t="s">
        <v>127</v>
      </c>
      <c r="N214" s="37" t="s">
        <v>127</v>
      </c>
      <c r="O214" s="76">
        <v>44350</v>
      </c>
      <c r="P214" s="37" t="s">
        <v>127</v>
      </c>
      <c r="Q214" s="37" t="s">
        <v>127</v>
      </c>
      <c r="R214" s="37" t="s">
        <v>127</v>
      </c>
      <c r="S214" s="37" t="s">
        <v>127</v>
      </c>
      <c r="T214" s="37" t="s">
        <v>315</v>
      </c>
      <c r="U214" s="37" t="s">
        <v>947</v>
      </c>
      <c r="V214" s="37" t="b">
        <v>0</v>
      </c>
      <c r="W214" s="77" t="s">
        <v>127</v>
      </c>
      <c r="X214" s="123"/>
      <c r="Y214" s="83">
        <v>6.6533340000000001</v>
      </c>
      <c r="Z214" s="37" t="s">
        <v>137</v>
      </c>
      <c r="AA214" s="37">
        <v>69</v>
      </c>
      <c r="AB214" s="37" t="s">
        <v>127</v>
      </c>
      <c r="AC214" s="78">
        <v>1.2</v>
      </c>
      <c r="AD214" s="78" t="s">
        <v>1199</v>
      </c>
      <c r="AE214" s="37" t="s">
        <v>1200</v>
      </c>
      <c r="AF214" s="37">
        <v>10145</v>
      </c>
      <c r="AG214" s="37" t="s">
        <v>141</v>
      </c>
      <c r="AH214" s="37" t="b">
        <v>1</v>
      </c>
      <c r="AI214" s="76">
        <v>40554</v>
      </c>
      <c r="AJ214" s="77" t="s">
        <v>142</v>
      </c>
      <c r="AK214" s="37">
        <v>2012</v>
      </c>
      <c r="AL214" s="37" t="s">
        <v>127</v>
      </c>
      <c r="AM214" s="37" t="b">
        <v>0</v>
      </c>
      <c r="AN214" s="37" t="s">
        <v>127</v>
      </c>
      <c r="AO214" s="37" t="s">
        <v>127</v>
      </c>
      <c r="AP214" s="37" t="s">
        <v>137</v>
      </c>
      <c r="AQ214" s="37" t="b">
        <v>0</v>
      </c>
      <c r="AR214" s="37" t="s">
        <v>150</v>
      </c>
      <c r="AS214" s="76">
        <v>43665</v>
      </c>
      <c r="AT214" s="37" t="s">
        <v>389</v>
      </c>
      <c r="AU214" s="37" t="s">
        <v>390</v>
      </c>
      <c r="AV214" s="37" t="s">
        <v>933</v>
      </c>
      <c r="AW214" s="37" t="s">
        <v>1180</v>
      </c>
      <c r="AX214" s="37" t="s">
        <v>161</v>
      </c>
      <c r="AY214" s="37" t="s">
        <v>127</v>
      </c>
      <c r="AZ214" s="37" t="s">
        <v>973</v>
      </c>
      <c r="BA214" s="37">
        <v>2021</v>
      </c>
      <c r="BB214" s="37" t="s">
        <v>143</v>
      </c>
      <c r="BC214" s="77" t="s">
        <v>127</v>
      </c>
      <c r="BD214" s="76" t="s">
        <v>1201</v>
      </c>
      <c r="BE214" s="37" t="s">
        <v>127</v>
      </c>
      <c r="BF214" s="86" t="s">
        <v>1202</v>
      </c>
      <c r="BG214" s="39" t="s">
        <v>127</v>
      </c>
      <c r="BH214" s="37" t="s">
        <v>127</v>
      </c>
      <c r="BI214" s="40" t="b">
        <v>1</v>
      </c>
      <c r="BJ214" s="40">
        <v>24755.77059</v>
      </c>
      <c r="BK214" s="37" t="s">
        <v>127</v>
      </c>
      <c r="BL214" s="41">
        <v>19998.07631953702</v>
      </c>
      <c r="BM214" s="49">
        <v>909.24527947999991</v>
      </c>
      <c r="BN214" s="49">
        <v>3205.4749849949985</v>
      </c>
      <c r="BO214" s="49">
        <v>12943.134559892995</v>
      </c>
      <c r="BP214" s="49">
        <v>1531.8874512900009</v>
      </c>
      <c r="BQ214" s="50">
        <v>71.928643441000006</v>
      </c>
      <c r="BR214" s="50">
        <v>0.33273899300000004</v>
      </c>
      <c r="BS214" s="50">
        <v>0</v>
      </c>
      <c r="BT214" s="50">
        <v>0</v>
      </c>
      <c r="BU214" s="50">
        <v>0</v>
      </c>
      <c r="BV214" s="50">
        <v>0</v>
      </c>
      <c r="BW214" s="50">
        <v>0</v>
      </c>
      <c r="BX214" s="37" t="s">
        <v>127</v>
      </c>
      <c r="BY214" s="37" t="s">
        <v>127</v>
      </c>
      <c r="BZ214" s="37" t="s">
        <v>479</v>
      </c>
      <c r="CA214" s="41">
        <v>0</v>
      </c>
      <c r="CB214" s="41">
        <v>16098.921610000001</v>
      </c>
      <c r="CC214" s="41">
        <v>1298.8383700000022</v>
      </c>
      <c r="CD214" s="41">
        <v>42.383269999999989</v>
      </c>
      <c r="CE214" s="41">
        <v>0.27256999999999992</v>
      </c>
      <c r="CF214" s="41">
        <v>0.33273899300000004</v>
      </c>
      <c r="CG214" s="45">
        <v>0</v>
      </c>
      <c r="CH214" s="45" t="s">
        <v>137</v>
      </c>
      <c r="CI214" s="37" t="s">
        <v>127</v>
      </c>
      <c r="CJ214" s="77" t="s">
        <v>127</v>
      </c>
      <c r="CK214" s="98">
        <v>0</v>
      </c>
      <c r="CL214" s="98">
        <v>1</v>
      </c>
      <c r="CM214" s="100" t="s">
        <v>1203</v>
      </c>
    </row>
    <row r="215" spans="1:91" ht="12.75" customHeight="1" x14ac:dyDescent="0.3">
      <c r="A215" s="37">
        <v>213</v>
      </c>
      <c r="B215" s="37" t="s">
        <v>1204</v>
      </c>
      <c r="C215" s="124"/>
      <c r="D215" s="124"/>
      <c r="E215" s="37" t="s">
        <v>991</v>
      </c>
      <c r="F215" s="36" t="s">
        <v>1205</v>
      </c>
      <c r="G215" s="75" t="s">
        <v>129</v>
      </c>
      <c r="H215" s="37" t="s">
        <v>130</v>
      </c>
      <c r="I215" s="37" t="s">
        <v>227</v>
      </c>
      <c r="J215" s="37" t="s">
        <v>127</v>
      </c>
      <c r="K215" s="37" t="s">
        <v>609</v>
      </c>
      <c r="L215" s="75" t="s">
        <v>133</v>
      </c>
      <c r="M215" s="37" t="s">
        <v>384</v>
      </c>
      <c r="N215" s="37" t="s">
        <v>127</v>
      </c>
      <c r="O215" s="76">
        <v>44817</v>
      </c>
      <c r="P215" s="37">
        <v>55</v>
      </c>
      <c r="Q215" s="37" t="s">
        <v>168</v>
      </c>
      <c r="R215" s="37" t="s">
        <v>1123</v>
      </c>
      <c r="S215" s="37" t="s">
        <v>127</v>
      </c>
      <c r="T215" s="37" t="s">
        <v>315</v>
      </c>
      <c r="U215" s="37" t="s">
        <v>947</v>
      </c>
      <c r="V215" s="37" t="b">
        <v>0</v>
      </c>
      <c r="W215" s="77" t="s">
        <v>127</v>
      </c>
      <c r="X215" s="123"/>
      <c r="Y215" s="83">
        <v>7.8007609999999996</v>
      </c>
      <c r="Z215" s="37" t="s">
        <v>137</v>
      </c>
      <c r="AA215" s="37">
        <v>69</v>
      </c>
      <c r="AB215" s="37" t="s">
        <v>127</v>
      </c>
      <c r="AC215" s="78">
        <v>1.2</v>
      </c>
      <c r="AD215" s="78" t="s">
        <v>1206</v>
      </c>
      <c r="AE215" s="37" t="s">
        <v>1207</v>
      </c>
      <c r="AF215" s="37">
        <v>10146</v>
      </c>
      <c r="AG215" s="37" t="s">
        <v>141</v>
      </c>
      <c r="AH215" s="37" t="b">
        <v>0</v>
      </c>
      <c r="AI215" s="76">
        <v>44147</v>
      </c>
      <c r="AJ215" s="77" t="s">
        <v>142</v>
      </c>
      <c r="AK215" s="37">
        <v>2012</v>
      </c>
      <c r="AL215" s="37">
        <v>2012</v>
      </c>
      <c r="AM215" s="37" t="b">
        <v>0</v>
      </c>
      <c r="AN215" s="37">
        <v>2012</v>
      </c>
      <c r="AO215" s="37" t="s">
        <v>127</v>
      </c>
      <c r="AP215" s="37" t="s">
        <v>1208</v>
      </c>
      <c r="AQ215" s="37" t="b">
        <v>0</v>
      </c>
      <c r="AR215" s="37" t="s">
        <v>1209</v>
      </c>
      <c r="AS215" s="76">
        <v>42923</v>
      </c>
      <c r="AT215" s="37" t="s">
        <v>1111</v>
      </c>
      <c r="AU215" s="37" t="s">
        <v>1210</v>
      </c>
      <c r="AV215" s="37" t="s">
        <v>933</v>
      </c>
      <c r="AW215" s="37" t="s">
        <v>1180</v>
      </c>
      <c r="AX215" s="37" t="s">
        <v>1112</v>
      </c>
      <c r="AY215" s="37" t="s">
        <v>1211</v>
      </c>
      <c r="AZ215" s="37" t="s">
        <v>973</v>
      </c>
      <c r="BA215" s="37">
        <v>2018</v>
      </c>
      <c r="BB215" s="37" t="s">
        <v>219</v>
      </c>
      <c r="BC215" s="77" t="s">
        <v>127</v>
      </c>
      <c r="BD215" s="76" t="s">
        <v>1212</v>
      </c>
      <c r="BE215" s="76">
        <v>2016</v>
      </c>
      <c r="BF215" s="86" t="s">
        <v>1213</v>
      </c>
      <c r="BG215" s="39" t="s">
        <v>1184</v>
      </c>
      <c r="BH215" s="37" t="s">
        <v>219</v>
      </c>
      <c r="BI215" s="40" t="b">
        <v>0</v>
      </c>
      <c r="BJ215" s="40">
        <v>44272.579160000001</v>
      </c>
      <c r="BK215" s="37" t="s">
        <v>127</v>
      </c>
      <c r="BL215" s="41">
        <v>59961.741684349137</v>
      </c>
      <c r="BM215" s="49">
        <v>1136.7343810539999</v>
      </c>
      <c r="BN215" s="49">
        <v>1416.4922738399994</v>
      </c>
      <c r="BO215" s="49">
        <v>2941.3483361789986</v>
      </c>
      <c r="BP215" s="49">
        <v>2385.0941125250006</v>
      </c>
      <c r="BQ215" s="50">
        <v>1813.0279597579986</v>
      </c>
      <c r="BR215" s="50">
        <v>2603.4799517024617</v>
      </c>
      <c r="BS215" s="50">
        <v>10197.511898721785</v>
      </c>
      <c r="BT215" s="50">
        <v>27771.367021194346</v>
      </c>
      <c r="BU215" s="50">
        <v>4683.2239593675822</v>
      </c>
      <c r="BV215" s="50">
        <v>0</v>
      </c>
      <c r="BW215" s="50">
        <v>14569.888480000001</v>
      </c>
      <c r="BX215" s="37" t="s">
        <v>127</v>
      </c>
      <c r="BY215" s="37" t="s">
        <v>127</v>
      </c>
      <c r="BZ215" s="37" t="s">
        <v>672</v>
      </c>
      <c r="CA215" s="41">
        <v>0</v>
      </c>
      <c r="CB215" s="41">
        <v>0</v>
      </c>
      <c r="CC215" s="41">
        <v>0</v>
      </c>
      <c r="CD215" s="41">
        <v>116.22896</v>
      </c>
      <c r="CE215" s="41">
        <v>0</v>
      </c>
      <c r="CF215" s="41">
        <v>0</v>
      </c>
      <c r="CG215" s="45">
        <v>0</v>
      </c>
      <c r="CH215" s="45" t="s">
        <v>137</v>
      </c>
      <c r="CI215" s="37" t="s">
        <v>1214</v>
      </c>
      <c r="CJ215" s="77" t="s">
        <v>127</v>
      </c>
      <c r="CK215" s="98">
        <v>0</v>
      </c>
      <c r="CL215" s="98">
        <v>1</v>
      </c>
      <c r="CM215" s="100" t="s">
        <v>1215</v>
      </c>
    </row>
    <row r="216" spans="1:91" ht="12.75" customHeight="1" x14ac:dyDescent="0.3">
      <c r="A216" s="37">
        <v>214</v>
      </c>
      <c r="B216" s="37" t="s">
        <v>1216</v>
      </c>
      <c r="C216" s="124"/>
      <c r="D216" s="124"/>
      <c r="E216" s="37" t="s">
        <v>1217</v>
      </c>
      <c r="F216" s="36" t="s">
        <v>1218</v>
      </c>
      <c r="G216" s="75" t="s">
        <v>129</v>
      </c>
      <c r="H216" s="37" t="s">
        <v>130</v>
      </c>
      <c r="I216" s="37" t="s">
        <v>131</v>
      </c>
      <c r="J216" s="37" t="s">
        <v>127</v>
      </c>
      <c r="K216" s="37" t="s">
        <v>609</v>
      </c>
      <c r="L216" s="75" t="s">
        <v>133</v>
      </c>
      <c r="M216" s="37" t="s">
        <v>127</v>
      </c>
      <c r="N216" s="37" t="s">
        <v>127</v>
      </c>
      <c r="O216" s="76">
        <v>44396</v>
      </c>
      <c r="P216" s="37">
        <v>30</v>
      </c>
      <c r="Q216" s="37" t="s">
        <v>127</v>
      </c>
      <c r="R216" s="37" t="s">
        <v>127</v>
      </c>
      <c r="S216" s="37" t="s">
        <v>127</v>
      </c>
      <c r="T216" s="37" t="s">
        <v>315</v>
      </c>
      <c r="U216" s="37" t="s">
        <v>947</v>
      </c>
      <c r="V216" s="37" t="b">
        <v>0</v>
      </c>
      <c r="W216" s="77" t="s">
        <v>127</v>
      </c>
      <c r="X216" s="123"/>
      <c r="Y216" s="83">
        <v>7.5057679999999998</v>
      </c>
      <c r="Z216" s="37" t="s">
        <v>137</v>
      </c>
      <c r="AA216" s="37">
        <v>69</v>
      </c>
      <c r="AB216" s="37" t="s">
        <v>127</v>
      </c>
      <c r="AC216" s="78">
        <v>1.2</v>
      </c>
      <c r="AD216" s="78">
        <v>5981963</v>
      </c>
      <c r="AE216" s="37" t="s">
        <v>1219</v>
      </c>
      <c r="AF216" s="37">
        <v>10149</v>
      </c>
      <c r="AG216" s="37" t="s">
        <v>141</v>
      </c>
      <c r="AH216" s="37" t="b">
        <v>1</v>
      </c>
      <c r="AI216" s="76">
        <v>44137</v>
      </c>
      <c r="AJ216" s="77" t="s">
        <v>142</v>
      </c>
      <c r="AK216" s="37">
        <v>2012</v>
      </c>
      <c r="AL216" s="37" t="s">
        <v>127</v>
      </c>
      <c r="AM216" s="37" t="b">
        <v>0</v>
      </c>
      <c r="AN216" s="37" t="s">
        <v>127</v>
      </c>
      <c r="AO216" s="37" t="s">
        <v>127</v>
      </c>
      <c r="AP216" s="37" t="s">
        <v>137</v>
      </c>
      <c r="AQ216" s="37" t="b">
        <v>0</v>
      </c>
      <c r="AR216" s="37" t="s">
        <v>150</v>
      </c>
      <c r="AS216" s="76">
        <v>43070</v>
      </c>
      <c r="AT216" s="37" t="s">
        <v>389</v>
      </c>
      <c r="AU216" s="37" t="s">
        <v>390</v>
      </c>
      <c r="AV216" s="37" t="s">
        <v>933</v>
      </c>
      <c r="AW216" s="37" t="s">
        <v>1180</v>
      </c>
      <c r="AX216" s="37" t="s">
        <v>127</v>
      </c>
      <c r="AY216" s="37" t="s">
        <v>127</v>
      </c>
      <c r="AZ216" s="37" t="s">
        <v>127</v>
      </c>
      <c r="BA216" s="37" t="s">
        <v>127</v>
      </c>
      <c r="BB216" s="37" t="s">
        <v>143</v>
      </c>
      <c r="BC216" s="77" t="s">
        <v>127</v>
      </c>
      <c r="BD216" s="76" t="s">
        <v>127</v>
      </c>
      <c r="BE216" s="37" t="s">
        <v>127</v>
      </c>
      <c r="BF216" s="37" t="s">
        <v>127</v>
      </c>
      <c r="BG216" s="39" t="s">
        <v>127</v>
      </c>
      <c r="BH216" s="37" t="s">
        <v>127</v>
      </c>
      <c r="BI216" s="40" t="b">
        <v>0</v>
      </c>
      <c r="BJ216" s="40">
        <v>23135.859570000001</v>
      </c>
      <c r="BK216" s="37" t="s">
        <v>127</v>
      </c>
      <c r="BL216" s="41">
        <v>17790.271385034008</v>
      </c>
      <c r="BM216" s="49">
        <v>2470.7008476900014</v>
      </c>
      <c r="BN216" s="49">
        <v>10237.417992744997</v>
      </c>
      <c r="BO216" s="49">
        <v>1278.1419542739998</v>
      </c>
      <c r="BP216" s="49">
        <v>-29.462153550999901</v>
      </c>
      <c r="BQ216" s="50">
        <v>98.009155062000005</v>
      </c>
      <c r="BR216" s="50">
        <v>0</v>
      </c>
      <c r="BS216" s="50">
        <v>0</v>
      </c>
      <c r="BT216" s="50">
        <v>0</v>
      </c>
      <c r="BU216" s="50">
        <v>0</v>
      </c>
      <c r="BV216" s="50">
        <v>0</v>
      </c>
      <c r="BW216" s="50">
        <v>0</v>
      </c>
      <c r="BX216" s="37" t="s">
        <v>127</v>
      </c>
      <c r="BY216" s="37" t="s">
        <v>127</v>
      </c>
      <c r="BZ216" s="37" t="s">
        <v>203</v>
      </c>
      <c r="CA216" s="41">
        <v>13243.662600000003</v>
      </c>
      <c r="CB216" s="41">
        <v>1223.21091</v>
      </c>
      <c r="CC216" s="41">
        <v>-367.92841000000107</v>
      </c>
      <c r="CD216" s="41">
        <v>95.645620000000022</v>
      </c>
      <c r="CE216" s="41">
        <v>0</v>
      </c>
      <c r="CF216" s="41">
        <v>0</v>
      </c>
      <c r="CG216" s="45">
        <v>0</v>
      </c>
      <c r="CH216" s="45" t="s">
        <v>137</v>
      </c>
      <c r="CI216" s="37" t="s">
        <v>127</v>
      </c>
      <c r="CJ216" s="77" t="s">
        <v>127</v>
      </c>
      <c r="CK216" s="98">
        <v>0</v>
      </c>
      <c r="CL216" s="98">
        <v>1</v>
      </c>
      <c r="CM216" s="100" t="s">
        <v>1220</v>
      </c>
    </row>
    <row r="217" spans="1:91" ht="12.75" customHeight="1" x14ac:dyDescent="0.3">
      <c r="A217" s="37">
        <v>215</v>
      </c>
      <c r="B217" s="37" t="s">
        <v>1221</v>
      </c>
      <c r="C217" s="124"/>
      <c r="D217" s="124"/>
      <c r="E217" s="37" t="s">
        <v>258</v>
      </c>
      <c r="F217" s="36" t="s">
        <v>1222</v>
      </c>
      <c r="G217" s="75" t="s">
        <v>1223</v>
      </c>
      <c r="H217" s="37" t="s">
        <v>131</v>
      </c>
      <c r="I217" s="37" t="s">
        <v>127</v>
      </c>
      <c r="J217" s="37" t="s">
        <v>127</v>
      </c>
      <c r="K217" s="37" t="s">
        <v>1165</v>
      </c>
      <c r="L217" s="75" t="s">
        <v>1095</v>
      </c>
      <c r="M217" s="37" t="s">
        <v>384</v>
      </c>
      <c r="N217" s="37" t="s">
        <v>127</v>
      </c>
      <c r="O217" s="76">
        <v>44784</v>
      </c>
      <c r="P217" s="37" t="s">
        <v>135</v>
      </c>
      <c r="Q217" s="37" t="s">
        <v>168</v>
      </c>
      <c r="R217" s="37" t="s">
        <v>1123</v>
      </c>
      <c r="S217" s="37" t="s">
        <v>127</v>
      </c>
      <c r="T217" s="37" t="s">
        <v>127</v>
      </c>
      <c r="U217" s="37" t="s">
        <v>136</v>
      </c>
      <c r="V217" s="37" t="b">
        <v>0</v>
      </c>
      <c r="W217" s="77" t="s">
        <v>127</v>
      </c>
      <c r="X217" s="123"/>
      <c r="Y217" s="83">
        <v>6.5901639999999997</v>
      </c>
      <c r="Z217" s="37" t="s">
        <v>137</v>
      </c>
      <c r="AA217" s="37">
        <v>69</v>
      </c>
      <c r="AB217" s="37" t="s">
        <v>127</v>
      </c>
      <c r="AC217" s="78">
        <v>2.1</v>
      </c>
      <c r="AD217" s="78" t="s">
        <v>1224</v>
      </c>
      <c r="AE217" s="37" t="s">
        <v>1225</v>
      </c>
      <c r="AF217" s="37">
        <v>11126</v>
      </c>
      <c r="AG217" s="37" t="s">
        <v>141</v>
      </c>
      <c r="AH217" s="37" t="b">
        <v>0</v>
      </c>
      <c r="AI217" s="76">
        <v>42461</v>
      </c>
      <c r="AJ217" s="77" t="s">
        <v>142</v>
      </c>
      <c r="AK217" s="37">
        <v>2012</v>
      </c>
      <c r="AL217" s="37">
        <v>2011</v>
      </c>
      <c r="AM217" s="37" t="b">
        <v>0</v>
      </c>
      <c r="AN217" s="37">
        <v>2011</v>
      </c>
      <c r="AO217" s="37" t="s">
        <v>127</v>
      </c>
      <c r="AP217" s="37" t="s">
        <v>1129</v>
      </c>
      <c r="AQ217" s="37" t="b">
        <v>0</v>
      </c>
      <c r="AR217" s="37" t="s">
        <v>127</v>
      </c>
      <c r="AS217" s="76" t="s">
        <v>137</v>
      </c>
      <c r="AT217" s="37" t="s">
        <v>389</v>
      </c>
      <c r="AU217" s="37" t="s">
        <v>127</v>
      </c>
      <c r="AV217" s="37" t="s">
        <v>137</v>
      </c>
      <c r="AW217" s="37" t="s">
        <v>137</v>
      </c>
      <c r="AX217" s="37" t="s">
        <v>1070</v>
      </c>
      <c r="AY217" s="37" t="s">
        <v>1226</v>
      </c>
      <c r="AZ217" s="37" t="s">
        <v>973</v>
      </c>
      <c r="BA217" s="37">
        <v>2017</v>
      </c>
      <c r="BB217" s="37" t="s">
        <v>143</v>
      </c>
      <c r="BC217" s="77" t="s">
        <v>127</v>
      </c>
      <c r="BD217" s="76" t="s">
        <v>1227</v>
      </c>
      <c r="BE217" s="76">
        <v>42156</v>
      </c>
      <c r="BF217" s="86" t="s">
        <v>1228</v>
      </c>
      <c r="BG217" s="39" t="s">
        <v>1229</v>
      </c>
      <c r="BH217" s="37" t="s">
        <v>219</v>
      </c>
      <c r="BI217" s="40" t="b">
        <v>1</v>
      </c>
      <c r="BJ217" s="40">
        <v>8171.0385100000003</v>
      </c>
      <c r="BK217" s="37" t="s">
        <v>127</v>
      </c>
      <c r="BL217" s="41">
        <v>41582.892971710979</v>
      </c>
      <c r="BM217" s="49">
        <v>9460.7783085400042</v>
      </c>
      <c r="BN217" s="49">
        <v>2826.177544650001</v>
      </c>
      <c r="BO217" s="49">
        <v>535.80342099899985</v>
      </c>
      <c r="BP217" s="49">
        <v>559.03655152600015</v>
      </c>
      <c r="BQ217" s="50">
        <v>64.263948371000012</v>
      </c>
      <c r="BR217" s="50">
        <v>38.465499999999999</v>
      </c>
      <c r="BS217" s="50">
        <v>0</v>
      </c>
      <c r="BT217" s="50">
        <v>0</v>
      </c>
      <c r="BU217" s="50">
        <v>0</v>
      </c>
      <c r="BV217" s="50">
        <v>0</v>
      </c>
      <c r="BW217" s="50">
        <v>0</v>
      </c>
      <c r="BX217" s="37" t="s">
        <v>127</v>
      </c>
      <c r="BY217" s="37" t="s">
        <v>127</v>
      </c>
      <c r="BZ217" s="37" t="s">
        <v>155</v>
      </c>
      <c r="CA217" s="41">
        <v>38014.063399999999</v>
      </c>
      <c r="CB217" s="41">
        <v>1215.1722299999999</v>
      </c>
      <c r="CC217" s="41">
        <v>589.01689000000351</v>
      </c>
      <c r="CD217" s="41">
        <v>59.228249999999981</v>
      </c>
      <c r="CE217" s="41">
        <v>0</v>
      </c>
      <c r="CF217" s="41">
        <v>38.465499999999999</v>
      </c>
      <c r="CG217" s="45">
        <v>0</v>
      </c>
      <c r="CH217" s="45" t="s">
        <v>137</v>
      </c>
      <c r="CI217" s="37" t="s">
        <v>127</v>
      </c>
      <c r="CJ217" s="77" t="s">
        <v>127</v>
      </c>
      <c r="CK217" s="98">
        <v>0</v>
      </c>
      <c r="CL217" s="98">
        <v>1</v>
      </c>
      <c r="CM217" s="100" t="s">
        <v>1230</v>
      </c>
    </row>
    <row r="218" spans="1:91" ht="12.75" customHeight="1" x14ac:dyDescent="0.3">
      <c r="A218" s="37">
        <v>216</v>
      </c>
      <c r="B218" s="37" t="s">
        <v>1231</v>
      </c>
      <c r="C218" s="124"/>
      <c r="D218" s="124"/>
      <c r="E218" s="37" t="s">
        <v>1232</v>
      </c>
      <c r="F218" s="36" t="s">
        <v>1233</v>
      </c>
      <c r="G218" s="75" t="s">
        <v>1223</v>
      </c>
      <c r="H218" s="37" t="s">
        <v>131</v>
      </c>
      <c r="I218" s="37" t="s">
        <v>127</v>
      </c>
      <c r="J218" s="37" t="s">
        <v>127</v>
      </c>
      <c r="K218" s="37" t="s">
        <v>1234</v>
      </c>
      <c r="L218" s="75" t="s">
        <v>1095</v>
      </c>
      <c r="M218" s="37" t="s">
        <v>384</v>
      </c>
      <c r="N218" s="37" t="s">
        <v>127</v>
      </c>
      <c r="O218" s="76">
        <v>44853</v>
      </c>
      <c r="P218" s="37" t="s">
        <v>135</v>
      </c>
      <c r="Q218" s="37" t="s">
        <v>168</v>
      </c>
      <c r="R218" s="37" t="s">
        <v>1123</v>
      </c>
      <c r="S218" s="37" t="s">
        <v>127</v>
      </c>
      <c r="T218" s="37" t="s">
        <v>127</v>
      </c>
      <c r="U218" s="37" t="s">
        <v>136</v>
      </c>
      <c r="V218" s="37" t="b">
        <v>0</v>
      </c>
      <c r="W218" s="77" t="s">
        <v>1107</v>
      </c>
      <c r="X218" s="123"/>
      <c r="Y218" s="83">
        <v>2.0338430000000001</v>
      </c>
      <c r="Z218" s="37" t="s">
        <v>137</v>
      </c>
      <c r="AA218" s="37">
        <v>69</v>
      </c>
      <c r="AB218" s="37" t="s">
        <v>127</v>
      </c>
      <c r="AC218" s="78">
        <v>2.1</v>
      </c>
      <c r="AD218" s="78">
        <v>2982810</v>
      </c>
      <c r="AE218" s="37" t="s">
        <v>1235</v>
      </c>
      <c r="AF218" s="37">
        <v>11154</v>
      </c>
      <c r="AG218" s="37" t="s">
        <v>141</v>
      </c>
      <c r="AH218" s="37" t="b">
        <v>0</v>
      </c>
      <c r="AI218" s="76">
        <v>43101</v>
      </c>
      <c r="AJ218" s="77" t="s">
        <v>142</v>
      </c>
      <c r="AK218" s="37">
        <v>2012</v>
      </c>
      <c r="AL218" s="37">
        <v>2011</v>
      </c>
      <c r="AM218" s="37" t="b">
        <v>0</v>
      </c>
      <c r="AN218" s="37">
        <v>2011</v>
      </c>
      <c r="AO218" s="37" t="s">
        <v>127</v>
      </c>
      <c r="AP218" s="37" t="s">
        <v>1129</v>
      </c>
      <c r="AQ218" s="37" t="b">
        <v>0</v>
      </c>
      <c r="AR218" s="37" t="s">
        <v>127</v>
      </c>
      <c r="AS218" s="76" t="s">
        <v>127</v>
      </c>
      <c r="AT218" s="37" t="s">
        <v>127</v>
      </c>
      <c r="AU218" s="37" t="s">
        <v>127</v>
      </c>
      <c r="AV218" s="37" t="s">
        <v>127</v>
      </c>
      <c r="AW218" s="37" t="s">
        <v>127</v>
      </c>
      <c r="AX218" s="37" t="s">
        <v>161</v>
      </c>
      <c r="AY218" s="37" t="s">
        <v>127</v>
      </c>
      <c r="AZ218" s="37" t="s">
        <v>973</v>
      </c>
      <c r="BA218" s="37">
        <v>2019</v>
      </c>
      <c r="BB218" s="37" t="s">
        <v>143</v>
      </c>
      <c r="BC218" s="77" t="s">
        <v>127</v>
      </c>
      <c r="BD218" s="76" t="s">
        <v>1236</v>
      </c>
      <c r="BE218" s="76">
        <v>41426</v>
      </c>
      <c r="BF218" s="86" t="s">
        <v>1237</v>
      </c>
      <c r="BG218" s="39" t="s">
        <v>219</v>
      </c>
      <c r="BH218" s="37" t="s">
        <v>552</v>
      </c>
      <c r="BI218" s="40" t="b">
        <v>1</v>
      </c>
      <c r="BJ218" s="40">
        <v>9464.4570000000003</v>
      </c>
      <c r="BK218" s="37" t="s">
        <v>127</v>
      </c>
      <c r="BL218" s="41">
        <v>11018.126950000005</v>
      </c>
      <c r="BM218" s="49">
        <v>1243.4760400000002</v>
      </c>
      <c r="BN218" s="49">
        <v>512.83875000000012</v>
      </c>
      <c r="BO218" s="49">
        <v>2912.5044599999987</v>
      </c>
      <c r="BP218" s="49">
        <v>2634.4157300000006</v>
      </c>
      <c r="BQ218" s="50">
        <v>742.10459000000003</v>
      </c>
      <c r="BR218" s="50">
        <v>71.957239999999999</v>
      </c>
      <c r="BS218" s="50">
        <v>0</v>
      </c>
      <c r="BT218" s="50">
        <v>0</v>
      </c>
      <c r="BU218" s="50">
        <v>0</v>
      </c>
      <c r="BV218" s="50">
        <v>0</v>
      </c>
      <c r="BW218" s="50">
        <v>0</v>
      </c>
      <c r="BX218" s="37" t="s">
        <v>127</v>
      </c>
      <c r="BY218" s="37" t="s">
        <v>127</v>
      </c>
      <c r="BZ218" s="37" t="s">
        <v>162</v>
      </c>
      <c r="CA218" s="41">
        <v>0</v>
      </c>
      <c r="CB218" s="41">
        <v>0</v>
      </c>
      <c r="CC218" s="41">
        <v>10022.250050000001</v>
      </c>
      <c r="CD218" s="41">
        <v>709.31299000000001</v>
      </c>
      <c r="CE218" s="41">
        <v>71.957239999999999</v>
      </c>
      <c r="CF218" s="41">
        <v>71.957239999999985</v>
      </c>
      <c r="CG218" s="45">
        <v>0</v>
      </c>
      <c r="CH218" s="45" t="s">
        <v>137</v>
      </c>
      <c r="CI218" s="37" t="s">
        <v>127</v>
      </c>
      <c r="CJ218" s="77" t="s">
        <v>127</v>
      </c>
      <c r="CK218" s="98">
        <v>0</v>
      </c>
      <c r="CL218" s="98">
        <v>1</v>
      </c>
      <c r="CM218" s="100" t="s">
        <v>1238</v>
      </c>
    </row>
    <row r="219" spans="1:91" ht="12.75" customHeight="1" x14ac:dyDescent="0.3">
      <c r="A219" s="37">
        <v>217</v>
      </c>
      <c r="B219" s="37" t="s">
        <v>1239</v>
      </c>
      <c r="C219" s="124"/>
      <c r="D219" s="124"/>
      <c r="E219" s="37" t="s">
        <v>258</v>
      </c>
      <c r="F219" s="36" t="s">
        <v>1240</v>
      </c>
      <c r="G219" s="75" t="s">
        <v>152</v>
      </c>
      <c r="H219" s="37" t="s">
        <v>130</v>
      </c>
      <c r="I219" s="37" t="s">
        <v>131</v>
      </c>
      <c r="J219" s="37" t="s">
        <v>127</v>
      </c>
      <c r="K219" s="37" t="s">
        <v>609</v>
      </c>
      <c r="L219" s="75" t="s">
        <v>1241</v>
      </c>
      <c r="M219" s="37" t="s">
        <v>127</v>
      </c>
      <c r="N219" s="37" t="s">
        <v>127</v>
      </c>
      <c r="O219" s="76">
        <v>43785</v>
      </c>
      <c r="P219" s="37">
        <v>44</v>
      </c>
      <c r="Q219" s="37" t="s">
        <v>127</v>
      </c>
      <c r="R219" s="37" t="s">
        <v>127</v>
      </c>
      <c r="S219" s="37" t="s">
        <v>127</v>
      </c>
      <c r="T219" s="37" t="s">
        <v>315</v>
      </c>
      <c r="U219" s="37" t="s">
        <v>714</v>
      </c>
      <c r="V219" s="37" t="b">
        <v>0</v>
      </c>
      <c r="W219" s="77" t="s">
        <v>127</v>
      </c>
      <c r="X219" s="123"/>
      <c r="Y219" s="83">
        <v>8.1767050000000001</v>
      </c>
      <c r="Z219" s="37" t="s">
        <v>137</v>
      </c>
      <c r="AA219" s="37">
        <v>69</v>
      </c>
      <c r="AB219" s="37" t="s">
        <v>127</v>
      </c>
      <c r="AC219" s="78">
        <v>1.2</v>
      </c>
      <c r="AD219" s="78" t="s">
        <v>1242</v>
      </c>
      <c r="AE219" s="37" t="s">
        <v>1243</v>
      </c>
      <c r="AF219" s="37">
        <v>12136</v>
      </c>
      <c r="AG219" s="37" t="s">
        <v>141</v>
      </c>
      <c r="AH219" s="37" t="b">
        <v>1</v>
      </c>
      <c r="AI219" s="76">
        <v>45203</v>
      </c>
      <c r="AJ219" s="77" t="s">
        <v>142</v>
      </c>
      <c r="AK219" s="37">
        <v>2015</v>
      </c>
      <c r="AL219" s="37" t="s">
        <v>127</v>
      </c>
      <c r="AM219" s="37" t="b">
        <v>0</v>
      </c>
      <c r="AN219" s="37" t="s">
        <v>127</v>
      </c>
      <c r="AO219" s="37" t="s">
        <v>127</v>
      </c>
      <c r="AP219" s="37" t="s">
        <v>137</v>
      </c>
      <c r="AQ219" s="37" t="b">
        <v>0</v>
      </c>
      <c r="AR219" s="37" t="s">
        <v>127</v>
      </c>
      <c r="AS219" s="76" t="s">
        <v>127</v>
      </c>
      <c r="AT219" s="37" t="s">
        <v>389</v>
      </c>
      <c r="AU219" s="37" t="s">
        <v>127</v>
      </c>
      <c r="AV219" s="37" t="s">
        <v>933</v>
      </c>
      <c r="AW219" s="37" t="s">
        <v>137</v>
      </c>
      <c r="AX219" s="37" t="s">
        <v>161</v>
      </c>
      <c r="AY219" s="37" t="s">
        <v>127</v>
      </c>
      <c r="AZ219" s="37" t="s">
        <v>127</v>
      </c>
      <c r="BA219" s="37" t="s">
        <v>127</v>
      </c>
      <c r="BB219" s="37" t="s">
        <v>143</v>
      </c>
      <c r="BC219" s="77" t="s">
        <v>127</v>
      </c>
      <c r="BD219" s="76" t="s">
        <v>1244</v>
      </c>
      <c r="BE219" s="76">
        <v>46387</v>
      </c>
      <c r="BF219" s="86" t="s">
        <v>1245</v>
      </c>
      <c r="BG219" s="39" t="s">
        <v>127</v>
      </c>
      <c r="BH219" s="37" t="s">
        <v>127</v>
      </c>
      <c r="BI219" s="40" t="b">
        <v>1</v>
      </c>
      <c r="BJ219" s="40">
        <v>241.51248000000001</v>
      </c>
      <c r="BK219" s="37" t="s">
        <v>127</v>
      </c>
      <c r="BL219" s="41">
        <v>14371.567527754127</v>
      </c>
      <c r="BM219" s="49">
        <v>399.24546434799987</v>
      </c>
      <c r="BN219" s="49">
        <v>558.05118021499982</v>
      </c>
      <c r="BO219" s="49">
        <v>959.10595558299963</v>
      </c>
      <c r="BP219" s="49">
        <v>2529.0410095799998</v>
      </c>
      <c r="BQ219" s="50">
        <v>7980.8198929939999</v>
      </c>
      <c r="BR219" s="50">
        <v>1497.4274350341448</v>
      </c>
      <c r="BS219" s="50">
        <v>0</v>
      </c>
      <c r="BT219" s="50">
        <v>0</v>
      </c>
      <c r="BU219" s="50">
        <v>0</v>
      </c>
      <c r="BV219" s="50">
        <v>0</v>
      </c>
      <c r="BW219" s="50">
        <v>0</v>
      </c>
      <c r="BX219" s="37" t="s">
        <v>127</v>
      </c>
      <c r="BY219" s="37" t="s">
        <v>127</v>
      </c>
      <c r="BZ219" s="37" t="s">
        <v>198</v>
      </c>
      <c r="CA219" s="41">
        <v>0</v>
      </c>
      <c r="CB219" s="41">
        <v>0</v>
      </c>
      <c r="CC219" s="41">
        <v>0</v>
      </c>
      <c r="CD219" s="41">
        <v>11457.945689999999</v>
      </c>
      <c r="CE219" s="41">
        <v>229.93095000000008</v>
      </c>
      <c r="CF219" s="41">
        <v>13115.748585209145</v>
      </c>
      <c r="CG219" s="45">
        <v>0</v>
      </c>
      <c r="CH219" s="45" t="s">
        <v>137</v>
      </c>
      <c r="CI219" s="37" t="s">
        <v>127</v>
      </c>
      <c r="CJ219" s="77" t="s">
        <v>127</v>
      </c>
      <c r="CK219" s="98">
        <v>0</v>
      </c>
      <c r="CL219" s="98">
        <v>1</v>
      </c>
      <c r="CM219" s="100" t="s">
        <v>1246</v>
      </c>
    </row>
    <row r="220" spans="1:91" ht="12.75" customHeight="1" x14ac:dyDescent="0.3">
      <c r="A220" s="37">
        <v>218</v>
      </c>
      <c r="B220" s="37" t="s">
        <v>1247</v>
      </c>
      <c r="C220" s="124"/>
      <c r="D220" s="124"/>
      <c r="E220" s="37" t="s">
        <v>258</v>
      </c>
      <c r="F220" s="36" t="s">
        <v>1248</v>
      </c>
      <c r="G220" s="75" t="s">
        <v>513</v>
      </c>
      <c r="H220" s="37" t="s">
        <v>131</v>
      </c>
      <c r="I220" s="37" t="s">
        <v>127</v>
      </c>
      <c r="J220" s="37" t="s">
        <v>127</v>
      </c>
      <c r="K220" s="37" t="s">
        <v>609</v>
      </c>
      <c r="L220" s="75" t="s">
        <v>133</v>
      </c>
      <c r="M220" s="37" t="s">
        <v>127</v>
      </c>
      <c r="N220" s="37" t="s">
        <v>127</v>
      </c>
      <c r="O220" s="76">
        <v>44869</v>
      </c>
      <c r="P220" s="37" t="s">
        <v>135</v>
      </c>
      <c r="Q220" s="37" t="s">
        <v>127</v>
      </c>
      <c r="R220" s="37" t="s">
        <v>127</v>
      </c>
      <c r="S220" s="37" t="s">
        <v>127</v>
      </c>
      <c r="T220" s="37" t="s">
        <v>315</v>
      </c>
      <c r="U220" s="37" t="s">
        <v>947</v>
      </c>
      <c r="V220" s="37" t="b">
        <v>0</v>
      </c>
      <c r="W220" s="77" t="s">
        <v>127</v>
      </c>
      <c r="X220" s="123"/>
      <c r="Y220" s="83">
        <v>4.7678630000000002</v>
      </c>
      <c r="Z220" s="37" t="s">
        <v>137</v>
      </c>
      <c r="AA220" s="37">
        <v>69</v>
      </c>
      <c r="AB220" s="37" t="s">
        <v>127</v>
      </c>
      <c r="AC220" s="78">
        <v>1.2</v>
      </c>
      <c r="AD220" s="78" t="s">
        <v>1249</v>
      </c>
      <c r="AE220" s="37" t="s">
        <v>1250</v>
      </c>
      <c r="AF220" s="37">
        <v>12137</v>
      </c>
      <c r="AG220" s="37" t="s">
        <v>141</v>
      </c>
      <c r="AH220" s="37" t="b">
        <v>1</v>
      </c>
      <c r="AI220" s="76">
        <v>43101</v>
      </c>
      <c r="AJ220" s="77" t="s">
        <v>142</v>
      </c>
      <c r="AK220" s="37">
        <v>2015</v>
      </c>
      <c r="AL220" s="37" t="s">
        <v>127</v>
      </c>
      <c r="AM220" s="37" t="b">
        <v>0</v>
      </c>
      <c r="AN220" s="37" t="s">
        <v>127</v>
      </c>
      <c r="AO220" s="37" t="s">
        <v>127</v>
      </c>
      <c r="AP220" s="37" t="s">
        <v>137</v>
      </c>
      <c r="AQ220" s="37" t="b">
        <v>0</v>
      </c>
      <c r="AR220" s="37" t="s">
        <v>127</v>
      </c>
      <c r="AS220" s="76" t="s">
        <v>127</v>
      </c>
      <c r="AT220" s="37" t="s">
        <v>389</v>
      </c>
      <c r="AU220" s="37" t="s">
        <v>127</v>
      </c>
      <c r="AV220" s="37" t="s">
        <v>137</v>
      </c>
      <c r="AW220" s="37" t="s">
        <v>127</v>
      </c>
      <c r="AX220" s="37" t="s">
        <v>161</v>
      </c>
      <c r="AY220" s="37" t="s">
        <v>127</v>
      </c>
      <c r="AZ220" s="37" t="s">
        <v>973</v>
      </c>
      <c r="BA220" s="37">
        <v>2021</v>
      </c>
      <c r="BB220" s="37" t="s">
        <v>143</v>
      </c>
      <c r="BC220" s="77" t="s">
        <v>127</v>
      </c>
      <c r="BD220" s="76" t="s">
        <v>1251</v>
      </c>
      <c r="BE220" s="76">
        <v>46387</v>
      </c>
      <c r="BF220" s="86" t="s">
        <v>1252</v>
      </c>
      <c r="BG220" s="39" t="s">
        <v>127</v>
      </c>
      <c r="BH220" s="37" t="s">
        <v>127</v>
      </c>
      <c r="BI220" s="40" t="b">
        <v>0</v>
      </c>
      <c r="BJ220" s="40">
        <v>104.02819</v>
      </c>
      <c r="BK220" s="37" t="s">
        <v>127</v>
      </c>
      <c r="BL220" s="41">
        <v>15975.176998635003</v>
      </c>
      <c r="BM220" s="49">
        <v>606.34304831199995</v>
      </c>
      <c r="BN220" s="49">
        <v>474.39750266999988</v>
      </c>
      <c r="BO220" s="49">
        <v>1697.1624484280012</v>
      </c>
      <c r="BP220" s="49">
        <v>12232.771834679997</v>
      </c>
      <c r="BQ220" s="50">
        <v>245.87291454500004</v>
      </c>
      <c r="BR220" s="50">
        <v>0</v>
      </c>
      <c r="BS220" s="50">
        <v>0</v>
      </c>
      <c r="BT220" s="50">
        <v>0</v>
      </c>
      <c r="BU220" s="50">
        <v>0</v>
      </c>
      <c r="BV220" s="50">
        <v>0</v>
      </c>
      <c r="BW220" s="50">
        <v>0</v>
      </c>
      <c r="BX220" s="37" t="s">
        <v>127</v>
      </c>
      <c r="BY220" s="37" t="s">
        <v>127</v>
      </c>
      <c r="BZ220" s="37" t="s">
        <v>364</v>
      </c>
      <c r="CA220" s="41">
        <v>0</v>
      </c>
      <c r="CB220" s="41">
        <v>0</v>
      </c>
      <c r="CC220" s="41">
        <v>14264.775079999998</v>
      </c>
      <c r="CD220" s="41">
        <v>217.87850000000012</v>
      </c>
      <c r="CE220" s="41">
        <v>0</v>
      </c>
      <c r="CF220" s="41">
        <v>0</v>
      </c>
      <c r="CG220" s="45">
        <v>0</v>
      </c>
      <c r="CH220" s="45" t="s">
        <v>137</v>
      </c>
      <c r="CI220" s="37" t="s">
        <v>127</v>
      </c>
      <c r="CJ220" s="77" t="s">
        <v>127</v>
      </c>
      <c r="CK220" s="98">
        <v>0</v>
      </c>
      <c r="CL220" s="98">
        <v>1</v>
      </c>
      <c r="CM220" s="100" t="s">
        <v>1253</v>
      </c>
    </row>
    <row r="221" spans="1:91" ht="12.75" customHeight="1" x14ac:dyDescent="0.3">
      <c r="A221" s="37">
        <v>219</v>
      </c>
      <c r="B221" s="37" t="s">
        <v>1254</v>
      </c>
      <c r="C221" s="124"/>
      <c r="D221" s="124"/>
      <c r="E221" s="37" t="s">
        <v>258</v>
      </c>
      <c r="F221" s="36" t="s">
        <v>1255</v>
      </c>
      <c r="G221" s="75" t="s">
        <v>1256</v>
      </c>
      <c r="H221" s="37" t="s">
        <v>131</v>
      </c>
      <c r="I221" s="37" t="s">
        <v>127</v>
      </c>
      <c r="J221" s="37" t="s">
        <v>127</v>
      </c>
      <c r="K221" s="37" t="s">
        <v>132</v>
      </c>
      <c r="L221" s="75" t="s">
        <v>282</v>
      </c>
      <c r="M221" s="37" t="s">
        <v>127</v>
      </c>
      <c r="N221" s="37" t="s">
        <v>127</v>
      </c>
      <c r="O221" s="76">
        <v>44666</v>
      </c>
      <c r="P221" s="37">
        <v>47</v>
      </c>
      <c r="Q221" s="37" t="s">
        <v>127</v>
      </c>
      <c r="R221" s="37" t="s">
        <v>127</v>
      </c>
      <c r="S221" s="37" t="s">
        <v>127</v>
      </c>
      <c r="T221" s="37" t="s">
        <v>127</v>
      </c>
      <c r="U221" s="37" t="s">
        <v>136</v>
      </c>
      <c r="V221" s="37" t="b">
        <v>0</v>
      </c>
      <c r="W221" s="77" t="s">
        <v>127</v>
      </c>
      <c r="X221" s="123"/>
      <c r="Y221" s="83">
        <v>1.7</v>
      </c>
      <c r="Z221" s="37" t="s">
        <v>137</v>
      </c>
      <c r="AA221" s="37">
        <v>69</v>
      </c>
      <c r="AB221" s="37" t="s">
        <v>127</v>
      </c>
      <c r="AC221" s="78">
        <v>4.0999999999999996</v>
      </c>
      <c r="AD221" s="78" t="s">
        <v>1257</v>
      </c>
      <c r="AE221" s="37" t="s">
        <v>1258</v>
      </c>
      <c r="AF221" s="37">
        <v>12138</v>
      </c>
      <c r="AG221" s="37" t="s">
        <v>141</v>
      </c>
      <c r="AH221" s="37" t="b">
        <v>1</v>
      </c>
      <c r="AI221" s="76">
        <v>44455</v>
      </c>
      <c r="AJ221" s="77" t="s">
        <v>142</v>
      </c>
      <c r="AK221" s="37">
        <v>2012</v>
      </c>
      <c r="AL221" s="37" t="s">
        <v>127</v>
      </c>
      <c r="AM221" s="37" t="b">
        <v>0</v>
      </c>
      <c r="AN221" s="37" t="s">
        <v>127</v>
      </c>
      <c r="AO221" s="37" t="s">
        <v>127</v>
      </c>
      <c r="AP221" s="37" t="s">
        <v>137</v>
      </c>
      <c r="AQ221" s="37" t="b">
        <v>0</v>
      </c>
      <c r="AR221" s="37" t="s">
        <v>127</v>
      </c>
      <c r="AS221" s="76" t="s">
        <v>127</v>
      </c>
      <c r="AT221" s="37" t="s">
        <v>127</v>
      </c>
      <c r="AU221" s="37" t="s">
        <v>127</v>
      </c>
      <c r="AV221" s="37" t="s">
        <v>127</v>
      </c>
      <c r="AW221" s="37" t="s">
        <v>137</v>
      </c>
      <c r="AX221" s="37" t="s">
        <v>1070</v>
      </c>
      <c r="AY221" s="37" t="s">
        <v>710</v>
      </c>
      <c r="AZ221" s="37" t="s">
        <v>1072</v>
      </c>
      <c r="BA221" s="37">
        <v>2025</v>
      </c>
      <c r="BB221" s="37" t="s">
        <v>143</v>
      </c>
      <c r="BC221" s="77" t="s">
        <v>127</v>
      </c>
      <c r="BD221" s="76" t="s">
        <v>1259</v>
      </c>
      <c r="BE221" s="37" t="s">
        <v>127</v>
      </c>
      <c r="BF221" s="86" t="s">
        <v>1260</v>
      </c>
      <c r="BG221" s="39" t="s">
        <v>219</v>
      </c>
      <c r="BH221" s="37" t="s">
        <v>1160</v>
      </c>
      <c r="BI221" s="40" t="b">
        <v>0</v>
      </c>
      <c r="BJ221" s="40">
        <v>46528</v>
      </c>
      <c r="BK221" s="37" t="s">
        <v>127</v>
      </c>
      <c r="BL221" s="41">
        <v>63620.015056405267</v>
      </c>
      <c r="BM221" s="49">
        <v>2510.5968399999992</v>
      </c>
      <c r="BN221" s="49">
        <v>1067.21605</v>
      </c>
      <c r="BO221" s="49">
        <v>13695.324329999999</v>
      </c>
      <c r="BP221" s="49">
        <v>2707.0372299999999</v>
      </c>
      <c r="BQ221" s="50">
        <v>4920.9315799999995</v>
      </c>
      <c r="BR221" s="50">
        <v>12839.31120855745</v>
      </c>
      <c r="BS221" s="50">
        <v>10803.388998858707</v>
      </c>
      <c r="BT221" s="50">
        <v>10442.380078989057</v>
      </c>
      <c r="BU221" s="50">
        <v>0</v>
      </c>
      <c r="BV221" s="50">
        <v>0</v>
      </c>
      <c r="BW221" s="50">
        <v>32797.274469999997</v>
      </c>
      <c r="BX221" s="37" t="s">
        <v>127</v>
      </c>
      <c r="BY221" s="37" t="s">
        <v>127</v>
      </c>
      <c r="BZ221" s="37" t="s">
        <v>127</v>
      </c>
      <c r="CA221" s="41">
        <v>0</v>
      </c>
      <c r="CB221" s="41">
        <v>0</v>
      </c>
      <c r="CC221" s="41">
        <v>0</v>
      </c>
      <c r="CD221" s="41">
        <v>0</v>
      </c>
      <c r="CE221" s="41">
        <v>0</v>
      </c>
      <c r="CF221" s="41">
        <v>0</v>
      </c>
      <c r="CG221" s="45">
        <v>0</v>
      </c>
      <c r="CH221" s="45" t="s">
        <v>137</v>
      </c>
      <c r="CI221" s="37" t="s">
        <v>127</v>
      </c>
      <c r="CJ221" s="77" t="s">
        <v>127</v>
      </c>
      <c r="CK221" s="98">
        <v>0</v>
      </c>
      <c r="CL221" s="98">
        <v>1</v>
      </c>
      <c r="CM221" s="100" t="s">
        <v>1261</v>
      </c>
    </row>
    <row r="222" spans="1:91" ht="12.75" customHeight="1" x14ac:dyDescent="0.3">
      <c r="A222" s="37">
        <v>220</v>
      </c>
      <c r="B222" s="37" t="s">
        <v>1262</v>
      </c>
      <c r="C222" s="124"/>
      <c r="D222" s="124"/>
      <c r="E222" s="37" t="s">
        <v>258</v>
      </c>
      <c r="F222" s="36" t="s">
        <v>1263</v>
      </c>
      <c r="G222" s="75" t="s">
        <v>1223</v>
      </c>
      <c r="H222" s="37" t="s">
        <v>131</v>
      </c>
      <c r="I222" s="37" t="s">
        <v>127</v>
      </c>
      <c r="J222" s="37" t="s">
        <v>127</v>
      </c>
      <c r="K222" s="37" t="s">
        <v>1106</v>
      </c>
      <c r="L222" s="75" t="s">
        <v>616</v>
      </c>
      <c r="M222" s="37" t="s">
        <v>127</v>
      </c>
      <c r="N222" s="37" t="s">
        <v>127</v>
      </c>
      <c r="O222" s="76">
        <v>45048</v>
      </c>
      <c r="P222" s="37">
        <v>34</v>
      </c>
      <c r="Q222" s="37" t="s">
        <v>168</v>
      </c>
      <c r="R222" s="37" t="s">
        <v>1123</v>
      </c>
      <c r="S222" s="37" t="s">
        <v>127</v>
      </c>
      <c r="T222" s="37" t="s">
        <v>315</v>
      </c>
      <c r="U222" s="37" t="s">
        <v>230</v>
      </c>
      <c r="V222" s="37" t="b">
        <v>0</v>
      </c>
      <c r="W222" s="77" t="s">
        <v>127</v>
      </c>
      <c r="X222" s="123"/>
      <c r="Y222" s="83">
        <v>2.88</v>
      </c>
      <c r="Z222" s="37" t="s">
        <v>137</v>
      </c>
      <c r="AA222" s="37">
        <v>69</v>
      </c>
      <c r="AB222" s="37" t="s">
        <v>127</v>
      </c>
      <c r="AC222" s="78">
        <v>2.1</v>
      </c>
      <c r="AD222" s="78" t="s">
        <v>1264</v>
      </c>
      <c r="AE222" s="37" t="s">
        <v>1265</v>
      </c>
      <c r="AF222" s="37">
        <v>12139</v>
      </c>
      <c r="AG222" s="37" t="s">
        <v>141</v>
      </c>
      <c r="AH222" s="37" t="b">
        <v>0</v>
      </c>
      <c r="AI222" s="76">
        <v>42370</v>
      </c>
      <c r="AJ222" s="77" t="s">
        <v>142</v>
      </c>
      <c r="AK222" s="37">
        <v>2012</v>
      </c>
      <c r="AL222" s="37">
        <v>2012</v>
      </c>
      <c r="AM222" s="37" t="b">
        <v>0</v>
      </c>
      <c r="AN222" s="37" t="s">
        <v>1266</v>
      </c>
      <c r="AO222" s="37" t="s">
        <v>127</v>
      </c>
      <c r="AP222" s="37" t="s">
        <v>1208</v>
      </c>
      <c r="AQ222" s="37" t="b">
        <v>0</v>
      </c>
      <c r="AR222" s="37" t="s">
        <v>127</v>
      </c>
      <c r="AS222" s="76" t="s">
        <v>127</v>
      </c>
      <c r="AT222" s="37" t="s">
        <v>389</v>
      </c>
      <c r="AU222" s="37" t="s">
        <v>127</v>
      </c>
      <c r="AV222" s="37" t="s">
        <v>933</v>
      </c>
      <c r="AW222" s="37" t="s">
        <v>137</v>
      </c>
      <c r="AX222" s="37" t="s">
        <v>1070</v>
      </c>
      <c r="AY222" s="37" t="s">
        <v>1267</v>
      </c>
      <c r="AZ222" s="37" t="s">
        <v>973</v>
      </c>
      <c r="BA222" s="37">
        <v>2017</v>
      </c>
      <c r="BB222" s="37" t="s">
        <v>143</v>
      </c>
      <c r="BC222" s="77" t="s">
        <v>127</v>
      </c>
      <c r="BD222" s="76" t="s">
        <v>1268</v>
      </c>
      <c r="BE222" s="76">
        <v>42156</v>
      </c>
      <c r="BF222" s="86" t="s">
        <v>1269</v>
      </c>
      <c r="BG222" s="39" t="s">
        <v>219</v>
      </c>
      <c r="BH222" s="37" t="s">
        <v>1160</v>
      </c>
      <c r="BI222" s="40" t="b">
        <v>0</v>
      </c>
      <c r="BJ222" s="40">
        <v>46190.46</v>
      </c>
      <c r="BK222" s="37" t="s">
        <v>127</v>
      </c>
      <c r="BL222" s="41">
        <v>48885.920745965006</v>
      </c>
      <c r="BM222" s="49">
        <v>22003.150985727985</v>
      </c>
      <c r="BN222" s="49">
        <v>1316.0344923450007</v>
      </c>
      <c r="BO222" s="49">
        <v>71.563906850000009</v>
      </c>
      <c r="BP222" s="49">
        <v>0</v>
      </c>
      <c r="BQ222" s="50">
        <v>0</v>
      </c>
      <c r="BR222" s="50">
        <v>0</v>
      </c>
      <c r="BS222" s="50">
        <v>0</v>
      </c>
      <c r="BT222" s="50">
        <v>0</v>
      </c>
      <c r="BU222" s="50">
        <v>0</v>
      </c>
      <c r="BV222" s="50">
        <v>0</v>
      </c>
      <c r="BW222" s="50">
        <v>0</v>
      </c>
      <c r="BX222" s="37" t="s">
        <v>127</v>
      </c>
      <c r="BY222" s="37" t="s">
        <v>127</v>
      </c>
      <c r="BZ222" s="37" t="s">
        <v>176</v>
      </c>
      <c r="CA222" s="41">
        <v>48477.913009999989</v>
      </c>
      <c r="CB222" s="41">
        <v>66.259149999999991</v>
      </c>
      <c r="CC222" s="41">
        <v>-2.5465851649641991E-14</v>
      </c>
      <c r="CD222" s="41">
        <v>0</v>
      </c>
      <c r="CE222" s="41">
        <v>0</v>
      </c>
      <c r="CF222" s="41">
        <v>0</v>
      </c>
      <c r="CG222" s="45">
        <v>0</v>
      </c>
      <c r="CH222" s="45" t="s">
        <v>137</v>
      </c>
      <c r="CI222" s="37" t="s">
        <v>127</v>
      </c>
      <c r="CJ222" s="77" t="s">
        <v>127</v>
      </c>
      <c r="CK222" s="98">
        <v>0</v>
      </c>
      <c r="CL222" s="98">
        <v>1</v>
      </c>
      <c r="CM222" s="100" t="s">
        <v>1270</v>
      </c>
    </row>
    <row r="223" spans="1:91" ht="12.75" customHeight="1" x14ac:dyDescent="0.3">
      <c r="A223" s="37">
        <v>221</v>
      </c>
      <c r="B223" s="37" t="s">
        <v>1271</v>
      </c>
      <c r="C223" s="124"/>
      <c r="D223" s="124"/>
      <c r="E223" s="37" t="s">
        <v>258</v>
      </c>
      <c r="F223" s="36" t="s">
        <v>1272</v>
      </c>
      <c r="G223" s="75" t="s">
        <v>152</v>
      </c>
      <c r="H223" s="37" t="s">
        <v>130</v>
      </c>
      <c r="I223" s="37" t="s">
        <v>131</v>
      </c>
      <c r="J223" s="37" t="s">
        <v>127</v>
      </c>
      <c r="K223" s="37" t="s">
        <v>609</v>
      </c>
      <c r="L223" s="75" t="s">
        <v>1241</v>
      </c>
      <c r="M223" s="37" t="s">
        <v>127</v>
      </c>
      <c r="N223" s="37" t="s">
        <v>127</v>
      </c>
      <c r="O223" s="76">
        <v>44987</v>
      </c>
      <c r="P223" s="37" t="s">
        <v>135</v>
      </c>
      <c r="Q223" s="37" t="s">
        <v>127</v>
      </c>
      <c r="R223" s="37" t="s">
        <v>127</v>
      </c>
      <c r="S223" s="37" t="s">
        <v>127</v>
      </c>
      <c r="T223" s="37" t="s">
        <v>315</v>
      </c>
      <c r="U223" s="37" t="s">
        <v>714</v>
      </c>
      <c r="V223" s="37" t="b">
        <v>0</v>
      </c>
      <c r="W223" s="77" t="s">
        <v>127</v>
      </c>
      <c r="X223" s="123"/>
      <c r="Y223" s="83">
        <v>5.8671899999999999</v>
      </c>
      <c r="Z223" s="37" t="s">
        <v>137</v>
      </c>
      <c r="AA223" s="37">
        <v>69</v>
      </c>
      <c r="AB223" s="37" t="s">
        <v>127</v>
      </c>
      <c r="AC223" s="78">
        <v>1.2</v>
      </c>
      <c r="AD223" s="78" t="s">
        <v>1273</v>
      </c>
      <c r="AE223" s="37" t="s">
        <v>1274</v>
      </c>
      <c r="AF223" s="37">
        <v>12144</v>
      </c>
      <c r="AG223" s="37" t="s">
        <v>141</v>
      </c>
      <c r="AH223" s="37" t="b">
        <v>1</v>
      </c>
      <c r="AI223" s="76">
        <v>44749</v>
      </c>
      <c r="AJ223" s="77" t="s">
        <v>142</v>
      </c>
      <c r="AK223" s="37">
        <v>2015</v>
      </c>
      <c r="AL223" s="37" t="s">
        <v>127</v>
      </c>
      <c r="AM223" s="37" t="b">
        <v>0</v>
      </c>
      <c r="AN223" s="37" t="s">
        <v>127</v>
      </c>
      <c r="AO223" s="37" t="s">
        <v>127</v>
      </c>
      <c r="AP223" s="37" t="s">
        <v>137</v>
      </c>
      <c r="AQ223" s="37" t="b">
        <v>0</v>
      </c>
      <c r="AR223" s="37" t="s">
        <v>127</v>
      </c>
      <c r="AS223" s="76" t="s">
        <v>127</v>
      </c>
      <c r="AT223" s="37" t="s">
        <v>389</v>
      </c>
      <c r="AU223" s="37" t="s">
        <v>127</v>
      </c>
      <c r="AV223" s="37" t="s">
        <v>933</v>
      </c>
      <c r="AW223" s="37" t="s">
        <v>137</v>
      </c>
      <c r="AX223" s="37" t="s">
        <v>161</v>
      </c>
      <c r="AY223" s="37" t="s">
        <v>127</v>
      </c>
      <c r="AZ223" s="37" t="s">
        <v>127</v>
      </c>
      <c r="BA223" s="37" t="s">
        <v>127</v>
      </c>
      <c r="BB223" s="37" t="s">
        <v>143</v>
      </c>
      <c r="BC223" s="77" t="s">
        <v>127</v>
      </c>
      <c r="BD223" s="76" t="s">
        <v>1275</v>
      </c>
      <c r="BE223" s="76">
        <v>46387</v>
      </c>
      <c r="BF223" s="86" t="s">
        <v>1276</v>
      </c>
      <c r="BG223" s="39" t="s">
        <v>127</v>
      </c>
      <c r="BH223" s="37" t="s">
        <v>127</v>
      </c>
      <c r="BI223" s="40" t="b">
        <v>1</v>
      </c>
      <c r="BJ223" s="40">
        <v>25131.988150000001</v>
      </c>
      <c r="BK223" s="37" t="s">
        <v>127</v>
      </c>
      <c r="BL223" s="41">
        <v>23928.681287078973</v>
      </c>
      <c r="BM223" s="49">
        <v>682.64415894800015</v>
      </c>
      <c r="BN223" s="49">
        <v>1163.2871713249999</v>
      </c>
      <c r="BO223" s="49">
        <v>2809.3026072040002</v>
      </c>
      <c r="BP223" s="49">
        <v>16392.868654204001</v>
      </c>
      <c r="BQ223" s="50">
        <v>1669.8340185020004</v>
      </c>
      <c r="BR223" s="50">
        <v>19.106666896000004</v>
      </c>
      <c r="BS223" s="50">
        <v>0</v>
      </c>
      <c r="BT223" s="50">
        <v>0</v>
      </c>
      <c r="BU223" s="50">
        <v>0</v>
      </c>
      <c r="BV223" s="50">
        <v>0</v>
      </c>
      <c r="BW223" s="50">
        <v>0</v>
      </c>
      <c r="BX223" s="37" t="s">
        <v>127</v>
      </c>
      <c r="BY223" s="37" t="s">
        <v>127</v>
      </c>
      <c r="BZ223" s="37" t="s">
        <v>162</v>
      </c>
      <c r="CA223" s="41">
        <v>0</v>
      </c>
      <c r="CB223" s="41">
        <v>0</v>
      </c>
      <c r="CC223" s="41">
        <v>21132.236179999989</v>
      </c>
      <c r="CD223" s="41">
        <v>148.70272999999997</v>
      </c>
      <c r="CE223" s="41">
        <v>18.492630000000013</v>
      </c>
      <c r="CF223" s="41">
        <v>18.337946896000002</v>
      </c>
      <c r="CG223" s="45">
        <v>0</v>
      </c>
      <c r="CH223" s="45" t="s">
        <v>137</v>
      </c>
      <c r="CI223" s="37" t="s">
        <v>127</v>
      </c>
      <c r="CJ223" s="77" t="s">
        <v>127</v>
      </c>
      <c r="CK223" s="98">
        <v>0</v>
      </c>
      <c r="CL223" s="98">
        <v>1</v>
      </c>
      <c r="CM223" s="99" t="s">
        <v>1277</v>
      </c>
    </row>
    <row r="224" spans="1:91" ht="12.75" customHeight="1" x14ac:dyDescent="0.3">
      <c r="A224" s="37">
        <v>222</v>
      </c>
      <c r="B224" s="37" t="s">
        <v>1278</v>
      </c>
      <c r="C224" s="124"/>
      <c r="D224" s="124"/>
      <c r="E224" s="37" t="s">
        <v>1279</v>
      </c>
      <c r="F224" s="36" t="s">
        <v>1280</v>
      </c>
      <c r="G224" s="75" t="s">
        <v>513</v>
      </c>
      <c r="H224" s="37" t="s">
        <v>130</v>
      </c>
      <c r="I224" s="37" t="s">
        <v>127</v>
      </c>
      <c r="J224" s="37" t="s">
        <v>127</v>
      </c>
      <c r="K224" s="37" t="s">
        <v>609</v>
      </c>
      <c r="L224" s="75" t="s">
        <v>133</v>
      </c>
      <c r="M224" s="37" t="s">
        <v>127</v>
      </c>
      <c r="N224" s="37" t="s">
        <v>127</v>
      </c>
      <c r="O224" s="76">
        <v>44394</v>
      </c>
      <c r="P224" s="37">
        <v>60</v>
      </c>
      <c r="Q224" s="37" t="s">
        <v>127</v>
      </c>
      <c r="R224" s="37" t="s">
        <v>127</v>
      </c>
      <c r="S224" s="37" t="s">
        <v>127</v>
      </c>
      <c r="T224" s="37" t="s">
        <v>315</v>
      </c>
      <c r="U224" s="37" t="s">
        <v>947</v>
      </c>
      <c r="V224" s="37" t="b">
        <v>0</v>
      </c>
      <c r="W224" s="77" t="s">
        <v>127</v>
      </c>
      <c r="X224" s="123"/>
      <c r="Y224" s="83">
        <v>4.8499999999999996</v>
      </c>
      <c r="Z224" s="37" t="s">
        <v>127</v>
      </c>
      <c r="AA224" s="37">
        <v>69</v>
      </c>
      <c r="AB224" s="37" t="s">
        <v>127</v>
      </c>
      <c r="AC224" s="78">
        <v>1.2</v>
      </c>
      <c r="AD224" s="78" t="s">
        <v>1281</v>
      </c>
      <c r="AE224" s="37" t="s">
        <v>1282</v>
      </c>
      <c r="AF224" s="37">
        <v>12149</v>
      </c>
      <c r="AG224" s="37" t="s">
        <v>141</v>
      </c>
      <c r="AH224" s="37" t="b">
        <v>1</v>
      </c>
      <c r="AI224" s="76">
        <v>44236</v>
      </c>
      <c r="AJ224" s="77" t="s">
        <v>142</v>
      </c>
      <c r="AK224" s="37">
        <v>2015</v>
      </c>
      <c r="AL224" s="37" t="s">
        <v>127</v>
      </c>
      <c r="AM224" s="37" t="b">
        <v>0</v>
      </c>
      <c r="AN224" s="37" t="s">
        <v>127</v>
      </c>
      <c r="AO224" s="37" t="s">
        <v>127</v>
      </c>
      <c r="AP224" s="37" t="s">
        <v>137</v>
      </c>
      <c r="AQ224" s="37" t="b">
        <v>0</v>
      </c>
      <c r="AR224" s="37" t="s">
        <v>532</v>
      </c>
      <c r="AS224" s="76" t="s">
        <v>127</v>
      </c>
      <c r="AT224" s="37" t="s">
        <v>389</v>
      </c>
      <c r="AU224" s="37" t="s">
        <v>127</v>
      </c>
      <c r="AV224" s="37" t="s">
        <v>127</v>
      </c>
      <c r="AW224" s="37" t="s">
        <v>127</v>
      </c>
      <c r="AX224" s="37" t="s">
        <v>161</v>
      </c>
      <c r="AY224" s="37" t="s">
        <v>127</v>
      </c>
      <c r="AZ224" s="37" t="s">
        <v>973</v>
      </c>
      <c r="BA224" s="37">
        <v>2024</v>
      </c>
      <c r="BB224" s="37" t="s">
        <v>219</v>
      </c>
      <c r="BC224" s="77" t="s">
        <v>127</v>
      </c>
      <c r="BD224" s="76" t="s">
        <v>1283</v>
      </c>
      <c r="BE224" s="76">
        <v>46387</v>
      </c>
      <c r="BF224" s="86" t="s">
        <v>1284</v>
      </c>
      <c r="BG224" s="39" t="s">
        <v>127</v>
      </c>
      <c r="BH224" s="37" t="s">
        <v>127</v>
      </c>
      <c r="BI224" s="40" t="b">
        <v>1</v>
      </c>
      <c r="BJ224" s="40">
        <v>36464.089740000003</v>
      </c>
      <c r="BK224" s="37" t="s">
        <v>127</v>
      </c>
      <c r="BL224" s="41">
        <v>26049.280056261548</v>
      </c>
      <c r="BM224" s="49">
        <v>222.6037</v>
      </c>
      <c r="BN224" s="49">
        <v>626.19505000000004</v>
      </c>
      <c r="BO224" s="49">
        <v>776.44136000000015</v>
      </c>
      <c r="BP224" s="49">
        <v>611.89455999999996</v>
      </c>
      <c r="BQ224" s="50">
        <v>675.17662999999993</v>
      </c>
      <c r="BR224" s="50">
        <v>3971.6295612695872</v>
      </c>
      <c r="BS224" s="50">
        <v>17143.710508325501</v>
      </c>
      <c r="BT224" s="50">
        <v>749.00016666646434</v>
      </c>
      <c r="BU224" s="50">
        <v>0</v>
      </c>
      <c r="BV224" s="50">
        <v>0</v>
      </c>
      <c r="BW224" s="50">
        <v>4286.1228799999999</v>
      </c>
      <c r="BX224" s="37" t="s">
        <v>127</v>
      </c>
      <c r="BY224" s="37" t="s">
        <v>127</v>
      </c>
      <c r="BZ224" s="37" t="s">
        <v>127</v>
      </c>
      <c r="CA224" s="41">
        <v>0</v>
      </c>
      <c r="CB224" s="41">
        <v>0</v>
      </c>
      <c r="CC224" s="41">
        <v>0</v>
      </c>
      <c r="CD224" s="41">
        <v>0</v>
      </c>
      <c r="CE224" s="41">
        <v>0</v>
      </c>
      <c r="CF224" s="41">
        <v>0</v>
      </c>
      <c r="CG224" s="45">
        <v>0</v>
      </c>
      <c r="CH224" s="45" t="s">
        <v>137</v>
      </c>
      <c r="CI224" s="37" t="s">
        <v>1285</v>
      </c>
      <c r="CJ224" s="77" t="s">
        <v>127</v>
      </c>
      <c r="CK224" s="98">
        <v>0</v>
      </c>
      <c r="CL224" s="98">
        <v>1</v>
      </c>
      <c r="CM224" s="100" t="s">
        <v>1286</v>
      </c>
    </row>
    <row r="225" spans="1:91" ht="12.75" customHeight="1" x14ac:dyDescent="0.3">
      <c r="A225" s="37">
        <v>223</v>
      </c>
      <c r="B225" s="37" t="s">
        <v>1287</v>
      </c>
      <c r="C225" s="124"/>
      <c r="D225" s="124"/>
      <c r="E225" s="37" t="s">
        <v>1060</v>
      </c>
      <c r="F225" s="36" t="s">
        <v>1288</v>
      </c>
      <c r="G225" s="75" t="s">
        <v>152</v>
      </c>
      <c r="H225" s="37" t="s">
        <v>130</v>
      </c>
      <c r="I225" s="37" t="s">
        <v>131</v>
      </c>
      <c r="J225" s="37" t="s">
        <v>127</v>
      </c>
      <c r="K225" s="37" t="s">
        <v>609</v>
      </c>
      <c r="L225" s="75" t="s">
        <v>1241</v>
      </c>
      <c r="M225" s="37" t="s">
        <v>127</v>
      </c>
      <c r="N225" s="37" t="s">
        <v>127</v>
      </c>
      <c r="O225" s="76">
        <v>44638</v>
      </c>
      <c r="P225" s="37">
        <v>29</v>
      </c>
      <c r="Q225" s="37" t="s">
        <v>127</v>
      </c>
      <c r="R225" s="37" t="s">
        <v>127</v>
      </c>
      <c r="S225" s="37" t="s">
        <v>127</v>
      </c>
      <c r="T225" s="37" t="s">
        <v>315</v>
      </c>
      <c r="U225" s="37" t="s">
        <v>714</v>
      </c>
      <c r="V225" s="37" t="b">
        <v>0</v>
      </c>
      <c r="W225" s="77" t="s">
        <v>127</v>
      </c>
      <c r="X225" s="123"/>
      <c r="Y225" s="83">
        <v>6.3770189999999998</v>
      </c>
      <c r="Z225" s="37" t="s">
        <v>137</v>
      </c>
      <c r="AA225" s="37">
        <v>138</v>
      </c>
      <c r="AB225" s="37" t="s">
        <v>127</v>
      </c>
      <c r="AC225" s="78">
        <v>1.2</v>
      </c>
      <c r="AD225" s="78" t="s">
        <v>1289</v>
      </c>
      <c r="AE225" s="37" t="s">
        <v>1290</v>
      </c>
      <c r="AF225" s="37">
        <v>12150</v>
      </c>
      <c r="AG225" s="37" t="s">
        <v>141</v>
      </c>
      <c r="AH225" s="37" t="b">
        <v>1</v>
      </c>
      <c r="AI225" s="76">
        <v>43191</v>
      </c>
      <c r="AJ225" s="77" t="s">
        <v>142</v>
      </c>
      <c r="AK225" s="37">
        <v>2015</v>
      </c>
      <c r="AL225" s="37" t="s">
        <v>127</v>
      </c>
      <c r="AM225" s="37" t="b">
        <v>0</v>
      </c>
      <c r="AN225" s="37" t="s">
        <v>127</v>
      </c>
      <c r="AO225" s="37" t="s">
        <v>127</v>
      </c>
      <c r="AP225" s="37" t="s">
        <v>137</v>
      </c>
      <c r="AQ225" s="37" t="b">
        <v>0</v>
      </c>
      <c r="AR225" s="37" t="s">
        <v>127</v>
      </c>
      <c r="AS225" s="76" t="s">
        <v>127</v>
      </c>
      <c r="AT225" s="37" t="s">
        <v>389</v>
      </c>
      <c r="AU225" s="37" t="s">
        <v>127</v>
      </c>
      <c r="AV225" s="37" t="s">
        <v>933</v>
      </c>
      <c r="AW225" s="37" t="s">
        <v>137</v>
      </c>
      <c r="AX225" s="37" t="s">
        <v>161</v>
      </c>
      <c r="AY225" s="37" t="s">
        <v>127</v>
      </c>
      <c r="AZ225" s="37" t="s">
        <v>127</v>
      </c>
      <c r="BA225" s="37" t="s">
        <v>127</v>
      </c>
      <c r="BB225" s="37" t="s">
        <v>143</v>
      </c>
      <c r="BC225" s="77" t="s">
        <v>127</v>
      </c>
      <c r="BD225" s="76" t="s">
        <v>1291</v>
      </c>
      <c r="BE225" s="76">
        <v>46387</v>
      </c>
      <c r="BF225" s="86" t="s">
        <v>1292</v>
      </c>
      <c r="BG225" s="39" t="s">
        <v>127</v>
      </c>
      <c r="BH225" s="37" t="s">
        <v>127</v>
      </c>
      <c r="BI225" s="40" t="b">
        <v>1</v>
      </c>
      <c r="BJ225" s="40">
        <v>317.23644999999999</v>
      </c>
      <c r="BK225" s="37" t="s">
        <v>127</v>
      </c>
      <c r="BL225" s="41">
        <v>23464.911979429973</v>
      </c>
      <c r="BM225" s="49">
        <v>923.156679102</v>
      </c>
      <c r="BN225" s="49">
        <v>533.69010600499996</v>
      </c>
      <c r="BO225" s="49">
        <v>2436.5701200530007</v>
      </c>
      <c r="BP225" s="49">
        <v>12550.668913338999</v>
      </c>
      <c r="BQ225" s="50">
        <v>6543.3430706950012</v>
      </c>
      <c r="BR225" s="50">
        <v>-32.524019763999874</v>
      </c>
      <c r="BS225" s="50">
        <v>0</v>
      </c>
      <c r="BT225" s="50">
        <v>0</v>
      </c>
      <c r="BU225" s="50">
        <v>0</v>
      </c>
      <c r="BV225" s="50">
        <v>0</v>
      </c>
      <c r="BW225" s="50">
        <v>0</v>
      </c>
      <c r="BX225" s="37" t="s">
        <v>127</v>
      </c>
      <c r="BY225" s="37" t="s">
        <v>127</v>
      </c>
      <c r="BZ225" s="37" t="s">
        <v>198</v>
      </c>
      <c r="CA225" s="41">
        <v>0</v>
      </c>
      <c r="CB225" s="41">
        <v>0</v>
      </c>
      <c r="CC225" s="41">
        <v>0</v>
      </c>
      <c r="CD225" s="41">
        <v>21351.821640000009</v>
      </c>
      <c r="CE225" s="41">
        <v>-6.4530400000000085</v>
      </c>
      <c r="CF225" s="41">
        <v>-37.291619764000004</v>
      </c>
      <c r="CG225" s="45">
        <v>0</v>
      </c>
      <c r="CH225" s="45" t="s">
        <v>137</v>
      </c>
      <c r="CI225" s="37" t="s">
        <v>127</v>
      </c>
      <c r="CJ225" s="77" t="s">
        <v>127</v>
      </c>
      <c r="CK225" s="98">
        <v>0</v>
      </c>
      <c r="CL225" s="98">
        <v>1</v>
      </c>
      <c r="CM225" s="100" t="s">
        <v>1293</v>
      </c>
    </row>
    <row r="226" spans="1:91" ht="12.75" customHeight="1" x14ac:dyDescent="0.3">
      <c r="A226" s="37">
        <v>224</v>
      </c>
      <c r="B226" s="37" t="s">
        <v>1294</v>
      </c>
      <c r="C226" s="124"/>
      <c r="D226" s="124"/>
      <c r="E226" s="37" t="s">
        <v>1060</v>
      </c>
      <c r="F226" s="36" t="s">
        <v>1295</v>
      </c>
      <c r="G226" s="75" t="s">
        <v>152</v>
      </c>
      <c r="H226" s="37" t="s">
        <v>130</v>
      </c>
      <c r="I226" s="37" t="s">
        <v>131</v>
      </c>
      <c r="J226" s="37" t="s">
        <v>127</v>
      </c>
      <c r="K226" s="37" t="s">
        <v>609</v>
      </c>
      <c r="L226" s="75" t="s">
        <v>1241</v>
      </c>
      <c r="M226" s="37" t="s">
        <v>127</v>
      </c>
      <c r="N226" s="37" t="s">
        <v>127</v>
      </c>
      <c r="O226" s="76">
        <v>44629</v>
      </c>
      <c r="P226" s="37">
        <v>11</v>
      </c>
      <c r="Q226" s="37" t="s">
        <v>127</v>
      </c>
      <c r="R226" s="37" t="s">
        <v>127</v>
      </c>
      <c r="S226" s="37" t="s">
        <v>127</v>
      </c>
      <c r="T226" s="37" t="s">
        <v>315</v>
      </c>
      <c r="U226" s="37" t="s">
        <v>136</v>
      </c>
      <c r="V226" s="37" t="b">
        <v>0</v>
      </c>
      <c r="W226" s="77" t="s">
        <v>127</v>
      </c>
      <c r="X226" s="123"/>
      <c r="Y226" s="83">
        <v>1.6748339999999999</v>
      </c>
      <c r="Z226" s="37" t="s">
        <v>137</v>
      </c>
      <c r="AA226" s="37">
        <v>138</v>
      </c>
      <c r="AB226" s="37" t="s">
        <v>127</v>
      </c>
      <c r="AC226" s="78">
        <v>1.2</v>
      </c>
      <c r="AD226" s="78" t="s">
        <v>1296</v>
      </c>
      <c r="AE226" s="37" t="s">
        <v>1297</v>
      </c>
      <c r="AF226" s="37">
        <v>12152</v>
      </c>
      <c r="AG226" s="37" t="s">
        <v>141</v>
      </c>
      <c r="AH226" s="37" t="b">
        <v>1</v>
      </c>
      <c r="AI226" s="76">
        <v>43191</v>
      </c>
      <c r="AJ226" s="77" t="s">
        <v>142</v>
      </c>
      <c r="AK226" s="37">
        <v>2015</v>
      </c>
      <c r="AL226" s="37" t="s">
        <v>127</v>
      </c>
      <c r="AM226" s="37" t="b">
        <v>0</v>
      </c>
      <c r="AN226" s="37" t="s">
        <v>127</v>
      </c>
      <c r="AO226" s="37" t="s">
        <v>127</v>
      </c>
      <c r="AP226" s="37" t="s">
        <v>137</v>
      </c>
      <c r="AQ226" s="37" t="b">
        <v>0</v>
      </c>
      <c r="AR226" s="37" t="s">
        <v>127</v>
      </c>
      <c r="AS226" s="76" t="s">
        <v>127</v>
      </c>
      <c r="AT226" s="37" t="s">
        <v>389</v>
      </c>
      <c r="AU226" s="37" t="s">
        <v>127</v>
      </c>
      <c r="AV226" s="37" t="s">
        <v>933</v>
      </c>
      <c r="AW226" s="37" t="s">
        <v>137</v>
      </c>
      <c r="AX226" s="37" t="s">
        <v>161</v>
      </c>
      <c r="AY226" s="37" t="s">
        <v>127</v>
      </c>
      <c r="AZ226" s="37" t="s">
        <v>127</v>
      </c>
      <c r="BA226" s="37" t="s">
        <v>127</v>
      </c>
      <c r="BB226" s="37" t="s">
        <v>143</v>
      </c>
      <c r="BC226" s="77" t="s">
        <v>127</v>
      </c>
      <c r="BD226" s="76" t="s">
        <v>1298</v>
      </c>
      <c r="BE226" s="76">
        <v>46387</v>
      </c>
      <c r="BF226" s="86" t="s">
        <v>1299</v>
      </c>
      <c r="BG226" s="39" t="s">
        <v>127</v>
      </c>
      <c r="BH226" s="37" t="s">
        <v>127</v>
      </c>
      <c r="BI226" s="40" t="b">
        <v>1</v>
      </c>
      <c r="BJ226" s="40">
        <v>249.94092000000001</v>
      </c>
      <c r="BK226" s="37" t="s">
        <v>127</v>
      </c>
      <c r="BL226" s="41">
        <v>2703.3435504560007</v>
      </c>
      <c r="BM226" s="49">
        <v>297.84998000000007</v>
      </c>
      <c r="BN226" s="49">
        <v>315.73817000000008</v>
      </c>
      <c r="BO226" s="49">
        <v>1239.0898682769996</v>
      </c>
      <c r="BP226" s="49">
        <v>432.15392705899995</v>
      </c>
      <c r="BQ226" s="50">
        <v>243.57307168</v>
      </c>
      <c r="BR226" s="50">
        <v>0.94457999999999998</v>
      </c>
      <c r="BS226" s="50">
        <v>0</v>
      </c>
      <c r="BT226" s="50">
        <v>0</v>
      </c>
      <c r="BU226" s="50">
        <v>0</v>
      </c>
      <c r="BV226" s="50">
        <v>0</v>
      </c>
      <c r="BW226" s="50">
        <v>0</v>
      </c>
      <c r="BX226" s="37" t="s">
        <v>127</v>
      </c>
      <c r="BY226" s="37" t="s">
        <v>127</v>
      </c>
      <c r="BZ226" s="37" t="s">
        <v>162</v>
      </c>
      <c r="CA226" s="41">
        <v>0</v>
      </c>
      <c r="CB226" s="41">
        <v>0</v>
      </c>
      <c r="CC226" s="41">
        <v>2341.0555800000006</v>
      </c>
      <c r="CD226" s="41">
        <v>232.27853999999991</v>
      </c>
      <c r="CE226" s="41">
        <v>0.9445800000000002</v>
      </c>
      <c r="CF226" s="41">
        <v>0.94457999999999998</v>
      </c>
      <c r="CG226" s="45">
        <v>0</v>
      </c>
      <c r="CH226" s="45" t="s">
        <v>137</v>
      </c>
      <c r="CI226" s="37" t="s">
        <v>127</v>
      </c>
      <c r="CJ226" s="77" t="s">
        <v>127</v>
      </c>
      <c r="CK226" s="98">
        <v>0</v>
      </c>
      <c r="CL226" s="98">
        <v>1</v>
      </c>
      <c r="CM226" s="100" t="s">
        <v>1293</v>
      </c>
    </row>
    <row r="227" spans="1:91" ht="12.75" customHeight="1" x14ac:dyDescent="0.3">
      <c r="A227" s="37">
        <v>225</v>
      </c>
      <c r="B227" s="37" t="s">
        <v>1300</v>
      </c>
      <c r="C227" s="124"/>
      <c r="D227" s="124"/>
      <c r="E227" s="37" t="s">
        <v>258</v>
      </c>
      <c r="F227" s="36" t="s">
        <v>1301</v>
      </c>
      <c r="G227" s="75" t="s">
        <v>513</v>
      </c>
      <c r="H227" s="37" t="s">
        <v>130</v>
      </c>
      <c r="I227" s="37" t="s">
        <v>131</v>
      </c>
      <c r="J227" s="37" t="s">
        <v>127</v>
      </c>
      <c r="K227" s="37" t="s">
        <v>132</v>
      </c>
      <c r="L227" s="75" t="s">
        <v>133</v>
      </c>
      <c r="M227" s="37" t="s">
        <v>1049</v>
      </c>
      <c r="N227" s="37" t="s">
        <v>127</v>
      </c>
      <c r="O227" s="76">
        <v>45068</v>
      </c>
      <c r="P227" s="37">
        <v>63</v>
      </c>
      <c r="Q227" s="37" t="s">
        <v>127</v>
      </c>
      <c r="R227" s="37" t="s">
        <v>1123</v>
      </c>
      <c r="S227" s="37" t="s">
        <v>1302</v>
      </c>
      <c r="T227" s="37" t="s">
        <v>127</v>
      </c>
      <c r="U227" s="37" t="s">
        <v>136</v>
      </c>
      <c r="V227" s="37" t="b">
        <v>0</v>
      </c>
      <c r="W227" s="77" t="s">
        <v>127</v>
      </c>
      <c r="X227" s="123"/>
      <c r="Y227" s="83">
        <v>3.9990670000000001</v>
      </c>
      <c r="Z227" s="37" t="s">
        <v>137</v>
      </c>
      <c r="AA227" s="37">
        <v>69</v>
      </c>
      <c r="AB227" s="37" t="s">
        <v>127</v>
      </c>
      <c r="AC227" s="78">
        <v>4.0999999999999996</v>
      </c>
      <c r="AD227" s="78" t="s">
        <v>1303</v>
      </c>
      <c r="AE227" s="37" t="s">
        <v>1304</v>
      </c>
      <c r="AF227" s="37">
        <v>12156</v>
      </c>
      <c r="AG227" s="37" t="s">
        <v>141</v>
      </c>
      <c r="AH227" s="37" t="b">
        <v>1</v>
      </c>
      <c r="AI227" s="76">
        <v>44179</v>
      </c>
      <c r="AJ227" s="77" t="s">
        <v>142</v>
      </c>
      <c r="AK227" s="37">
        <v>2015</v>
      </c>
      <c r="AL227" s="37" t="s">
        <v>127</v>
      </c>
      <c r="AM227" s="37" t="b">
        <v>0</v>
      </c>
      <c r="AN227" s="37" t="s">
        <v>127</v>
      </c>
      <c r="AO227" s="37" t="s">
        <v>127</v>
      </c>
      <c r="AP227" s="37" t="s">
        <v>137</v>
      </c>
      <c r="AQ227" s="37" t="b">
        <v>0</v>
      </c>
      <c r="AR227" s="37" t="s">
        <v>127</v>
      </c>
      <c r="AS227" s="76">
        <v>40909</v>
      </c>
      <c r="AT227" s="37" t="s">
        <v>389</v>
      </c>
      <c r="AU227" s="37" t="s">
        <v>127</v>
      </c>
      <c r="AV227" s="37" t="s">
        <v>137</v>
      </c>
      <c r="AW227" s="37" t="s">
        <v>137</v>
      </c>
      <c r="AX227" s="37" t="s">
        <v>161</v>
      </c>
      <c r="AY227" s="37" t="s">
        <v>127</v>
      </c>
      <c r="AZ227" s="37" t="s">
        <v>973</v>
      </c>
      <c r="BA227" s="37">
        <v>2018</v>
      </c>
      <c r="BB227" s="37" t="s">
        <v>143</v>
      </c>
      <c r="BC227" s="77" t="s">
        <v>127</v>
      </c>
      <c r="BD227" s="76" t="s">
        <v>1305</v>
      </c>
      <c r="BE227" s="37" t="s">
        <v>1306</v>
      </c>
      <c r="BF227" s="86" t="s">
        <v>1307</v>
      </c>
      <c r="BG227" s="39" t="s">
        <v>127</v>
      </c>
      <c r="BH227" s="37" t="s">
        <v>127</v>
      </c>
      <c r="BI227" s="40" t="b">
        <v>1</v>
      </c>
      <c r="BJ227" s="40">
        <v>1260.07864</v>
      </c>
      <c r="BK227" s="37" t="s">
        <v>127</v>
      </c>
      <c r="BL227" s="41">
        <v>9611.6431634399996</v>
      </c>
      <c r="BM227" s="49">
        <v>818.79780000000005</v>
      </c>
      <c r="BN227" s="49">
        <v>1603.9400999999998</v>
      </c>
      <c r="BO227" s="49">
        <v>2001.5509199999999</v>
      </c>
      <c r="BP227" s="49">
        <v>1086.3043600000001</v>
      </c>
      <c r="BQ227" s="50">
        <v>426.79551000000009</v>
      </c>
      <c r="BR227" s="50">
        <v>1191.1529797210012</v>
      </c>
      <c r="BS227" s="50">
        <v>0</v>
      </c>
      <c r="BT227" s="50">
        <v>0</v>
      </c>
      <c r="BU227" s="50">
        <v>0</v>
      </c>
      <c r="BV227" s="50">
        <v>0</v>
      </c>
      <c r="BW227" s="50">
        <v>0</v>
      </c>
      <c r="BX227" s="37" t="s">
        <v>127</v>
      </c>
      <c r="BY227" s="37" t="s">
        <v>127</v>
      </c>
      <c r="BZ227" s="37" t="s">
        <v>162</v>
      </c>
      <c r="CA227" s="41">
        <v>0</v>
      </c>
      <c r="CB227" s="41">
        <v>0</v>
      </c>
      <c r="CC227" s="41">
        <v>6109.9588999999978</v>
      </c>
      <c r="CD227" s="41">
        <v>406.03035999999986</v>
      </c>
      <c r="CE227" s="41">
        <v>77.680360000000036</v>
      </c>
      <c r="CF227" s="41">
        <v>1152.4904126894423</v>
      </c>
      <c r="CG227" s="45">
        <v>0</v>
      </c>
      <c r="CH227" s="45" t="s">
        <v>137</v>
      </c>
      <c r="CI227" s="37" t="s">
        <v>127</v>
      </c>
      <c r="CJ227" s="77" t="s">
        <v>127</v>
      </c>
      <c r="CK227" s="98">
        <v>0</v>
      </c>
      <c r="CL227" s="98">
        <v>1</v>
      </c>
      <c r="CM227" s="99" t="s">
        <v>1308</v>
      </c>
    </row>
    <row r="228" spans="1:91" ht="12.75" customHeight="1" x14ac:dyDescent="0.3">
      <c r="A228" s="37">
        <v>226</v>
      </c>
      <c r="B228" s="37" t="s">
        <v>1309</v>
      </c>
      <c r="C228" s="124"/>
      <c r="D228" s="124"/>
      <c r="E228" s="37" t="s">
        <v>258</v>
      </c>
      <c r="F228" s="36" t="s">
        <v>1310</v>
      </c>
      <c r="G228" s="75" t="s">
        <v>129</v>
      </c>
      <c r="H228" s="37" t="s">
        <v>227</v>
      </c>
      <c r="I228" s="37" t="s">
        <v>127</v>
      </c>
      <c r="J228" s="37" t="s">
        <v>127</v>
      </c>
      <c r="K228" s="37" t="s">
        <v>1234</v>
      </c>
      <c r="L228" s="75" t="s">
        <v>1311</v>
      </c>
      <c r="M228" s="37" t="s">
        <v>1049</v>
      </c>
      <c r="N228" s="37" t="s">
        <v>127</v>
      </c>
      <c r="O228" s="76">
        <v>45107</v>
      </c>
      <c r="P228" s="37" t="s">
        <v>135</v>
      </c>
      <c r="Q228" s="37" t="s">
        <v>168</v>
      </c>
      <c r="R228" s="37" t="s">
        <v>1312</v>
      </c>
      <c r="S228" s="37" t="s">
        <v>152</v>
      </c>
      <c r="T228" s="37" t="s">
        <v>315</v>
      </c>
      <c r="U228" s="37" t="s">
        <v>136</v>
      </c>
      <c r="V228" s="37" t="b">
        <v>0</v>
      </c>
      <c r="W228" s="77" t="s">
        <v>127</v>
      </c>
      <c r="X228" s="123"/>
      <c r="Y228" s="83">
        <v>13.394239000000001</v>
      </c>
      <c r="Z228" s="37" t="s">
        <v>137</v>
      </c>
      <c r="AA228" s="37">
        <v>230</v>
      </c>
      <c r="AB228" s="37" t="s">
        <v>127</v>
      </c>
      <c r="AC228" s="78">
        <v>2.1</v>
      </c>
      <c r="AD228" s="78">
        <v>2650975</v>
      </c>
      <c r="AE228" s="37" t="s">
        <v>1313</v>
      </c>
      <c r="AF228" s="37">
        <v>13128</v>
      </c>
      <c r="AG228" s="37" t="s">
        <v>141</v>
      </c>
      <c r="AH228" s="37" t="b">
        <v>0</v>
      </c>
      <c r="AI228" s="76">
        <v>42675</v>
      </c>
      <c r="AJ228" s="77" t="s">
        <v>142</v>
      </c>
      <c r="AK228" s="37">
        <v>2013</v>
      </c>
      <c r="AL228" s="37">
        <v>2013</v>
      </c>
      <c r="AM228" s="37" t="b">
        <v>1</v>
      </c>
      <c r="AN228" s="37">
        <v>2013</v>
      </c>
      <c r="AO228" s="37" t="s">
        <v>127</v>
      </c>
      <c r="AP228" s="37" t="s">
        <v>1314</v>
      </c>
      <c r="AQ228" s="37" t="b">
        <v>0</v>
      </c>
      <c r="AR228" s="37" t="s">
        <v>1110</v>
      </c>
      <c r="AS228" s="76">
        <v>42656</v>
      </c>
      <c r="AT228" s="37" t="s">
        <v>1130</v>
      </c>
      <c r="AU228" s="37" t="s">
        <v>127</v>
      </c>
      <c r="AV228" s="37" t="s">
        <v>933</v>
      </c>
      <c r="AW228" s="37" t="s">
        <v>137</v>
      </c>
      <c r="AX228" s="37" t="s">
        <v>1131</v>
      </c>
      <c r="AY228" s="37" t="s">
        <v>1315</v>
      </c>
      <c r="AZ228" s="37" t="s">
        <v>973</v>
      </c>
      <c r="BA228" s="37">
        <v>2016</v>
      </c>
      <c r="BB228" s="37" t="s">
        <v>143</v>
      </c>
      <c r="BC228" s="77" t="s">
        <v>127</v>
      </c>
      <c r="BD228" s="76" t="s">
        <v>1316</v>
      </c>
      <c r="BE228" s="76">
        <v>42887</v>
      </c>
      <c r="BF228" s="86" t="s">
        <v>1317</v>
      </c>
      <c r="BG228" s="39" t="s">
        <v>553</v>
      </c>
      <c r="BH228" s="37" t="s">
        <v>127</v>
      </c>
      <c r="BI228" s="40" t="b">
        <v>1</v>
      </c>
      <c r="BJ228" s="41">
        <v>260000</v>
      </c>
      <c r="BK228" s="37" t="s">
        <v>1318</v>
      </c>
      <c r="BL228" s="41">
        <v>256555.14471150213</v>
      </c>
      <c r="BM228" s="49">
        <v>3530.0020954260012</v>
      </c>
      <c r="BN228" s="49">
        <v>1317.1904896300002</v>
      </c>
      <c r="BO228" s="49">
        <v>143.11548210299998</v>
      </c>
      <c r="BP228" s="49">
        <v>-4.5999999999999996E-4</v>
      </c>
      <c r="BQ228" s="50">
        <v>-2.0283908639848232</v>
      </c>
      <c r="BR228" s="50">
        <v>0</v>
      </c>
      <c r="BS228" s="50">
        <v>0</v>
      </c>
      <c r="BT228" s="50">
        <v>0</v>
      </c>
      <c r="BU228" s="50">
        <v>0</v>
      </c>
      <c r="BV228" s="50">
        <v>0</v>
      </c>
      <c r="BW228" s="50">
        <v>0</v>
      </c>
      <c r="BX228" s="37" t="s">
        <v>127</v>
      </c>
      <c r="BY228" s="37" t="s">
        <v>127</v>
      </c>
      <c r="BZ228" s="37" t="s">
        <v>155</v>
      </c>
      <c r="CA228" s="41">
        <v>4034.355590000001</v>
      </c>
      <c r="CB228" s="41">
        <v>142.22566999999998</v>
      </c>
      <c r="CC228" s="41">
        <v>-4.5999999999999996E-4</v>
      </c>
      <c r="CD228" s="41">
        <v>-5.4000799999992593</v>
      </c>
      <c r="CE228" s="41">
        <v>-6.5483618527650828E-14</v>
      </c>
      <c r="CF228" s="41">
        <v>0</v>
      </c>
      <c r="CG228" s="45">
        <v>0</v>
      </c>
      <c r="CH228" s="45" t="s">
        <v>137</v>
      </c>
      <c r="CI228" s="37" t="s">
        <v>127</v>
      </c>
      <c r="CJ228" s="77" t="s">
        <v>1135</v>
      </c>
      <c r="CK228" s="98">
        <v>1</v>
      </c>
      <c r="CL228" s="98">
        <v>0</v>
      </c>
      <c r="CM228" s="100" t="s">
        <v>1319</v>
      </c>
    </row>
    <row r="229" spans="1:91" ht="12.75" customHeight="1" x14ac:dyDescent="0.3">
      <c r="A229" s="37">
        <v>227</v>
      </c>
      <c r="B229" s="37" t="s">
        <v>1320</v>
      </c>
      <c r="C229" s="124"/>
      <c r="D229" s="124"/>
      <c r="E229" s="37" t="s">
        <v>1321</v>
      </c>
      <c r="F229" s="36" t="s">
        <v>1322</v>
      </c>
      <c r="G229" s="75" t="s">
        <v>129</v>
      </c>
      <c r="H229" s="37" t="s">
        <v>131</v>
      </c>
      <c r="I229" s="37" t="s">
        <v>1094</v>
      </c>
      <c r="J229" s="37" t="s">
        <v>127</v>
      </c>
      <c r="K229" s="37" t="s">
        <v>132</v>
      </c>
      <c r="L229" s="75" t="s">
        <v>1323</v>
      </c>
      <c r="M229" s="37" t="s">
        <v>127</v>
      </c>
      <c r="N229" s="37" t="s">
        <v>127</v>
      </c>
      <c r="O229" s="76">
        <v>45209.413298611107</v>
      </c>
      <c r="P229" s="37" t="s">
        <v>135</v>
      </c>
      <c r="Q229" s="37" t="s">
        <v>168</v>
      </c>
      <c r="R229" s="37" t="s">
        <v>426</v>
      </c>
      <c r="S229" s="37" t="s">
        <v>127</v>
      </c>
      <c r="T229" s="37" t="s">
        <v>127</v>
      </c>
      <c r="U229" s="37" t="s">
        <v>136</v>
      </c>
      <c r="V229" s="37" t="b">
        <v>0</v>
      </c>
      <c r="W229" s="77" t="s">
        <v>127</v>
      </c>
      <c r="X229" s="123"/>
      <c r="Y229" s="83">
        <v>7.2488950000000001</v>
      </c>
      <c r="Z229" s="37" t="s">
        <v>137</v>
      </c>
      <c r="AA229" s="37">
        <v>69</v>
      </c>
      <c r="AB229" s="37" t="s">
        <v>127</v>
      </c>
      <c r="AC229" s="78">
        <v>2.1</v>
      </c>
      <c r="AD229" s="78" t="s">
        <v>1324</v>
      </c>
      <c r="AE229" s="37" t="s">
        <v>1325</v>
      </c>
      <c r="AF229" s="37">
        <v>13130</v>
      </c>
      <c r="AG229" s="37" t="s">
        <v>141</v>
      </c>
      <c r="AH229" s="37" t="b">
        <v>0</v>
      </c>
      <c r="AI229" s="76">
        <v>44180</v>
      </c>
      <c r="AJ229" s="77" t="s">
        <v>142</v>
      </c>
      <c r="AK229" s="37">
        <v>2015</v>
      </c>
      <c r="AL229" s="37">
        <v>2013</v>
      </c>
      <c r="AM229" s="37" t="b">
        <v>0</v>
      </c>
      <c r="AN229" s="37">
        <v>2013</v>
      </c>
      <c r="AO229" s="37" t="s">
        <v>127</v>
      </c>
      <c r="AP229" s="37" t="s">
        <v>1314</v>
      </c>
      <c r="AQ229" s="37" t="b">
        <v>0</v>
      </c>
      <c r="AR229" s="37" t="s">
        <v>1110</v>
      </c>
      <c r="AS229" s="76">
        <v>43545</v>
      </c>
      <c r="AT229" s="37" t="s">
        <v>1111</v>
      </c>
      <c r="AU229" s="37" t="s">
        <v>127</v>
      </c>
      <c r="AV229" s="37" t="s">
        <v>933</v>
      </c>
      <c r="AW229" s="37" t="s">
        <v>137</v>
      </c>
      <c r="AX229" s="37" t="s">
        <v>1112</v>
      </c>
      <c r="AY229" s="37" t="s">
        <v>1326</v>
      </c>
      <c r="AZ229" s="37" t="s">
        <v>973</v>
      </c>
      <c r="BA229" s="37">
        <v>2019</v>
      </c>
      <c r="BB229" s="37" t="s">
        <v>143</v>
      </c>
      <c r="BC229" s="77" t="s">
        <v>127</v>
      </c>
      <c r="BD229" s="76" t="s">
        <v>1327</v>
      </c>
      <c r="BE229" s="76">
        <v>42156</v>
      </c>
      <c r="BF229" s="86" t="s">
        <v>1328</v>
      </c>
      <c r="BG229" s="39" t="s">
        <v>127</v>
      </c>
      <c r="BH229" s="37" t="s">
        <v>127</v>
      </c>
      <c r="BI229" s="40" t="b">
        <v>1</v>
      </c>
      <c r="BJ229" s="40">
        <v>17532.68619</v>
      </c>
      <c r="BK229" s="37" t="s">
        <v>127</v>
      </c>
      <c r="BL229" s="41">
        <v>34392.052053211301</v>
      </c>
      <c r="BM229" s="49">
        <v>918.57621174999986</v>
      </c>
      <c r="BN229" s="49">
        <v>3918.0764918999989</v>
      </c>
      <c r="BO229" s="49">
        <v>3457.6337592170003</v>
      </c>
      <c r="BP229" s="49">
        <v>16038.269060913999</v>
      </c>
      <c r="BQ229" s="50">
        <v>6252.4814158870013</v>
      </c>
      <c r="BR229" s="50">
        <v>1170.2872766203061</v>
      </c>
      <c r="BS229" s="50">
        <v>0</v>
      </c>
      <c r="BT229" s="50">
        <v>0</v>
      </c>
      <c r="BU229" s="50">
        <v>0</v>
      </c>
      <c r="BV229" s="50">
        <v>0</v>
      </c>
      <c r="BW229" s="50">
        <v>0</v>
      </c>
      <c r="BX229" s="37" t="s">
        <v>127</v>
      </c>
      <c r="BY229" s="37" t="s">
        <v>127</v>
      </c>
      <c r="BZ229" s="37" t="s">
        <v>162</v>
      </c>
      <c r="CA229" s="41">
        <v>0</v>
      </c>
      <c r="CB229" s="41">
        <v>0</v>
      </c>
      <c r="CC229" s="41">
        <v>26669.805920000003</v>
      </c>
      <c r="CD229" s="41">
        <v>1261.8471099999997</v>
      </c>
      <c r="CE229" s="41">
        <v>-8.5383099999999903</v>
      </c>
      <c r="CF229" s="41">
        <v>-2.8638967540000007</v>
      </c>
      <c r="CG229" s="45">
        <v>0</v>
      </c>
      <c r="CH229" s="45" t="s">
        <v>137</v>
      </c>
      <c r="CI229" s="37" t="s">
        <v>127</v>
      </c>
      <c r="CJ229" s="77" t="s">
        <v>127</v>
      </c>
      <c r="CK229" s="98">
        <v>0</v>
      </c>
      <c r="CL229" s="98">
        <v>1</v>
      </c>
      <c r="CM229" s="100" t="s">
        <v>1329</v>
      </c>
    </row>
    <row r="230" spans="1:91" ht="12.65" customHeight="1" x14ac:dyDescent="0.3">
      <c r="A230" s="77">
        <v>228</v>
      </c>
      <c r="B230" s="77" t="s">
        <v>1330</v>
      </c>
      <c r="C230" s="128"/>
      <c r="D230" s="128"/>
      <c r="E230" s="77" t="s">
        <v>964</v>
      </c>
      <c r="F230" s="95" t="s">
        <v>1331</v>
      </c>
      <c r="G230" s="87" t="s">
        <v>1332</v>
      </c>
      <c r="H230" s="79" t="s">
        <v>227</v>
      </c>
      <c r="I230" s="79" t="s">
        <v>227</v>
      </c>
      <c r="J230" s="79" t="s">
        <v>127</v>
      </c>
      <c r="K230" s="79" t="s">
        <v>160</v>
      </c>
      <c r="L230" s="87" t="s">
        <v>1333</v>
      </c>
      <c r="M230" s="79" t="s">
        <v>1049</v>
      </c>
      <c r="N230" s="79" t="s">
        <v>127</v>
      </c>
      <c r="O230" s="80">
        <v>45401</v>
      </c>
      <c r="P230" s="37" t="s">
        <v>1334</v>
      </c>
      <c r="Q230" s="77" t="s">
        <v>1335</v>
      </c>
      <c r="R230" s="77" t="s">
        <v>127</v>
      </c>
      <c r="S230" s="77" t="s">
        <v>1336</v>
      </c>
      <c r="T230" s="77" t="s">
        <v>315</v>
      </c>
      <c r="U230" s="77" t="s">
        <v>136</v>
      </c>
      <c r="V230" s="77" t="b">
        <v>0</v>
      </c>
      <c r="W230" s="77" t="s">
        <v>127</v>
      </c>
      <c r="X230" s="123"/>
      <c r="Y230" s="77" t="s">
        <v>137</v>
      </c>
      <c r="Z230" s="77">
        <v>5.14</v>
      </c>
      <c r="AA230" s="77" t="s">
        <v>1337</v>
      </c>
      <c r="AB230" s="77" t="s">
        <v>1338</v>
      </c>
      <c r="AC230" s="90">
        <v>2.1</v>
      </c>
      <c r="AD230" s="90" t="s">
        <v>1339</v>
      </c>
      <c r="AE230" s="37" t="s">
        <v>1340</v>
      </c>
      <c r="AF230" s="37">
        <v>13132</v>
      </c>
      <c r="AG230" s="77" t="s">
        <v>127</v>
      </c>
      <c r="AH230" s="77" t="b">
        <v>0</v>
      </c>
      <c r="AI230" s="88">
        <v>42005</v>
      </c>
      <c r="AJ230" s="77" t="s">
        <v>142</v>
      </c>
      <c r="AK230" s="77">
        <v>2018</v>
      </c>
      <c r="AL230" s="77">
        <v>2012</v>
      </c>
      <c r="AM230" s="77" t="b">
        <v>0</v>
      </c>
      <c r="AN230" s="77" t="s">
        <v>1341</v>
      </c>
      <c r="AO230" s="77">
        <v>2013</v>
      </c>
      <c r="AP230" s="77" t="s">
        <v>1342</v>
      </c>
      <c r="AQ230" s="77" t="b">
        <v>0</v>
      </c>
      <c r="AR230" s="77" t="s">
        <v>127</v>
      </c>
      <c r="AS230" s="77" t="s">
        <v>127</v>
      </c>
      <c r="AT230" s="77" t="s">
        <v>389</v>
      </c>
      <c r="AU230" s="77" t="s">
        <v>127</v>
      </c>
      <c r="AV230" s="77" t="s">
        <v>127</v>
      </c>
      <c r="AW230" s="77" t="s">
        <v>127</v>
      </c>
      <c r="AX230" s="77" t="s">
        <v>1131</v>
      </c>
      <c r="AY230" s="77" t="s">
        <v>127</v>
      </c>
      <c r="AZ230" s="77" t="s">
        <v>127</v>
      </c>
      <c r="BA230" s="77" t="s">
        <v>127</v>
      </c>
      <c r="BB230" s="37" t="s">
        <v>143</v>
      </c>
      <c r="BC230" s="77" t="s">
        <v>127</v>
      </c>
      <c r="BD230" s="80" t="s">
        <v>1343</v>
      </c>
      <c r="BE230" s="77">
        <v>2014</v>
      </c>
      <c r="BF230" s="86" t="s">
        <v>1344</v>
      </c>
      <c r="BG230" s="96" t="s">
        <v>127</v>
      </c>
      <c r="BH230" s="96" t="s">
        <v>127</v>
      </c>
      <c r="BI230" s="40" t="b">
        <v>0</v>
      </c>
      <c r="BJ230" s="41">
        <v>139640</v>
      </c>
      <c r="BK230" s="77" t="s">
        <v>127</v>
      </c>
      <c r="BL230" s="51">
        <v>116248.037543864</v>
      </c>
      <c r="BM230" s="49">
        <v>3024.0017788700002</v>
      </c>
      <c r="BN230" s="49">
        <v>458.61167687999995</v>
      </c>
      <c r="BO230" s="49">
        <v>48.277959360000011</v>
      </c>
      <c r="BP230" s="49">
        <v>6.4733300000000007</v>
      </c>
      <c r="BQ230" s="50">
        <v>0</v>
      </c>
      <c r="BR230" s="50">
        <v>0</v>
      </c>
      <c r="BS230" s="50">
        <v>0</v>
      </c>
      <c r="BT230" s="50">
        <v>0</v>
      </c>
      <c r="BU230" s="50">
        <v>0</v>
      </c>
      <c r="BV230" s="50">
        <v>0</v>
      </c>
      <c r="BW230" s="50">
        <v>0</v>
      </c>
      <c r="BX230" s="77" t="s">
        <v>127</v>
      </c>
      <c r="BY230" s="77" t="s">
        <v>127</v>
      </c>
      <c r="BZ230" s="77" t="s">
        <v>176</v>
      </c>
      <c r="CA230" s="51">
        <v>458.08568000000008</v>
      </c>
      <c r="CB230" s="51">
        <v>48.265620000003963</v>
      </c>
      <c r="CC230" s="51">
        <v>6.4733300000000007</v>
      </c>
      <c r="CD230" s="51">
        <v>0</v>
      </c>
      <c r="CE230" s="51">
        <v>0</v>
      </c>
      <c r="CF230" s="51">
        <v>0</v>
      </c>
      <c r="CG230" s="101">
        <v>1</v>
      </c>
      <c r="CH230" s="101" t="s">
        <v>127</v>
      </c>
      <c r="CI230" s="77" t="s">
        <v>127</v>
      </c>
      <c r="CJ230" s="77" t="s">
        <v>127</v>
      </c>
      <c r="CK230" s="98">
        <v>1</v>
      </c>
      <c r="CL230" s="98">
        <v>0</v>
      </c>
      <c r="CM230" s="99" t="s">
        <v>1345</v>
      </c>
    </row>
    <row r="231" spans="1:91" ht="12.75" customHeight="1" x14ac:dyDescent="0.3">
      <c r="A231" s="37">
        <v>229</v>
      </c>
      <c r="B231" s="37" t="s">
        <v>1346</v>
      </c>
      <c r="C231" s="123"/>
      <c r="D231" s="127"/>
      <c r="E231" s="77" t="s">
        <v>127</v>
      </c>
      <c r="F231" s="36" t="s">
        <v>1347</v>
      </c>
      <c r="G231" s="75" t="s">
        <v>184</v>
      </c>
      <c r="H231" s="37" t="s">
        <v>131</v>
      </c>
      <c r="I231" s="37" t="s">
        <v>127</v>
      </c>
      <c r="J231" s="37" t="s">
        <v>127</v>
      </c>
      <c r="K231" s="37" t="s">
        <v>132</v>
      </c>
      <c r="L231" s="75" t="s">
        <v>330</v>
      </c>
      <c r="M231" s="37" t="s">
        <v>127</v>
      </c>
      <c r="N231" s="37" t="s">
        <v>127</v>
      </c>
      <c r="O231" s="76" t="s">
        <v>127</v>
      </c>
      <c r="P231" s="37" t="s">
        <v>135</v>
      </c>
      <c r="Q231" s="37" t="s">
        <v>150</v>
      </c>
      <c r="R231" s="37" t="s">
        <v>127</v>
      </c>
      <c r="S231" s="37" t="s">
        <v>127</v>
      </c>
      <c r="T231" s="37" t="s">
        <v>127</v>
      </c>
      <c r="U231" s="37" t="s">
        <v>136</v>
      </c>
      <c r="V231" s="37" t="b">
        <v>0</v>
      </c>
      <c r="W231" s="77" t="s">
        <v>127</v>
      </c>
      <c r="X231" s="123"/>
      <c r="Y231" s="37" t="s">
        <v>137</v>
      </c>
      <c r="Z231" s="37" t="s">
        <v>137</v>
      </c>
      <c r="AA231" s="37" t="s">
        <v>153</v>
      </c>
      <c r="AB231" s="37" t="s">
        <v>127</v>
      </c>
      <c r="AC231" s="78">
        <v>4.3</v>
      </c>
      <c r="AD231" s="78" t="s">
        <v>1348</v>
      </c>
      <c r="AE231" s="37" t="s">
        <v>140</v>
      </c>
      <c r="AF231" s="37">
        <v>13139</v>
      </c>
      <c r="AG231" s="37" t="s">
        <v>141</v>
      </c>
      <c r="AH231" s="37" t="b">
        <v>1</v>
      </c>
      <c r="AI231" s="76" t="s">
        <v>127</v>
      </c>
      <c r="AJ231" s="77" t="s">
        <v>142</v>
      </c>
      <c r="AK231" s="37" t="s">
        <v>127</v>
      </c>
      <c r="AL231" s="37" t="s">
        <v>127</v>
      </c>
      <c r="AM231" s="37" t="b">
        <v>0</v>
      </c>
      <c r="AN231" s="37" t="s">
        <v>127</v>
      </c>
      <c r="AO231" s="37" t="s">
        <v>127</v>
      </c>
      <c r="AP231" s="37" t="s">
        <v>137</v>
      </c>
      <c r="AQ231" s="37" t="b">
        <v>0</v>
      </c>
      <c r="AR231" s="37" t="s">
        <v>127</v>
      </c>
      <c r="AS231" s="76" t="s">
        <v>137</v>
      </c>
      <c r="AT231" s="37" t="s">
        <v>127</v>
      </c>
      <c r="AU231" s="37" t="s">
        <v>127</v>
      </c>
      <c r="AV231" s="37" t="s">
        <v>137</v>
      </c>
      <c r="AW231" s="37" t="s">
        <v>137</v>
      </c>
      <c r="AX231" s="37" t="s">
        <v>127</v>
      </c>
      <c r="AY231" s="76" t="s">
        <v>127</v>
      </c>
      <c r="AZ231" s="77" t="s">
        <v>127</v>
      </c>
      <c r="BA231" s="37" t="s">
        <v>127</v>
      </c>
      <c r="BB231" s="37" t="s">
        <v>143</v>
      </c>
      <c r="BC231" s="77" t="s">
        <v>127</v>
      </c>
      <c r="BD231" s="76" t="s">
        <v>127</v>
      </c>
      <c r="BE231" s="37" t="s">
        <v>127</v>
      </c>
      <c r="BF231" s="80" t="s">
        <v>127</v>
      </c>
      <c r="BG231" s="39" t="s">
        <v>127</v>
      </c>
      <c r="BH231" s="37" t="s">
        <v>127</v>
      </c>
      <c r="BI231" s="40" t="b">
        <v>1</v>
      </c>
      <c r="BJ231" s="40" t="s">
        <v>137</v>
      </c>
      <c r="BK231" s="37" t="s">
        <v>127</v>
      </c>
      <c r="BL231" s="41">
        <v>32508.949037533188</v>
      </c>
      <c r="BM231" s="49">
        <v>3797.3022700000001</v>
      </c>
      <c r="BN231" s="49">
        <v>4163.5230600000014</v>
      </c>
      <c r="BO231" s="49">
        <v>5194.7858499999993</v>
      </c>
      <c r="BP231" s="49">
        <v>2671.12273</v>
      </c>
      <c r="BQ231" s="50">
        <v>2323.3222900000001</v>
      </c>
      <c r="BR231" s="50">
        <v>1755.4876145750318</v>
      </c>
      <c r="BS231" s="50">
        <v>1310.8507429581398</v>
      </c>
      <c r="BT231" s="50">
        <v>0</v>
      </c>
      <c r="BU231" s="50">
        <v>0</v>
      </c>
      <c r="BV231" s="50">
        <v>0</v>
      </c>
      <c r="BW231" s="50">
        <v>9169.9274800000003</v>
      </c>
      <c r="BX231" s="37" t="s">
        <v>127</v>
      </c>
      <c r="BY231" s="37" t="s">
        <v>127</v>
      </c>
      <c r="BZ231" s="37" t="s">
        <v>155</v>
      </c>
      <c r="CA231" s="41">
        <v>7006.1574299999993</v>
      </c>
      <c r="CB231" s="41">
        <v>3479.4567900000006</v>
      </c>
      <c r="CC231" s="41">
        <v>3687.4675499999994</v>
      </c>
      <c r="CD231" s="41">
        <v>1351.3365200000003</v>
      </c>
      <c r="CE231" s="41">
        <v>917.72602000000006</v>
      </c>
      <c r="CF231" s="41">
        <v>11116.82819457503</v>
      </c>
      <c r="CG231" s="45">
        <v>0</v>
      </c>
      <c r="CH231" s="45" t="s">
        <v>137</v>
      </c>
      <c r="CI231" s="37" t="s">
        <v>127</v>
      </c>
      <c r="CJ231" s="77" t="s">
        <v>127</v>
      </c>
      <c r="CK231" s="98">
        <v>0.18140000000000001</v>
      </c>
      <c r="CL231" s="98">
        <v>0.81859999999999999</v>
      </c>
      <c r="CM231" s="100" t="s">
        <v>386</v>
      </c>
    </row>
    <row r="232" spans="1:91" ht="12.75" customHeight="1" x14ac:dyDescent="0.3">
      <c r="A232" s="37">
        <v>230</v>
      </c>
      <c r="B232" s="37" t="s">
        <v>1349</v>
      </c>
      <c r="C232" s="124"/>
      <c r="D232" s="124"/>
      <c r="E232" s="37" t="s">
        <v>258</v>
      </c>
      <c r="F232" s="36" t="s">
        <v>1350</v>
      </c>
      <c r="G232" s="75" t="s">
        <v>148</v>
      </c>
      <c r="H232" s="37" t="s">
        <v>131</v>
      </c>
      <c r="I232" s="37" t="s">
        <v>127</v>
      </c>
      <c r="J232" s="37" t="s">
        <v>127</v>
      </c>
      <c r="K232" s="37" t="s">
        <v>132</v>
      </c>
      <c r="L232" s="75" t="s">
        <v>149</v>
      </c>
      <c r="M232" s="37" t="s">
        <v>127</v>
      </c>
      <c r="N232" s="37" t="s">
        <v>127</v>
      </c>
      <c r="O232" s="76">
        <v>45198</v>
      </c>
      <c r="P232" s="37" t="s">
        <v>1351</v>
      </c>
      <c r="Q232" s="37" t="s">
        <v>239</v>
      </c>
      <c r="R232" s="37" t="s">
        <v>271</v>
      </c>
      <c r="S232" s="37" t="s">
        <v>127</v>
      </c>
      <c r="T232" s="37" t="s">
        <v>127</v>
      </c>
      <c r="U232" s="37" t="s">
        <v>136</v>
      </c>
      <c r="V232" s="37" t="b">
        <v>0</v>
      </c>
      <c r="W232" s="77" t="s">
        <v>127</v>
      </c>
      <c r="X232" s="123"/>
      <c r="Y232" s="83">
        <v>0.120462</v>
      </c>
      <c r="Z232" s="37" t="s">
        <v>137</v>
      </c>
      <c r="AA232" s="37">
        <v>69</v>
      </c>
      <c r="AB232" s="37" t="s">
        <v>612</v>
      </c>
      <c r="AC232" s="78">
        <v>4.0999999999999996</v>
      </c>
      <c r="AD232" s="78">
        <v>5987159</v>
      </c>
      <c r="AE232" s="37" t="s">
        <v>1352</v>
      </c>
      <c r="AF232" s="37">
        <v>13242</v>
      </c>
      <c r="AG232" s="37" t="s">
        <v>141</v>
      </c>
      <c r="AH232" s="37" t="b">
        <v>1</v>
      </c>
      <c r="AI232" s="76">
        <v>42248</v>
      </c>
      <c r="AJ232" s="77" t="s">
        <v>142</v>
      </c>
      <c r="AK232" s="37">
        <v>2015</v>
      </c>
      <c r="AL232" s="37" t="s">
        <v>127</v>
      </c>
      <c r="AM232" s="37" t="b">
        <v>0</v>
      </c>
      <c r="AN232" s="37" t="s">
        <v>127</v>
      </c>
      <c r="AO232" s="37" t="s">
        <v>127</v>
      </c>
      <c r="AP232" s="37" t="s">
        <v>137</v>
      </c>
      <c r="AQ232" s="37" t="b">
        <v>0</v>
      </c>
      <c r="AR232" s="37" t="s">
        <v>127</v>
      </c>
      <c r="AS232" s="76" t="s">
        <v>137</v>
      </c>
      <c r="AT232" s="37" t="s">
        <v>127</v>
      </c>
      <c r="AU232" s="37" t="s">
        <v>127</v>
      </c>
      <c r="AV232" s="37" t="s">
        <v>137</v>
      </c>
      <c r="AW232" s="37" t="s">
        <v>137</v>
      </c>
      <c r="AX232" s="37" t="s">
        <v>161</v>
      </c>
      <c r="AY232" s="37" t="s">
        <v>127</v>
      </c>
      <c r="AZ232" s="37" t="s">
        <v>127</v>
      </c>
      <c r="BA232" s="37" t="s">
        <v>127</v>
      </c>
      <c r="BB232" s="37" t="s">
        <v>143</v>
      </c>
      <c r="BC232" s="77" t="s">
        <v>127</v>
      </c>
      <c r="BD232" s="76" t="s">
        <v>1353</v>
      </c>
      <c r="BE232" s="37" t="s">
        <v>127</v>
      </c>
      <c r="BF232" s="86" t="s">
        <v>1354</v>
      </c>
      <c r="BG232" s="39" t="s">
        <v>127</v>
      </c>
      <c r="BH232" s="37" t="s">
        <v>127</v>
      </c>
      <c r="BI232" s="40" t="b">
        <v>0</v>
      </c>
      <c r="BJ232" s="40" t="s">
        <v>137</v>
      </c>
      <c r="BK232" s="37" t="s">
        <v>127</v>
      </c>
      <c r="BL232" s="41">
        <v>20998.230632912007</v>
      </c>
      <c r="BM232" s="49">
        <v>1816.5895532239997</v>
      </c>
      <c r="BN232" s="49">
        <v>217.43849365000005</v>
      </c>
      <c r="BO232" s="49">
        <v>14.860758673000003</v>
      </c>
      <c r="BP232" s="49">
        <v>0</v>
      </c>
      <c r="BQ232" s="50">
        <v>0</v>
      </c>
      <c r="BR232" s="50">
        <v>0</v>
      </c>
      <c r="BS232" s="50">
        <v>0</v>
      </c>
      <c r="BT232" s="50">
        <v>0</v>
      </c>
      <c r="BU232" s="50">
        <v>0</v>
      </c>
      <c r="BV232" s="50">
        <v>0</v>
      </c>
      <c r="BW232" s="50">
        <v>0</v>
      </c>
      <c r="BX232" s="37" t="s">
        <v>127</v>
      </c>
      <c r="BY232" s="37" t="s">
        <v>127</v>
      </c>
      <c r="BZ232" s="37" t="s">
        <v>207</v>
      </c>
      <c r="CA232" s="41">
        <v>215.47310999999954</v>
      </c>
      <c r="CB232" s="41">
        <v>14.844520000000005</v>
      </c>
      <c r="CC232" s="41">
        <v>0</v>
      </c>
      <c r="CD232" s="41">
        <v>0</v>
      </c>
      <c r="CE232" s="41">
        <v>0</v>
      </c>
      <c r="CF232" s="41">
        <v>0</v>
      </c>
      <c r="CG232" s="45">
        <v>0</v>
      </c>
      <c r="CH232" s="45" t="s">
        <v>137</v>
      </c>
      <c r="CI232" s="37" t="s">
        <v>127</v>
      </c>
      <c r="CJ232" s="77" t="s">
        <v>127</v>
      </c>
      <c r="CK232" s="98">
        <v>0</v>
      </c>
      <c r="CL232" s="98">
        <v>1</v>
      </c>
      <c r="CM232" s="100" t="s">
        <v>1355</v>
      </c>
    </row>
    <row r="233" spans="1:91" ht="12.75" customHeight="1" x14ac:dyDescent="0.3">
      <c r="A233" s="37">
        <v>231</v>
      </c>
      <c r="B233" s="37" t="s">
        <v>1356</v>
      </c>
      <c r="C233" s="124"/>
      <c r="D233" s="124"/>
      <c r="E233" s="37" t="s">
        <v>258</v>
      </c>
      <c r="F233" s="36" t="s">
        <v>1357</v>
      </c>
      <c r="G233" s="75" t="s">
        <v>615</v>
      </c>
      <c r="H233" s="37" t="s">
        <v>131</v>
      </c>
      <c r="I233" s="37" t="s">
        <v>227</v>
      </c>
      <c r="J233" s="37" t="s">
        <v>127</v>
      </c>
      <c r="K233" s="37" t="s">
        <v>132</v>
      </c>
      <c r="L233" s="75" t="s">
        <v>282</v>
      </c>
      <c r="M233" s="37" t="s">
        <v>127</v>
      </c>
      <c r="N233" s="37" t="s">
        <v>127</v>
      </c>
      <c r="O233" s="76">
        <v>45215</v>
      </c>
      <c r="P233" s="37" t="s">
        <v>1358</v>
      </c>
      <c r="Q233" s="37" t="s">
        <v>168</v>
      </c>
      <c r="R233" s="37" t="s">
        <v>127</v>
      </c>
      <c r="S233" s="37" t="s">
        <v>127</v>
      </c>
      <c r="T233" s="37" t="s">
        <v>127</v>
      </c>
      <c r="U233" s="37" t="s">
        <v>136</v>
      </c>
      <c r="V233" s="37" t="b">
        <v>0</v>
      </c>
      <c r="W233" s="77" t="s">
        <v>127</v>
      </c>
      <c r="X233" s="123"/>
      <c r="Y233" s="37" t="s">
        <v>137</v>
      </c>
      <c r="Z233" s="83">
        <v>0.38815699999999997</v>
      </c>
      <c r="AA233" s="37">
        <v>69</v>
      </c>
      <c r="AB233" s="37" t="s">
        <v>1359</v>
      </c>
      <c r="AC233" s="78">
        <v>4.2</v>
      </c>
      <c r="AD233" s="78" t="s">
        <v>1360</v>
      </c>
      <c r="AE233" s="37" t="s">
        <v>1361</v>
      </c>
      <c r="AF233" s="37">
        <v>13244</v>
      </c>
      <c r="AG233" s="37" t="s">
        <v>141</v>
      </c>
      <c r="AH233" s="37" t="b">
        <v>1</v>
      </c>
      <c r="AI233" s="76">
        <v>44348</v>
      </c>
      <c r="AJ233" s="77" t="s">
        <v>142</v>
      </c>
      <c r="AK233" s="37">
        <v>2015</v>
      </c>
      <c r="AL233" s="37" t="s">
        <v>127</v>
      </c>
      <c r="AM233" s="37" t="b">
        <v>0</v>
      </c>
      <c r="AN233" s="37" t="s">
        <v>127</v>
      </c>
      <c r="AO233" s="37" t="s">
        <v>127</v>
      </c>
      <c r="AP233" s="37" t="s">
        <v>137</v>
      </c>
      <c r="AQ233" s="37" t="b">
        <v>0</v>
      </c>
      <c r="AR233" s="37" t="s">
        <v>127</v>
      </c>
      <c r="AS233" s="76" t="s">
        <v>137</v>
      </c>
      <c r="AT233" s="37" t="s">
        <v>389</v>
      </c>
      <c r="AU233" s="37" t="s">
        <v>390</v>
      </c>
      <c r="AV233" s="37" t="s">
        <v>933</v>
      </c>
      <c r="AW233" s="37" t="s">
        <v>137</v>
      </c>
      <c r="AX233" s="37" t="s">
        <v>161</v>
      </c>
      <c r="AY233" s="37" t="s">
        <v>559</v>
      </c>
      <c r="AZ233" s="37" t="s">
        <v>973</v>
      </c>
      <c r="BA233" s="37">
        <v>2020</v>
      </c>
      <c r="BB233" s="37" t="s">
        <v>758</v>
      </c>
      <c r="BC233" s="77" t="s">
        <v>127</v>
      </c>
      <c r="BD233" s="76" t="s">
        <v>1362</v>
      </c>
      <c r="BE233" s="76">
        <v>46217</v>
      </c>
      <c r="BF233" s="86" t="s">
        <v>1363</v>
      </c>
      <c r="BG233" s="39" t="s">
        <v>127</v>
      </c>
      <c r="BH233" s="37" t="s">
        <v>127</v>
      </c>
      <c r="BI233" s="40" t="b">
        <v>0</v>
      </c>
      <c r="BJ233" s="40">
        <v>543</v>
      </c>
      <c r="BK233" s="37" t="s">
        <v>127</v>
      </c>
      <c r="BL233" s="41">
        <v>48819.393116886349</v>
      </c>
      <c r="BM233" s="49">
        <v>4236.5911500000002</v>
      </c>
      <c r="BN233" s="49">
        <v>1552.0545099999999</v>
      </c>
      <c r="BO233" s="49">
        <v>761.44167801000037</v>
      </c>
      <c r="BP233" s="49">
        <v>3181.6007621920007</v>
      </c>
      <c r="BQ233" s="50">
        <v>2184.3821636049997</v>
      </c>
      <c r="BR233" s="50">
        <v>15430.050359548401</v>
      </c>
      <c r="BS233" s="50">
        <v>10735.366762688049</v>
      </c>
      <c r="BT233" s="50">
        <v>8879.3923973061301</v>
      </c>
      <c r="BU233" s="50">
        <v>738.31535126430947</v>
      </c>
      <c r="BV233" s="50">
        <v>0</v>
      </c>
      <c r="BW233" s="50">
        <v>11315.229579999999</v>
      </c>
      <c r="BX233" s="37" t="s">
        <v>127</v>
      </c>
      <c r="BY233" s="37" t="s">
        <v>127</v>
      </c>
      <c r="BZ233" s="37" t="s">
        <v>483</v>
      </c>
      <c r="CA233" s="41">
        <v>0</v>
      </c>
      <c r="CB233" s="41">
        <v>3622.81</v>
      </c>
      <c r="CC233" s="41">
        <v>299.66370000000001</v>
      </c>
      <c r="CD233" s="41">
        <v>33.772300000000008</v>
      </c>
      <c r="CE233" s="41">
        <v>0</v>
      </c>
      <c r="CF233" s="41">
        <v>0</v>
      </c>
      <c r="CG233" s="45">
        <v>0</v>
      </c>
      <c r="CH233" s="45" t="s">
        <v>137</v>
      </c>
      <c r="CI233" s="37" t="s">
        <v>127</v>
      </c>
      <c r="CJ233" s="77" t="s">
        <v>127</v>
      </c>
      <c r="CK233" s="98">
        <v>0</v>
      </c>
      <c r="CL233" s="98">
        <v>1</v>
      </c>
      <c r="CM233" s="100" t="s">
        <v>189</v>
      </c>
    </row>
    <row r="234" spans="1:91" ht="12.75" customHeight="1" x14ac:dyDescent="0.3">
      <c r="A234" s="37">
        <v>232</v>
      </c>
      <c r="B234" s="37" t="s">
        <v>1364</v>
      </c>
      <c r="C234" s="124"/>
      <c r="D234" s="124"/>
      <c r="E234" s="37" t="s">
        <v>246</v>
      </c>
      <c r="F234" s="36" t="s">
        <v>1365</v>
      </c>
      <c r="G234" s="75" t="s">
        <v>1366</v>
      </c>
      <c r="H234" s="37" t="s">
        <v>127</v>
      </c>
      <c r="I234" s="37" t="s">
        <v>127</v>
      </c>
      <c r="J234" s="37" t="s">
        <v>127</v>
      </c>
      <c r="K234" s="37" t="s">
        <v>1234</v>
      </c>
      <c r="L234" s="75" t="s">
        <v>1367</v>
      </c>
      <c r="M234" s="37" t="s">
        <v>1049</v>
      </c>
      <c r="N234" s="37" t="s">
        <v>127</v>
      </c>
      <c r="O234" s="76">
        <v>45206.541666666657</v>
      </c>
      <c r="P234" s="37" t="s">
        <v>135</v>
      </c>
      <c r="Q234" s="37" t="s">
        <v>1050</v>
      </c>
      <c r="R234" s="37" t="s">
        <v>1368</v>
      </c>
      <c r="S234" s="37" t="s">
        <v>127</v>
      </c>
      <c r="T234" s="37" t="s">
        <v>248</v>
      </c>
      <c r="U234" s="37" t="s">
        <v>136</v>
      </c>
      <c r="V234" s="37" t="b">
        <v>0</v>
      </c>
      <c r="W234" s="77" t="s">
        <v>127</v>
      </c>
      <c r="X234" s="123"/>
      <c r="Y234" s="37" t="s">
        <v>137</v>
      </c>
      <c r="Z234" s="83">
        <v>40.941184999999997</v>
      </c>
      <c r="AA234" s="37">
        <v>230</v>
      </c>
      <c r="AB234" s="37" t="s">
        <v>1369</v>
      </c>
      <c r="AC234" s="78">
        <v>2.1</v>
      </c>
      <c r="AD234" s="78">
        <v>5981321</v>
      </c>
      <c r="AE234" s="37" t="s">
        <v>1370</v>
      </c>
      <c r="AF234" s="37">
        <v>14126</v>
      </c>
      <c r="AG234" s="37" t="s">
        <v>141</v>
      </c>
      <c r="AH234" s="37" t="b">
        <v>0</v>
      </c>
      <c r="AI234" s="76">
        <v>44380</v>
      </c>
      <c r="AJ234" s="77" t="s">
        <v>142</v>
      </c>
      <c r="AK234" s="37">
        <v>2015</v>
      </c>
      <c r="AL234" s="37">
        <v>2014</v>
      </c>
      <c r="AM234" s="37" t="b">
        <v>1</v>
      </c>
      <c r="AN234" s="37">
        <v>2014</v>
      </c>
      <c r="AO234" s="37" t="s">
        <v>127</v>
      </c>
      <c r="AP234" s="37" t="s">
        <v>1179</v>
      </c>
      <c r="AQ234" s="37" t="b">
        <v>0</v>
      </c>
      <c r="AR234" s="37" t="s">
        <v>127</v>
      </c>
      <c r="AS234" s="76" t="s">
        <v>137</v>
      </c>
      <c r="AT234" s="37" t="s">
        <v>127</v>
      </c>
      <c r="AU234" s="37" t="s">
        <v>127</v>
      </c>
      <c r="AV234" s="37" t="s">
        <v>137</v>
      </c>
      <c r="AW234" s="37" t="s">
        <v>137</v>
      </c>
      <c r="AX234" s="37" t="s">
        <v>1131</v>
      </c>
      <c r="AY234" s="37" t="s">
        <v>1371</v>
      </c>
      <c r="AZ234" s="37" t="s">
        <v>973</v>
      </c>
      <c r="BA234" s="37">
        <v>2018</v>
      </c>
      <c r="BB234" s="37" t="s">
        <v>143</v>
      </c>
      <c r="BC234" s="77" t="s">
        <v>127</v>
      </c>
      <c r="BD234" s="76" t="s">
        <v>1372</v>
      </c>
      <c r="BE234" s="76">
        <v>2017</v>
      </c>
      <c r="BF234" s="86" t="s">
        <v>1373</v>
      </c>
      <c r="BG234" s="39" t="s">
        <v>219</v>
      </c>
      <c r="BH234" s="37" t="s">
        <v>1160</v>
      </c>
      <c r="BI234" s="40" t="b">
        <v>1</v>
      </c>
      <c r="BJ234" s="40">
        <v>798</v>
      </c>
      <c r="BK234" s="37" t="s">
        <v>127</v>
      </c>
      <c r="BL234" s="41">
        <v>3718.5084723250011</v>
      </c>
      <c r="BM234" s="49">
        <v>3032.0824883980008</v>
      </c>
      <c r="BN234" s="49">
        <v>497.49852429499992</v>
      </c>
      <c r="BO234" s="49">
        <v>28.923668180999996</v>
      </c>
      <c r="BP234" s="49">
        <v>0</v>
      </c>
      <c r="BQ234" s="50">
        <v>0</v>
      </c>
      <c r="BR234" s="50">
        <v>-2.9133100000000005</v>
      </c>
      <c r="BS234" s="50">
        <v>0</v>
      </c>
      <c r="BT234" s="50">
        <v>0</v>
      </c>
      <c r="BU234" s="50">
        <v>0</v>
      </c>
      <c r="BV234" s="50">
        <v>0</v>
      </c>
      <c r="BW234" s="50">
        <v>0</v>
      </c>
      <c r="BX234" s="37" t="s">
        <v>127</v>
      </c>
      <c r="BY234" s="37" t="s">
        <v>127</v>
      </c>
      <c r="BZ234" s="37" t="s">
        <v>1374</v>
      </c>
      <c r="CA234" s="41">
        <v>3662.4193800000003</v>
      </c>
      <c r="CB234" s="41">
        <v>28.919340000000002</v>
      </c>
      <c r="CC234" s="41">
        <v>0</v>
      </c>
      <c r="CD234" s="41">
        <v>0</v>
      </c>
      <c r="CE234" s="41">
        <v>-2.9133100000000001</v>
      </c>
      <c r="CF234" s="41">
        <v>-2.9133100000000005</v>
      </c>
      <c r="CG234" s="45">
        <v>0</v>
      </c>
      <c r="CH234" s="45" t="s">
        <v>137</v>
      </c>
      <c r="CI234" s="37" t="s">
        <v>127</v>
      </c>
      <c r="CJ234" s="77" t="s">
        <v>127</v>
      </c>
      <c r="CK234" s="98">
        <v>1</v>
      </c>
      <c r="CL234" s="98">
        <v>0</v>
      </c>
      <c r="CM234" s="100" t="s">
        <v>1375</v>
      </c>
    </row>
    <row r="235" spans="1:91" ht="12.75" customHeight="1" x14ac:dyDescent="0.3">
      <c r="A235" s="37">
        <v>233</v>
      </c>
      <c r="B235" s="37" t="s">
        <v>1376</v>
      </c>
      <c r="C235" s="124"/>
      <c r="D235" s="124"/>
      <c r="E235" s="37" t="s">
        <v>258</v>
      </c>
      <c r="F235" s="36" t="s">
        <v>1377</v>
      </c>
      <c r="G235" s="75" t="s">
        <v>148</v>
      </c>
      <c r="H235" s="37" t="s">
        <v>131</v>
      </c>
      <c r="I235" s="37" t="s">
        <v>127</v>
      </c>
      <c r="J235" s="37" t="s">
        <v>127</v>
      </c>
      <c r="K235" s="37" t="s">
        <v>132</v>
      </c>
      <c r="L235" s="75" t="s">
        <v>1121</v>
      </c>
      <c r="M235" s="37" t="s">
        <v>384</v>
      </c>
      <c r="N235" s="37" t="s">
        <v>127</v>
      </c>
      <c r="O235" s="76">
        <v>45204</v>
      </c>
      <c r="P235" s="37" t="s">
        <v>810</v>
      </c>
      <c r="Q235" s="37" t="s">
        <v>168</v>
      </c>
      <c r="R235" s="37" t="s">
        <v>1378</v>
      </c>
      <c r="S235" s="37" t="s">
        <v>127</v>
      </c>
      <c r="T235" s="37" t="s">
        <v>315</v>
      </c>
      <c r="U235" s="37" t="s">
        <v>136</v>
      </c>
      <c r="V235" s="37" t="b">
        <v>0</v>
      </c>
      <c r="W235" s="77" t="s">
        <v>127</v>
      </c>
      <c r="X235" s="123"/>
      <c r="Y235" s="37" t="s">
        <v>137</v>
      </c>
      <c r="Z235" s="83">
        <v>1.937683</v>
      </c>
      <c r="AA235" s="37">
        <v>230</v>
      </c>
      <c r="AB235" s="37" t="s">
        <v>1379</v>
      </c>
      <c r="AC235" s="78">
        <v>2.1</v>
      </c>
      <c r="AD235" s="78" t="s">
        <v>1380</v>
      </c>
      <c r="AE235" s="37" t="s">
        <v>1381</v>
      </c>
      <c r="AF235" s="37">
        <v>14128</v>
      </c>
      <c r="AG235" s="37" t="s">
        <v>141</v>
      </c>
      <c r="AH235" s="37" t="b">
        <v>0</v>
      </c>
      <c r="AI235" s="76">
        <v>41456</v>
      </c>
      <c r="AJ235" s="77" t="s">
        <v>142</v>
      </c>
      <c r="AK235" s="37">
        <v>2015</v>
      </c>
      <c r="AL235" s="37">
        <v>2014</v>
      </c>
      <c r="AM235" s="37" t="b">
        <v>0</v>
      </c>
      <c r="AN235" s="37">
        <v>2014</v>
      </c>
      <c r="AO235" s="37" t="s">
        <v>127</v>
      </c>
      <c r="AP235" s="37" t="s">
        <v>1179</v>
      </c>
      <c r="AQ235" s="37" t="b">
        <v>0</v>
      </c>
      <c r="AR235" s="37" t="s">
        <v>1110</v>
      </c>
      <c r="AS235" s="76">
        <v>43546</v>
      </c>
      <c r="AT235" s="37" t="s">
        <v>1111</v>
      </c>
      <c r="AU235" s="37" t="s">
        <v>127</v>
      </c>
      <c r="AV235" s="37" t="s">
        <v>933</v>
      </c>
      <c r="AW235" s="37" t="s">
        <v>137</v>
      </c>
      <c r="AX235" s="37" t="s">
        <v>1112</v>
      </c>
      <c r="AY235" s="37" t="s">
        <v>1382</v>
      </c>
      <c r="AZ235" s="37" t="s">
        <v>973</v>
      </c>
      <c r="BA235" s="37">
        <v>2020</v>
      </c>
      <c r="BB235" s="37" t="s">
        <v>143</v>
      </c>
      <c r="BC235" s="77" t="s">
        <v>127</v>
      </c>
      <c r="BD235" s="76" t="s">
        <v>1383</v>
      </c>
      <c r="BE235" s="76">
        <v>42522</v>
      </c>
      <c r="BF235" s="86" t="s">
        <v>1384</v>
      </c>
      <c r="BG235" s="39" t="s">
        <v>219</v>
      </c>
      <c r="BH235" s="37" t="s">
        <v>553</v>
      </c>
      <c r="BI235" s="40" t="b">
        <v>1</v>
      </c>
      <c r="BJ235" s="40">
        <v>17140</v>
      </c>
      <c r="BK235" s="37" t="s">
        <v>127</v>
      </c>
      <c r="BL235" s="41">
        <v>133660.03425136552</v>
      </c>
      <c r="BM235" s="49">
        <v>16690.353103618003</v>
      </c>
      <c r="BN235" s="49">
        <v>42977.414889450025</v>
      </c>
      <c r="BO235" s="49">
        <v>33612.697347282992</v>
      </c>
      <c r="BP235" s="49">
        <v>20661.891798104007</v>
      </c>
      <c r="BQ235" s="50">
        <v>1731.9889530420003</v>
      </c>
      <c r="BR235" s="50">
        <v>1446.1091736325</v>
      </c>
      <c r="BS235" s="50">
        <v>0</v>
      </c>
      <c r="BT235" s="50">
        <v>0</v>
      </c>
      <c r="BU235" s="50">
        <v>0</v>
      </c>
      <c r="BV235" s="50">
        <v>0</v>
      </c>
      <c r="BW235" s="50">
        <v>0</v>
      </c>
      <c r="BX235" s="37" t="s">
        <v>127</v>
      </c>
      <c r="BY235" s="37" t="s">
        <v>127</v>
      </c>
      <c r="BZ235" s="37" t="s">
        <v>479</v>
      </c>
      <c r="CA235" s="41">
        <v>0</v>
      </c>
      <c r="CB235" s="41">
        <v>50195.602389999993</v>
      </c>
      <c r="CC235" s="41">
        <v>74458.193539999993</v>
      </c>
      <c r="CD235" s="41">
        <v>1652.2634300000007</v>
      </c>
      <c r="CE235" s="41">
        <v>400.7308799999999</v>
      </c>
      <c r="CF235" s="41">
        <v>1437.0740036325001</v>
      </c>
      <c r="CG235" s="45">
        <v>0</v>
      </c>
      <c r="CH235" s="45" t="s">
        <v>137</v>
      </c>
      <c r="CI235" s="37" t="s">
        <v>127</v>
      </c>
      <c r="CJ235" s="77" t="s">
        <v>127</v>
      </c>
      <c r="CK235" s="98">
        <v>1</v>
      </c>
      <c r="CL235" s="98">
        <v>0</v>
      </c>
      <c r="CM235" s="100" t="s">
        <v>189</v>
      </c>
    </row>
    <row r="236" spans="1:91" ht="12.75" customHeight="1" x14ac:dyDescent="0.3">
      <c r="A236" s="37">
        <v>234</v>
      </c>
      <c r="B236" s="37" t="s">
        <v>1385</v>
      </c>
      <c r="C236" s="124"/>
      <c r="D236" s="124"/>
      <c r="E236" s="37" t="s">
        <v>1386</v>
      </c>
      <c r="F236" s="36" t="s">
        <v>1387</v>
      </c>
      <c r="G236" s="75" t="s">
        <v>129</v>
      </c>
      <c r="H236" s="37" t="s">
        <v>227</v>
      </c>
      <c r="I236" s="37" t="s">
        <v>127</v>
      </c>
      <c r="J236" s="37" t="s">
        <v>127</v>
      </c>
      <c r="K236" s="37" t="s">
        <v>1106</v>
      </c>
      <c r="L236" s="75" t="s">
        <v>1311</v>
      </c>
      <c r="M236" s="37" t="s">
        <v>384</v>
      </c>
      <c r="N236" s="37" t="s">
        <v>127</v>
      </c>
      <c r="O236" s="76" t="s">
        <v>135</v>
      </c>
      <c r="P236" s="37" t="s">
        <v>135</v>
      </c>
      <c r="Q236" s="37" t="s">
        <v>168</v>
      </c>
      <c r="R236" s="37" t="s">
        <v>1312</v>
      </c>
      <c r="S236" s="37" t="s">
        <v>127</v>
      </c>
      <c r="T236" s="37" t="s">
        <v>315</v>
      </c>
      <c r="U236" s="37" t="s">
        <v>947</v>
      </c>
      <c r="V236" s="37" t="b">
        <v>0</v>
      </c>
      <c r="W236" s="77" t="s">
        <v>127</v>
      </c>
      <c r="X236" s="123"/>
      <c r="Y236" s="83">
        <v>11.903558</v>
      </c>
      <c r="Z236" s="37" t="s">
        <v>137</v>
      </c>
      <c r="AA236" s="37">
        <v>69</v>
      </c>
      <c r="AB236" s="37" t="s">
        <v>306</v>
      </c>
      <c r="AC236" s="78">
        <v>2.1</v>
      </c>
      <c r="AD236" s="78">
        <v>2986471</v>
      </c>
      <c r="AE236" s="37" t="s">
        <v>1388</v>
      </c>
      <c r="AF236" s="37">
        <v>14137</v>
      </c>
      <c r="AG236" s="37" t="s">
        <v>141</v>
      </c>
      <c r="AH236" s="37" t="b">
        <v>0</v>
      </c>
      <c r="AI236" s="76">
        <v>44804</v>
      </c>
      <c r="AJ236" s="77" t="s">
        <v>142</v>
      </c>
      <c r="AK236" s="37">
        <v>2015</v>
      </c>
      <c r="AL236" s="37">
        <v>2014</v>
      </c>
      <c r="AM236" s="37" t="b">
        <v>0</v>
      </c>
      <c r="AN236" s="37">
        <v>2014</v>
      </c>
      <c r="AO236" s="37" t="s">
        <v>127</v>
      </c>
      <c r="AP236" s="37" t="s">
        <v>1179</v>
      </c>
      <c r="AQ236" s="37" t="b">
        <v>0</v>
      </c>
      <c r="AR236" s="37" t="s">
        <v>1389</v>
      </c>
      <c r="AS236" s="76">
        <v>43175</v>
      </c>
      <c r="AT236" s="37" t="s">
        <v>1111</v>
      </c>
      <c r="AU236" s="37" t="s">
        <v>127</v>
      </c>
      <c r="AV236" s="37" t="s">
        <v>933</v>
      </c>
      <c r="AW236" s="37" t="s">
        <v>137</v>
      </c>
      <c r="AX236" s="37" t="s">
        <v>1112</v>
      </c>
      <c r="AY236" s="37" t="s">
        <v>1267</v>
      </c>
      <c r="AZ236" s="37" t="s">
        <v>973</v>
      </c>
      <c r="BA236" s="37">
        <v>2021</v>
      </c>
      <c r="BB236" s="37" t="s">
        <v>143</v>
      </c>
      <c r="BC236" s="77" t="s">
        <v>127</v>
      </c>
      <c r="BD236" s="76" t="s">
        <v>1390</v>
      </c>
      <c r="BE236" s="76">
        <v>42156</v>
      </c>
      <c r="BF236" s="86" t="s">
        <v>1391</v>
      </c>
      <c r="BG236" s="39" t="s">
        <v>219</v>
      </c>
      <c r="BH236" s="37" t="s">
        <v>1160</v>
      </c>
      <c r="BI236" s="40" t="b">
        <v>1</v>
      </c>
      <c r="BJ236" s="40" t="s">
        <v>1392</v>
      </c>
      <c r="BK236" s="37" t="s">
        <v>127</v>
      </c>
      <c r="BL236" s="41">
        <v>54389.623223392977</v>
      </c>
      <c r="BM236" s="49">
        <v>1611.4986799999999</v>
      </c>
      <c r="BN236" s="49">
        <v>1881.0011900000002</v>
      </c>
      <c r="BO236" s="49">
        <v>9467.561691030005</v>
      </c>
      <c r="BP236" s="49">
        <v>33957.161172014981</v>
      </c>
      <c r="BQ236" s="50">
        <v>2936.3289790449994</v>
      </c>
      <c r="BR236" s="50">
        <v>1506.2118413030003</v>
      </c>
      <c r="BS236" s="50">
        <v>0</v>
      </c>
      <c r="BT236" s="50">
        <v>0</v>
      </c>
      <c r="BU236" s="50">
        <v>0</v>
      </c>
      <c r="BV236" s="50">
        <v>0</v>
      </c>
      <c r="BW236" s="50">
        <v>0</v>
      </c>
      <c r="BX236" s="37" t="s">
        <v>127</v>
      </c>
      <c r="BY236" s="37" t="s">
        <v>127</v>
      </c>
      <c r="BZ236" s="37" t="s">
        <v>479</v>
      </c>
      <c r="CA236" s="41">
        <v>0</v>
      </c>
      <c r="CB236" s="41">
        <v>529.16591000000005</v>
      </c>
      <c r="CC236" s="41">
        <v>332.09146999999996</v>
      </c>
      <c r="CD236" s="41">
        <v>49594.147029999993</v>
      </c>
      <c r="CE236" s="41">
        <v>1584.2208000000005</v>
      </c>
      <c r="CF236" s="41">
        <v>1380.5970807105002</v>
      </c>
      <c r="CG236" s="45">
        <v>0</v>
      </c>
      <c r="CH236" s="45" t="s">
        <v>137</v>
      </c>
      <c r="CI236" s="37" t="s">
        <v>127</v>
      </c>
      <c r="CJ236" s="77" t="s">
        <v>127</v>
      </c>
      <c r="CK236" s="98">
        <v>0</v>
      </c>
      <c r="CL236" s="98">
        <v>1</v>
      </c>
      <c r="CM236" s="100" t="s">
        <v>1393</v>
      </c>
    </row>
    <row r="237" spans="1:91" ht="12.75" customHeight="1" x14ac:dyDescent="0.3">
      <c r="A237" s="37">
        <v>235</v>
      </c>
      <c r="B237" s="37" t="s">
        <v>1394</v>
      </c>
      <c r="C237" s="124"/>
      <c r="D237" s="124"/>
      <c r="E237" s="37" t="s">
        <v>1395</v>
      </c>
      <c r="F237" s="36" t="s">
        <v>1396</v>
      </c>
      <c r="G237" s="75" t="s">
        <v>513</v>
      </c>
      <c r="H237" s="37" t="s">
        <v>131</v>
      </c>
      <c r="I237" s="37" t="s">
        <v>127</v>
      </c>
      <c r="J237" s="37" t="s">
        <v>127</v>
      </c>
      <c r="K237" s="37" t="s">
        <v>609</v>
      </c>
      <c r="L237" s="75" t="s">
        <v>133</v>
      </c>
      <c r="M237" s="37" t="s">
        <v>127</v>
      </c>
      <c r="N237" s="37" t="s">
        <v>127</v>
      </c>
      <c r="O237" s="76">
        <v>44901</v>
      </c>
      <c r="P237" s="37">
        <v>49</v>
      </c>
      <c r="Q237" s="37" t="s">
        <v>127</v>
      </c>
      <c r="R237" s="37" t="s">
        <v>127</v>
      </c>
      <c r="S237" s="37" t="s">
        <v>127</v>
      </c>
      <c r="T237" s="37" t="s">
        <v>315</v>
      </c>
      <c r="U237" s="37" t="s">
        <v>947</v>
      </c>
      <c r="V237" s="37" t="b">
        <v>0</v>
      </c>
      <c r="W237" s="77" t="s">
        <v>127</v>
      </c>
      <c r="X237" s="123"/>
      <c r="Y237" s="83">
        <v>4.293774</v>
      </c>
      <c r="Z237" s="37" t="s">
        <v>137</v>
      </c>
      <c r="AA237" s="37">
        <v>69</v>
      </c>
      <c r="AB237" s="37" t="s">
        <v>127</v>
      </c>
      <c r="AC237" s="78">
        <v>1.2</v>
      </c>
      <c r="AD237" s="78">
        <v>2271085</v>
      </c>
      <c r="AE237" s="37" t="s">
        <v>1397</v>
      </c>
      <c r="AF237" s="37">
        <v>14140</v>
      </c>
      <c r="AG237" s="37" t="s">
        <v>141</v>
      </c>
      <c r="AH237" s="37" t="b">
        <v>1</v>
      </c>
      <c r="AI237" s="76">
        <v>44439</v>
      </c>
      <c r="AJ237" s="77" t="s">
        <v>142</v>
      </c>
      <c r="AK237" s="37">
        <v>2015</v>
      </c>
      <c r="AL237" s="37" t="s">
        <v>127</v>
      </c>
      <c r="AM237" s="37" t="b">
        <v>0</v>
      </c>
      <c r="AN237" s="37" t="s">
        <v>127</v>
      </c>
      <c r="AO237" s="37" t="s">
        <v>127</v>
      </c>
      <c r="AP237" s="37" t="s">
        <v>137</v>
      </c>
      <c r="AQ237" s="37" t="b">
        <v>0</v>
      </c>
      <c r="AR237" s="37" t="s">
        <v>127</v>
      </c>
      <c r="AS237" s="76" t="s">
        <v>127</v>
      </c>
      <c r="AT237" s="37" t="s">
        <v>389</v>
      </c>
      <c r="AU237" s="37" t="s">
        <v>127</v>
      </c>
      <c r="AV237" s="37" t="s">
        <v>137</v>
      </c>
      <c r="AW237" s="37" t="s">
        <v>127</v>
      </c>
      <c r="AX237" s="37" t="s">
        <v>161</v>
      </c>
      <c r="AY237" s="37" t="s">
        <v>127</v>
      </c>
      <c r="AZ237" s="37" t="s">
        <v>127</v>
      </c>
      <c r="BA237" s="37" t="s">
        <v>127</v>
      </c>
      <c r="BB237" s="37" t="s">
        <v>758</v>
      </c>
      <c r="BC237" s="77" t="s">
        <v>127</v>
      </c>
      <c r="BD237" s="76" t="s">
        <v>1398</v>
      </c>
      <c r="BE237" s="76">
        <v>46387</v>
      </c>
      <c r="BF237" s="86" t="s">
        <v>1399</v>
      </c>
      <c r="BG237" s="39" t="s">
        <v>127</v>
      </c>
      <c r="BH237" s="37" t="s">
        <v>127</v>
      </c>
      <c r="BI237" s="40" t="b">
        <v>1</v>
      </c>
      <c r="BJ237" s="40">
        <v>431.49642999999998</v>
      </c>
      <c r="BK237" s="37" t="s">
        <v>127</v>
      </c>
      <c r="BL237" s="41">
        <v>21644.527791173161</v>
      </c>
      <c r="BM237" s="49">
        <v>289.7622094859999</v>
      </c>
      <c r="BN237" s="49">
        <v>597.62433837499964</v>
      </c>
      <c r="BO237" s="49">
        <v>663.09836412799996</v>
      </c>
      <c r="BP237" s="49">
        <v>1588.1386041550002</v>
      </c>
      <c r="BQ237" s="50">
        <v>5621.9188127339994</v>
      </c>
      <c r="BR237" s="50">
        <v>10551.445289015361</v>
      </c>
      <c r="BS237" s="50">
        <v>1406.1789612507766</v>
      </c>
      <c r="BT237" s="50">
        <v>0</v>
      </c>
      <c r="BU237" s="50">
        <v>0</v>
      </c>
      <c r="BV237" s="50">
        <v>0</v>
      </c>
      <c r="BW237" s="50">
        <v>6924.4323800000002</v>
      </c>
      <c r="BX237" s="37" t="s">
        <v>127</v>
      </c>
      <c r="BY237" s="37" t="s">
        <v>127</v>
      </c>
      <c r="BZ237" s="37" t="s">
        <v>479</v>
      </c>
      <c r="CA237" s="41">
        <v>0</v>
      </c>
      <c r="CB237" s="41">
        <v>1968.6566100000002</v>
      </c>
      <c r="CC237" s="41">
        <v>1246.6941400000001</v>
      </c>
      <c r="CD237" s="41">
        <v>3332.5802900000008</v>
      </c>
      <c r="CE237" s="41">
        <v>296.93092999999999</v>
      </c>
      <c r="CF237" s="41">
        <v>275.92219281400003</v>
      </c>
      <c r="CG237" s="45">
        <v>0</v>
      </c>
      <c r="CH237" s="45" t="s">
        <v>137</v>
      </c>
      <c r="CI237" s="37" t="s">
        <v>1400</v>
      </c>
      <c r="CJ237" s="77" t="s">
        <v>127</v>
      </c>
      <c r="CK237" s="98">
        <v>0</v>
      </c>
      <c r="CL237" s="98">
        <v>1</v>
      </c>
      <c r="CM237" s="100" t="s">
        <v>1401</v>
      </c>
    </row>
    <row r="238" spans="1:91" ht="12.75" customHeight="1" x14ac:dyDescent="0.3">
      <c r="A238" s="37">
        <v>236</v>
      </c>
      <c r="B238" s="37" t="s">
        <v>1402</v>
      </c>
      <c r="C238" s="124"/>
      <c r="D238" s="124"/>
      <c r="E238" s="37" t="s">
        <v>1403</v>
      </c>
      <c r="F238" s="36" t="s">
        <v>1404</v>
      </c>
      <c r="G238" s="75" t="s">
        <v>148</v>
      </c>
      <c r="H238" s="37" t="s">
        <v>131</v>
      </c>
      <c r="I238" s="37" t="s">
        <v>268</v>
      </c>
      <c r="J238" s="37" t="s">
        <v>127</v>
      </c>
      <c r="K238" s="37" t="s">
        <v>132</v>
      </c>
      <c r="L238" s="75" t="s">
        <v>282</v>
      </c>
      <c r="M238" s="37" t="s">
        <v>127</v>
      </c>
      <c r="N238" s="37" t="s">
        <v>127</v>
      </c>
      <c r="O238" s="76">
        <v>45195.5</v>
      </c>
      <c r="P238" s="37" t="s">
        <v>819</v>
      </c>
      <c r="Q238" s="37" t="s">
        <v>239</v>
      </c>
      <c r="R238" s="37" t="s">
        <v>151</v>
      </c>
      <c r="S238" s="37" t="s">
        <v>127</v>
      </c>
      <c r="T238" s="37" t="s">
        <v>127</v>
      </c>
      <c r="U238" s="37" t="s">
        <v>136</v>
      </c>
      <c r="V238" s="37" t="b">
        <v>0</v>
      </c>
      <c r="W238" s="77" t="s">
        <v>127</v>
      </c>
      <c r="X238" s="123"/>
      <c r="Y238" s="37" t="s">
        <v>137</v>
      </c>
      <c r="Z238" s="83">
        <v>0.36955922899999999</v>
      </c>
      <c r="AA238" s="37">
        <v>69</v>
      </c>
      <c r="AB238" s="37" t="s">
        <v>612</v>
      </c>
      <c r="AC238" s="78">
        <v>4.0999999999999996</v>
      </c>
      <c r="AD238" s="78">
        <v>2986910</v>
      </c>
      <c r="AE238" s="37" t="s">
        <v>1405</v>
      </c>
      <c r="AF238" s="37">
        <v>14143</v>
      </c>
      <c r="AG238" s="37" t="s">
        <v>141</v>
      </c>
      <c r="AH238" s="37" t="b">
        <v>1</v>
      </c>
      <c r="AI238" s="76">
        <v>42095</v>
      </c>
      <c r="AJ238" s="77" t="s">
        <v>142</v>
      </c>
      <c r="AK238" s="37">
        <v>2015</v>
      </c>
      <c r="AL238" s="37" t="s">
        <v>127</v>
      </c>
      <c r="AM238" s="37" t="b">
        <v>0</v>
      </c>
      <c r="AN238" s="37" t="s">
        <v>127</v>
      </c>
      <c r="AO238" s="37" t="s">
        <v>127</v>
      </c>
      <c r="AP238" s="37" t="s">
        <v>137</v>
      </c>
      <c r="AQ238" s="37" t="b">
        <v>0</v>
      </c>
      <c r="AR238" s="37" t="s">
        <v>127</v>
      </c>
      <c r="AS238" s="76" t="s">
        <v>137</v>
      </c>
      <c r="AT238" s="37" t="s">
        <v>127</v>
      </c>
      <c r="AU238" s="37" t="s">
        <v>127</v>
      </c>
      <c r="AV238" s="37" t="s">
        <v>137</v>
      </c>
      <c r="AW238" s="37" t="s">
        <v>137</v>
      </c>
      <c r="AX238" s="37" t="s">
        <v>161</v>
      </c>
      <c r="AY238" s="37" t="s">
        <v>127</v>
      </c>
      <c r="AZ238" s="37" t="s">
        <v>127</v>
      </c>
      <c r="BA238" s="37" t="s">
        <v>127</v>
      </c>
      <c r="BB238" s="37" t="s">
        <v>143</v>
      </c>
      <c r="BC238" s="77" t="s">
        <v>127</v>
      </c>
      <c r="BD238" s="76" t="s">
        <v>1406</v>
      </c>
      <c r="BE238" s="37" t="s">
        <v>127</v>
      </c>
      <c r="BF238" s="86" t="s">
        <v>1407</v>
      </c>
      <c r="BG238" s="39" t="s">
        <v>127</v>
      </c>
      <c r="BH238" s="37" t="s">
        <v>127</v>
      </c>
      <c r="BI238" s="40" t="b">
        <v>1</v>
      </c>
      <c r="BJ238" s="40">
        <v>1727.95874</v>
      </c>
      <c r="BK238" s="37" t="s">
        <v>127</v>
      </c>
      <c r="BL238" s="41">
        <v>22811.18682940898</v>
      </c>
      <c r="BM238" s="49">
        <v>392.42987389200005</v>
      </c>
      <c r="BN238" s="49">
        <v>491.14070992000001</v>
      </c>
      <c r="BO238" s="49">
        <v>412.40901476099992</v>
      </c>
      <c r="BP238" s="49">
        <v>878.53284000000031</v>
      </c>
      <c r="BQ238" s="50">
        <v>10.302619999999999</v>
      </c>
      <c r="BR238" s="50">
        <v>0</v>
      </c>
      <c r="BS238" s="50">
        <v>0</v>
      </c>
      <c r="BT238" s="50">
        <v>0</v>
      </c>
      <c r="BU238" s="50">
        <v>0</v>
      </c>
      <c r="BV238" s="50">
        <v>0</v>
      </c>
      <c r="BW238" s="50">
        <v>0</v>
      </c>
      <c r="BX238" s="37" t="s">
        <v>127</v>
      </c>
      <c r="BY238" s="37" t="s">
        <v>127</v>
      </c>
      <c r="BZ238" s="37" t="s">
        <v>155</v>
      </c>
      <c r="CA238" s="41">
        <v>-40.473549999999996</v>
      </c>
      <c r="CB238" s="41">
        <v>2.4412600000000002</v>
      </c>
      <c r="CC238" s="41">
        <v>1398.6141100000002</v>
      </c>
      <c r="CD238" s="41">
        <v>10.302619999999999</v>
      </c>
      <c r="CE238" s="41">
        <v>-23.892140000001486</v>
      </c>
      <c r="CF238" s="41">
        <v>0</v>
      </c>
      <c r="CG238" s="45">
        <v>0</v>
      </c>
      <c r="CH238" s="45" t="s">
        <v>137</v>
      </c>
      <c r="CI238" s="37" t="s">
        <v>127</v>
      </c>
      <c r="CJ238" s="77" t="s">
        <v>127</v>
      </c>
      <c r="CK238" s="98">
        <v>0</v>
      </c>
      <c r="CL238" s="98">
        <v>1</v>
      </c>
      <c r="CM238" s="100" t="s">
        <v>1408</v>
      </c>
    </row>
    <row r="239" spans="1:91" ht="12.75" customHeight="1" x14ac:dyDescent="0.3">
      <c r="A239" s="37">
        <v>237</v>
      </c>
      <c r="B239" s="37" t="s">
        <v>1409</v>
      </c>
      <c r="C239" s="124"/>
      <c r="D239" s="124"/>
      <c r="E239" s="37" t="s">
        <v>1410</v>
      </c>
      <c r="F239" s="36" t="s">
        <v>1411</v>
      </c>
      <c r="G239" s="75" t="s">
        <v>226</v>
      </c>
      <c r="H239" s="37" t="s">
        <v>227</v>
      </c>
      <c r="I239" s="37" t="s">
        <v>127</v>
      </c>
      <c r="J239" s="37" t="s">
        <v>127</v>
      </c>
      <c r="K239" s="37" t="s">
        <v>212</v>
      </c>
      <c r="L239" s="75" t="s">
        <v>218</v>
      </c>
      <c r="M239" s="37" t="s">
        <v>127</v>
      </c>
      <c r="N239" s="37" t="s">
        <v>127</v>
      </c>
      <c r="O239" s="76" t="s">
        <v>127</v>
      </c>
      <c r="P239" s="37" t="s">
        <v>137</v>
      </c>
      <c r="Q239" s="37" t="s">
        <v>127</v>
      </c>
      <c r="R239" s="37" t="s">
        <v>127</v>
      </c>
      <c r="S239" s="37" t="s">
        <v>127</v>
      </c>
      <c r="T239" s="37" t="s">
        <v>1412</v>
      </c>
      <c r="U239" s="37" t="s">
        <v>136</v>
      </c>
      <c r="V239" s="37" t="b">
        <v>0</v>
      </c>
      <c r="W239" s="77" t="s">
        <v>127</v>
      </c>
      <c r="X239" s="123"/>
      <c r="Y239" s="37" t="s">
        <v>137</v>
      </c>
      <c r="Z239" s="37" t="s">
        <v>137</v>
      </c>
      <c r="AA239" s="37" t="s">
        <v>524</v>
      </c>
      <c r="AB239" s="37" t="s">
        <v>127</v>
      </c>
      <c r="AC239" s="78">
        <v>1.3</v>
      </c>
      <c r="AD239" s="78" t="s">
        <v>1413</v>
      </c>
      <c r="AE239" s="37" t="s">
        <v>1414</v>
      </c>
      <c r="AF239" s="37">
        <v>14145</v>
      </c>
      <c r="AG239" s="37" t="s">
        <v>141</v>
      </c>
      <c r="AH239" s="37" t="b">
        <v>1</v>
      </c>
      <c r="AI239" s="76">
        <v>44461</v>
      </c>
      <c r="AJ239" s="77" t="s">
        <v>142</v>
      </c>
      <c r="AK239" s="37">
        <v>2015</v>
      </c>
      <c r="AL239" s="37" t="s">
        <v>127</v>
      </c>
      <c r="AM239" s="37" t="b">
        <v>0</v>
      </c>
      <c r="AN239" s="37" t="s">
        <v>137</v>
      </c>
      <c r="AO239" s="37" t="s">
        <v>127</v>
      </c>
      <c r="AP239" s="37" t="s">
        <v>137</v>
      </c>
      <c r="AQ239" s="37" t="b">
        <v>0</v>
      </c>
      <c r="AR239" s="37" t="s">
        <v>127</v>
      </c>
      <c r="AS239" s="76" t="s">
        <v>137</v>
      </c>
      <c r="AT239" s="37" t="s">
        <v>127</v>
      </c>
      <c r="AU239" s="37" t="s">
        <v>127</v>
      </c>
      <c r="AV239" s="37" t="s">
        <v>137</v>
      </c>
      <c r="AW239" s="37" t="s">
        <v>137</v>
      </c>
      <c r="AX239" s="37" t="s">
        <v>161</v>
      </c>
      <c r="AY239" s="37" t="s">
        <v>127</v>
      </c>
      <c r="AZ239" s="37" t="s">
        <v>127</v>
      </c>
      <c r="BA239" s="37" t="s">
        <v>127</v>
      </c>
      <c r="BB239" s="37" t="s">
        <v>143</v>
      </c>
      <c r="BC239" s="77" t="s">
        <v>127</v>
      </c>
      <c r="BD239" s="76" t="s">
        <v>1415</v>
      </c>
      <c r="BE239" s="76">
        <v>43525</v>
      </c>
      <c r="BF239" s="86" t="s">
        <v>1416</v>
      </c>
      <c r="BG239" s="39" t="s">
        <v>553</v>
      </c>
      <c r="BH239" s="37" t="s">
        <v>127</v>
      </c>
      <c r="BI239" s="40" t="b">
        <v>0</v>
      </c>
      <c r="BJ239" s="40">
        <v>499</v>
      </c>
      <c r="BK239" s="37" t="s">
        <v>127</v>
      </c>
      <c r="BL239" s="41">
        <v>15086.375019999999</v>
      </c>
      <c r="BM239" s="49">
        <v>3861.6513799999998</v>
      </c>
      <c r="BN239" s="49">
        <v>6520.2525499999992</v>
      </c>
      <c r="BO239" s="49">
        <v>4215.1245599999993</v>
      </c>
      <c r="BP239" s="49">
        <v>-185.82426000000001</v>
      </c>
      <c r="BQ239" s="50">
        <v>0</v>
      </c>
      <c r="BR239" s="50">
        <v>0</v>
      </c>
      <c r="BS239" s="50">
        <v>0</v>
      </c>
      <c r="BT239" s="50">
        <v>0</v>
      </c>
      <c r="BU239" s="50">
        <v>0</v>
      </c>
      <c r="BV239" s="50">
        <v>0</v>
      </c>
      <c r="BW239" s="50">
        <v>0</v>
      </c>
      <c r="BX239" s="37" t="s">
        <v>127</v>
      </c>
      <c r="BY239" s="37" t="s">
        <v>127</v>
      </c>
      <c r="BZ239" s="37" t="s">
        <v>176</v>
      </c>
      <c r="CA239" s="41">
        <v>11057.074720000001</v>
      </c>
      <c r="CB239" s="41">
        <v>4215.1245600000002</v>
      </c>
      <c r="CC239" s="41">
        <v>-185.82425999999998</v>
      </c>
      <c r="CD239" s="41">
        <v>0</v>
      </c>
      <c r="CE239" s="41">
        <v>0</v>
      </c>
      <c r="CF239" s="41">
        <v>0</v>
      </c>
      <c r="CG239" s="45">
        <v>0</v>
      </c>
      <c r="CH239" s="45" t="s">
        <v>127</v>
      </c>
      <c r="CI239" s="37" t="s">
        <v>127</v>
      </c>
      <c r="CJ239" s="77" t="s">
        <v>127</v>
      </c>
      <c r="CK239" s="98">
        <v>1</v>
      </c>
      <c r="CL239" s="98">
        <v>0</v>
      </c>
      <c r="CM239" s="100" t="s">
        <v>1417</v>
      </c>
    </row>
    <row r="240" spans="1:91" ht="12.75" customHeight="1" x14ac:dyDescent="0.3">
      <c r="A240" s="37">
        <v>238</v>
      </c>
      <c r="B240" s="37" t="s">
        <v>1418</v>
      </c>
      <c r="C240" s="124"/>
      <c r="D240" s="124"/>
      <c r="E240" s="37" t="s">
        <v>898</v>
      </c>
      <c r="F240" s="36" t="s">
        <v>1419</v>
      </c>
      <c r="G240" s="75" t="s">
        <v>148</v>
      </c>
      <c r="H240" s="37" t="s">
        <v>131</v>
      </c>
      <c r="I240" s="37" t="s">
        <v>127</v>
      </c>
      <c r="J240" s="37" t="s">
        <v>127</v>
      </c>
      <c r="K240" s="37" t="s">
        <v>132</v>
      </c>
      <c r="L240" s="75" t="s">
        <v>149</v>
      </c>
      <c r="M240" s="37" t="s">
        <v>127</v>
      </c>
      <c r="N240" s="37" t="s">
        <v>127</v>
      </c>
      <c r="O240" s="76">
        <v>45190.47797453704</v>
      </c>
      <c r="P240" s="37" t="s">
        <v>1420</v>
      </c>
      <c r="Q240" s="37" t="s">
        <v>239</v>
      </c>
      <c r="R240" s="37" t="s">
        <v>151</v>
      </c>
      <c r="S240" s="37" t="s">
        <v>127</v>
      </c>
      <c r="T240" s="37" t="s">
        <v>127</v>
      </c>
      <c r="U240" s="37" t="s">
        <v>136</v>
      </c>
      <c r="V240" s="37" t="b">
        <v>0</v>
      </c>
      <c r="W240" s="77" t="s">
        <v>127</v>
      </c>
      <c r="X240" s="123"/>
      <c r="Y240" s="83">
        <v>0.120944</v>
      </c>
      <c r="Z240" s="37" t="s">
        <v>137</v>
      </c>
      <c r="AA240" s="37">
        <v>69</v>
      </c>
      <c r="AB240" s="37" t="s">
        <v>306</v>
      </c>
      <c r="AC240" s="78">
        <v>1.2</v>
      </c>
      <c r="AD240" s="78">
        <v>5984860</v>
      </c>
      <c r="AE240" s="37" t="s">
        <v>1421</v>
      </c>
      <c r="AF240" s="37">
        <v>15246</v>
      </c>
      <c r="AG240" s="37" t="s">
        <v>141</v>
      </c>
      <c r="AH240" s="37" t="b">
        <v>1</v>
      </c>
      <c r="AI240" s="76">
        <v>42349</v>
      </c>
      <c r="AJ240" s="77" t="s">
        <v>142</v>
      </c>
      <c r="AK240" s="37">
        <v>2015</v>
      </c>
      <c r="AL240" s="37" t="s">
        <v>127</v>
      </c>
      <c r="AM240" s="37" t="b">
        <v>0</v>
      </c>
      <c r="AN240" s="37" t="s">
        <v>127</v>
      </c>
      <c r="AO240" s="37" t="s">
        <v>127</v>
      </c>
      <c r="AP240" s="37" t="s">
        <v>137</v>
      </c>
      <c r="AQ240" s="37" t="b">
        <v>0</v>
      </c>
      <c r="AR240" s="37" t="s">
        <v>127</v>
      </c>
      <c r="AS240" s="76" t="s">
        <v>137</v>
      </c>
      <c r="AT240" s="37" t="s">
        <v>127</v>
      </c>
      <c r="AU240" s="37" t="s">
        <v>127</v>
      </c>
      <c r="AV240" s="37" t="s">
        <v>137</v>
      </c>
      <c r="AW240" s="37" t="s">
        <v>137</v>
      </c>
      <c r="AX240" s="37" t="s">
        <v>161</v>
      </c>
      <c r="AY240" s="37" t="s">
        <v>127</v>
      </c>
      <c r="AZ240" s="37" t="s">
        <v>127</v>
      </c>
      <c r="BA240" s="37" t="s">
        <v>127</v>
      </c>
      <c r="BB240" s="37" t="s">
        <v>143</v>
      </c>
      <c r="BC240" s="77" t="s">
        <v>127</v>
      </c>
      <c r="BD240" s="76" t="s">
        <v>1422</v>
      </c>
      <c r="BE240" s="37" t="s">
        <v>127</v>
      </c>
      <c r="BF240" s="86" t="s">
        <v>1423</v>
      </c>
      <c r="BG240" s="39" t="s">
        <v>127</v>
      </c>
      <c r="BH240" s="37" t="s">
        <v>127</v>
      </c>
      <c r="BI240" s="40" t="b">
        <v>0</v>
      </c>
      <c r="BJ240" s="40">
        <v>5719.0763200000001</v>
      </c>
      <c r="BK240" s="37" t="s">
        <v>127</v>
      </c>
      <c r="BL240" s="41">
        <v>7937.051101056999</v>
      </c>
      <c r="BM240" s="49">
        <v>635.84837594199996</v>
      </c>
      <c r="BN240" s="49">
        <v>3095.1825609449998</v>
      </c>
      <c r="BO240" s="49">
        <v>1461.088201627</v>
      </c>
      <c r="BP240" s="49">
        <v>8.9299182939999966</v>
      </c>
      <c r="BQ240" s="50">
        <v>0</v>
      </c>
      <c r="BR240" s="50">
        <v>0</v>
      </c>
      <c r="BS240" s="50">
        <v>0</v>
      </c>
      <c r="BT240" s="50">
        <v>0</v>
      </c>
      <c r="BU240" s="50">
        <v>0</v>
      </c>
      <c r="BV240" s="50">
        <v>0</v>
      </c>
      <c r="BW240" s="50">
        <v>0</v>
      </c>
      <c r="BX240" s="37" t="s">
        <v>127</v>
      </c>
      <c r="BY240" s="37" t="s">
        <v>127</v>
      </c>
      <c r="BZ240" s="37" t="s">
        <v>264</v>
      </c>
      <c r="CA240" s="41">
        <v>0</v>
      </c>
      <c r="CB240" s="41">
        <v>7250.4837900000011</v>
      </c>
      <c r="CC240" s="41">
        <v>8.6311400000000003</v>
      </c>
      <c r="CD240" s="41">
        <v>0</v>
      </c>
      <c r="CE240" s="41">
        <v>0</v>
      </c>
      <c r="CF240" s="41">
        <v>0</v>
      </c>
      <c r="CG240" s="45">
        <v>0</v>
      </c>
      <c r="CH240" s="45" t="s">
        <v>137</v>
      </c>
      <c r="CI240" s="37" t="s">
        <v>127</v>
      </c>
      <c r="CJ240" s="77" t="s">
        <v>127</v>
      </c>
      <c r="CK240" s="98">
        <v>0</v>
      </c>
      <c r="CL240" s="98">
        <v>1</v>
      </c>
      <c r="CM240" s="100" t="s">
        <v>1424</v>
      </c>
    </row>
    <row r="241" spans="1:91" ht="12.75" customHeight="1" x14ac:dyDescent="0.3">
      <c r="A241" s="37">
        <v>239</v>
      </c>
      <c r="B241" s="37" t="s">
        <v>1425</v>
      </c>
      <c r="C241" s="124"/>
      <c r="D241" s="124"/>
      <c r="E241" s="37" t="s">
        <v>258</v>
      </c>
      <c r="F241" s="36" t="s">
        <v>1426</v>
      </c>
      <c r="G241" s="75" t="s">
        <v>129</v>
      </c>
      <c r="H241" s="37" t="s">
        <v>1094</v>
      </c>
      <c r="I241" s="37" t="s">
        <v>127</v>
      </c>
      <c r="J241" s="37" t="s">
        <v>127</v>
      </c>
      <c r="K241" s="37" t="s">
        <v>160</v>
      </c>
      <c r="L241" s="75" t="s">
        <v>783</v>
      </c>
      <c r="M241" s="37" t="s">
        <v>127</v>
      </c>
      <c r="N241" s="37" t="s">
        <v>127</v>
      </c>
      <c r="O241" s="76" t="s">
        <v>127</v>
      </c>
      <c r="P241" s="37" t="s">
        <v>135</v>
      </c>
      <c r="Q241" s="37" t="s">
        <v>127</v>
      </c>
      <c r="R241" s="37" t="s">
        <v>127</v>
      </c>
      <c r="S241" s="37" t="s">
        <v>127</v>
      </c>
      <c r="T241" s="37" t="s">
        <v>127</v>
      </c>
      <c r="U241" s="37" t="s">
        <v>136</v>
      </c>
      <c r="V241" s="37" t="b">
        <v>0</v>
      </c>
      <c r="W241" s="77" t="s">
        <v>127</v>
      </c>
      <c r="X241" s="123"/>
      <c r="Y241" s="83">
        <v>4.2124600000000001</v>
      </c>
      <c r="Z241" s="37" t="s">
        <v>137</v>
      </c>
      <c r="AA241" s="37">
        <v>69</v>
      </c>
      <c r="AB241" s="37" t="s">
        <v>127</v>
      </c>
      <c r="AC241" s="78">
        <v>3.1</v>
      </c>
      <c r="AD241" s="78" t="s">
        <v>1427</v>
      </c>
      <c r="AE241" s="37" t="s">
        <v>1428</v>
      </c>
      <c r="AF241" s="37">
        <v>15258</v>
      </c>
      <c r="AG241" s="37" t="s">
        <v>141</v>
      </c>
      <c r="AH241" s="37" t="b">
        <v>1</v>
      </c>
      <c r="AI241" s="76">
        <v>42343</v>
      </c>
      <c r="AJ241" s="77" t="s">
        <v>142</v>
      </c>
      <c r="AK241" s="37">
        <v>2017</v>
      </c>
      <c r="AL241" s="37" t="s">
        <v>127</v>
      </c>
      <c r="AM241" s="37" t="b">
        <v>0</v>
      </c>
      <c r="AN241" s="37" t="s">
        <v>127</v>
      </c>
      <c r="AO241" s="37" t="s">
        <v>127</v>
      </c>
      <c r="AP241" s="37" t="s">
        <v>137</v>
      </c>
      <c r="AQ241" s="37" t="b">
        <v>0</v>
      </c>
      <c r="AR241" s="37" t="s">
        <v>127</v>
      </c>
      <c r="AS241" s="76" t="s">
        <v>137</v>
      </c>
      <c r="AT241" s="37" t="s">
        <v>389</v>
      </c>
      <c r="AU241" s="37" t="s">
        <v>127</v>
      </c>
      <c r="AV241" s="37" t="s">
        <v>933</v>
      </c>
      <c r="AW241" s="37" t="s">
        <v>137</v>
      </c>
      <c r="AX241" s="37" t="s">
        <v>161</v>
      </c>
      <c r="AY241" s="37" t="s">
        <v>127</v>
      </c>
      <c r="AZ241" s="37" t="s">
        <v>127</v>
      </c>
      <c r="BA241" s="37" t="s">
        <v>127</v>
      </c>
      <c r="BB241" s="37" t="s">
        <v>143</v>
      </c>
      <c r="BC241" s="77" t="s">
        <v>127</v>
      </c>
      <c r="BD241" s="76" t="s">
        <v>1429</v>
      </c>
      <c r="BE241" s="37" t="s">
        <v>127</v>
      </c>
      <c r="BF241" s="86" t="s">
        <v>1430</v>
      </c>
      <c r="BG241" s="39" t="s">
        <v>127</v>
      </c>
      <c r="BH241" s="37" t="s">
        <v>127</v>
      </c>
      <c r="BI241" s="40" t="b">
        <v>1</v>
      </c>
      <c r="BJ241" s="40">
        <v>8347.5826699999998</v>
      </c>
      <c r="BK241" s="37" t="s">
        <v>127</v>
      </c>
      <c r="BL241" s="41">
        <v>7402.5466215719989</v>
      </c>
      <c r="BM241" s="49">
        <v>155.27259991399998</v>
      </c>
      <c r="BN241" s="49">
        <v>624.51458369500017</v>
      </c>
      <c r="BO241" s="49">
        <v>1272.7224563389998</v>
      </c>
      <c r="BP241" s="49">
        <v>2232.3897000000006</v>
      </c>
      <c r="BQ241" s="50">
        <v>392.87015530299993</v>
      </c>
      <c r="BR241" s="50">
        <v>9.993879999999999</v>
      </c>
      <c r="BS241" s="50">
        <v>0</v>
      </c>
      <c r="BT241" s="50">
        <v>0</v>
      </c>
      <c r="BU241" s="50">
        <v>0</v>
      </c>
      <c r="BV241" s="50">
        <v>0</v>
      </c>
      <c r="BW241" s="50">
        <v>0</v>
      </c>
      <c r="BX241" s="37" t="s">
        <v>127</v>
      </c>
      <c r="BY241" s="37" t="s">
        <v>127</v>
      </c>
      <c r="BZ241" s="37" t="s">
        <v>479</v>
      </c>
      <c r="CA241" s="41">
        <v>0</v>
      </c>
      <c r="CB241" s="41">
        <v>66.747930000000039</v>
      </c>
      <c r="CC241" s="41">
        <v>3503.5331000000001</v>
      </c>
      <c r="CD241" s="41">
        <v>413.05542999999977</v>
      </c>
      <c r="CE241" s="41">
        <v>5.7645300000000015</v>
      </c>
      <c r="CF241" s="41">
        <v>9.9938800000000008</v>
      </c>
      <c r="CG241" s="45">
        <v>0</v>
      </c>
      <c r="CH241" s="45" t="s">
        <v>137</v>
      </c>
      <c r="CI241" s="37" t="s">
        <v>127</v>
      </c>
      <c r="CJ241" s="77" t="s">
        <v>127</v>
      </c>
      <c r="CK241" s="98">
        <v>0</v>
      </c>
      <c r="CL241" s="98">
        <v>1</v>
      </c>
      <c r="CM241" s="100" t="s">
        <v>1431</v>
      </c>
    </row>
    <row r="242" spans="1:91" ht="12.75" customHeight="1" x14ac:dyDescent="0.3">
      <c r="A242" s="37">
        <v>240</v>
      </c>
      <c r="B242" s="37" t="s">
        <v>1432</v>
      </c>
      <c r="C242" s="123"/>
      <c r="D242" s="127"/>
      <c r="E242" s="77" t="s">
        <v>127</v>
      </c>
      <c r="F242" s="36" t="s">
        <v>1433</v>
      </c>
      <c r="G242" s="75" t="s">
        <v>148</v>
      </c>
      <c r="H242" s="37" t="s">
        <v>227</v>
      </c>
      <c r="I242" s="37" t="s">
        <v>127</v>
      </c>
      <c r="J242" s="37" t="s">
        <v>127</v>
      </c>
      <c r="K242" s="37" t="s">
        <v>132</v>
      </c>
      <c r="L242" s="75" t="s">
        <v>1434</v>
      </c>
      <c r="M242" s="37" t="s">
        <v>127</v>
      </c>
      <c r="N242" s="37" t="s">
        <v>127</v>
      </c>
      <c r="O242" s="76" t="s">
        <v>127</v>
      </c>
      <c r="P242" s="37" t="s">
        <v>135</v>
      </c>
      <c r="Q242" s="37" t="s">
        <v>1050</v>
      </c>
      <c r="R242" s="37" t="s">
        <v>127</v>
      </c>
      <c r="S242" s="37" t="s">
        <v>127</v>
      </c>
      <c r="T242" s="37" t="s">
        <v>127</v>
      </c>
      <c r="U242" s="37" t="s">
        <v>230</v>
      </c>
      <c r="V242" s="37" t="b">
        <v>0</v>
      </c>
      <c r="W242" s="77" t="s">
        <v>127</v>
      </c>
      <c r="X242" s="123"/>
      <c r="Y242" s="37" t="s">
        <v>137</v>
      </c>
      <c r="Z242" s="37" t="s">
        <v>137</v>
      </c>
      <c r="AA242" s="37">
        <v>138</v>
      </c>
      <c r="AB242" s="37" t="s">
        <v>1055</v>
      </c>
      <c r="AC242" s="78">
        <v>4.3</v>
      </c>
      <c r="AD242" s="78" t="s">
        <v>1435</v>
      </c>
      <c r="AE242" s="37" t="s">
        <v>1436</v>
      </c>
      <c r="AF242" s="37">
        <v>16133</v>
      </c>
      <c r="AG242" s="37" t="s">
        <v>141</v>
      </c>
      <c r="AH242" s="37" t="b">
        <v>1</v>
      </c>
      <c r="AI242" s="76" t="s">
        <v>127</v>
      </c>
      <c r="AJ242" s="77" t="s">
        <v>142</v>
      </c>
      <c r="AK242" s="37" t="s">
        <v>127</v>
      </c>
      <c r="AL242" s="37" t="s">
        <v>127</v>
      </c>
      <c r="AM242" s="37" t="b">
        <v>0</v>
      </c>
      <c r="AN242" s="37" t="s">
        <v>127</v>
      </c>
      <c r="AO242" s="37" t="s">
        <v>127</v>
      </c>
      <c r="AP242" s="37" t="s">
        <v>137</v>
      </c>
      <c r="AQ242" s="37" t="b">
        <v>0</v>
      </c>
      <c r="AR242" s="37" t="s">
        <v>127</v>
      </c>
      <c r="AS242" s="76" t="s">
        <v>137</v>
      </c>
      <c r="AT242" s="37" t="s">
        <v>127</v>
      </c>
      <c r="AU242" s="37" t="s">
        <v>127</v>
      </c>
      <c r="AV242" s="37" t="s">
        <v>137</v>
      </c>
      <c r="AW242" s="37" t="s">
        <v>137</v>
      </c>
      <c r="AX242" s="37" t="s">
        <v>127</v>
      </c>
      <c r="AY242" s="76" t="s">
        <v>127</v>
      </c>
      <c r="AZ242" s="77" t="s">
        <v>127</v>
      </c>
      <c r="BA242" s="37" t="s">
        <v>127</v>
      </c>
      <c r="BB242" s="37" t="s">
        <v>143</v>
      </c>
      <c r="BC242" s="77" t="s">
        <v>127</v>
      </c>
      <c r="BD242" s="76" t="s">
        <v>127</v>
      </c>
      <c r="BE242" s="37" t="s">
        <v>127</v>
      </c>
      <c r="BF242" s="80" t="s">
        <v>127</v>
      </c>
      <c r="BG242" s="39" t="s">
        <v>127</v>
      </c>
      <c r="BH242" s="37" t="s">
        <v>127</v>
      </c>
      <c r="BI242" s="40" t="b">
        <v>0</v>
      </c>
      <c r="BJ242" s="40" t="s">
        <v>137</v>
      </c>
      <c r="BK242" s="37" t="s">
        <v>127</v>
      </c>
      <c r="BL242" s="41">
        <v>5390.2521800000004</v>
      </c>
      <c r="BM242" s="49">
        <v>1467.8026600000001</v>
      </c>
      <c r="BN242" s="49">
        <v>28.428639999999994</v>
      </c>
      <c r="BO242" s="49">
        <v>7.4317099999999963</v>
      </c>
      <c r="BP242" s="49">
        <v>0</v>
      </c>
      <c r="BQ242" s="50">
        <v>0</v>
      </c>
      <c r="BR242" s="50">
        <v>0</v>
      </c>
      <c r="BS242" s="50">
        <v>0</v>
      </c>
      <c r="BT242" s="50">
        <v>0</v>
      </c>
      <c r="BU242" s="50">
        <v>0</v>
      </c>
      <c r="BV242" s="50">
        <v>0</v>
      </c>
      <c r="BW242" s="50">
        <v>0</v>
      </c>
      <c r="BX242" s="37" t="s">
        <v>127</v>
      </c>
      <c r="BY242" s="37" t="s">
        <v>127</v>
      </c>
      <c r="BZ242" s="37" t="s">
        <v>207</v>
      </c>
      <c r="CA242" s="41">
        <v>2039.50431</v>
      </c>
      <c r="CB242" s="41">
        <v>7.4317099999999972</v>
      </c>
      <c r="CC242" s="41">
        <v>0</v>
      </c>
      <c r="CD242" s="41">
        <v>0</v>
      </c>
      <c r="CE242" s="41">
        <v>0</v>
      </c>
      <c r="CF242" s="41">
        <v>0</v>
      </c>
      <c r="CG242" s="45">
        <v>0</v>
      </c>
      <c r="CH242" s="45" t="s">
        <v>137</v>
      </c>
      <c r="CI242" s="37" t="s">
        <v>127</v>
      </c>
      <c r="CJ242" s="77" t="s">
        <v>127</v>
      </c>
      <c r="CK242" s="98">
        <v>0</v>
      </c>
      <c r="CL242" s="98">
        <v>1</v>
      </c>
      <c r="CM242" s="100" t="s">
        <v>386</v>
      </c>
    </row>
    <row r="243" spans="1:91" ht="12.75" customHeight="1" x14ac:dyDescent="0.3">
      <c r="A243" s="37">
        <v>241</v>
      </c>
      <c r="B243" s="37" t="s">
        <v>1437</v>
      </c>
      <c r="C243" s="124"/>
      <c r="D243" s="124"/>
      <c r="E243" s="37" t="s">
        <v>258</v>
      </c>
      <c r="F243" s="36" t="s">
        <v>1438</v>
      </c>
      <c r="G243" s="75" t="s">
        <v>1223</v>
      </c>
      <c r="H243" s="37" t="s">
        <v>130</v>
      </c>
      <c r="I243" s="37" t="s">
        <v>127</v>
      </c>
      <c r="J243" s="37" t="s">
        <v>127</v>
      </c>
      <c r="K243" s="37" t="s">
        <v>609</v>
      </c>
      <c r="L243" s="75" t="s">
        <v>243</v>
      </c>
      <c r="M243" s="37" t="s">
        <v>127</v>
      </c>
      <c r="N243" s="37" t="s">
        <v>127</v>
      </c>
      <c r="O243" s="76" t="s">
        <v>134</v>
      </c>
      <c r="P243" s="37">
        <v>20</v>
      </c>
      <c r="Q243" s="37" t="s">
        <v>127</v>
      </c>
      <c r="R243" s="37" t="s">
        <v>127</v>
      </c>
      <c r="S243" s="37" t="s">
        <v>127</v>
      </c>
      <c r="T243" s="37" t="s">
        <v>315</v>
      </c>
      <c r="U243" s="37" t="s">
        <v>947</v>
      </c>
      <c r="V243" s="37" t="b">
        <v>0</v>
      </c>
      <c r="W243" s="77" t="s">
        <v>127</v>
      </c>
      <c r="X243" s="123"/>
      <c r="Y243" s="83">
        <v>2.9734590000000001</v>
      </c>
      <c r="Z243" s="37" t="s">
        <v>137</v>
      </c>
      <c r="AA243" s="37">
        <v>230</v>
      </c>
      <c r="AB243" s="37" t="s">
        <v>127</v>
      </c>
      <c r="AC243" s="78">
        <v>1.2</v>
      </c>
      <c r="AD243" s="78">
        <v>2982933</v>
      </c>
      <c r="AE243" s="37" t="s">
        <v>1439</v>
      </c>
      <c r="AF243" s="37">
        <v>16150</v>
      </c>
      <c r="AG243" s="37" t="s">
        <v>141</v>
      </c>
      <c r="AH243" s="37" t="b">
        <v>1</v>
      </c>
      <c r="AI243" s="76">
        <v>42370</v>
      </c>
      <c r="AJ243" s="77" t="s">
        <v>142</v>
      </c>
      <c r="AK243" s="37">
        <v>2017</v>
      </c>
      <c r="AL243" s="37" t="s">
        <v>137</v>
      </c>
      <c r="AM243" s="37" t="b">
        <v>0</v>
      </c>
      <c r="AN243" s="37" t="s">
        <v>137</v>
      </c>
      <c r="AO243" s="37" t="s">
        <v>137</v>
      </c>
      <c r="AP243" s="37" t="s">
        <v>137</v>
      </c>
      <c r="AQ243" s="37" t="b">
        <v>0</v>
      </c>
      <c r="AR243" s="37" t="s">
        <v>127</v>
      </c>
      <c r="AS243" s="76" t="s">
        <v>137</v>
      </c>
      <c r="AT243" s="37" t="s">
        <v>389</v>
      </c>
      <c r="AU243" s="37" t="s">
        <v>127</v>
      </c>
      <c r="AV243" s="37" t="s">
        <v>137</v>
      </c>
      <c r="AW243" s="37" t="s">
        <v>137</v>
      </c>
      <c r="AX243" s="37" t="s">
        <v>161</v>
      </c>
      <c r="AY243" s="37" t="s">
        <v>127</v>
      </c>
      <c r="AZ243" s="37" t="s">
        <v>973</v>
      </c>
      <c r="BA243" s="37">
        <v>2018</v>
      </c>
      <c r="BB243" s="37" t="s">
        <v>143</v>
      </c>
      <c r="BC243" s="77" t="s">
        <v>127</v>
      </c>
      <c r="BD243" s="76" t="s">
        <v>1440</v>
      </c>
      <c r="BE243" s="76">
        <v>46387</v>
      </c>
      <c r="BF243" s="86" t="s">
        <v>1441</v>
      </c>
      <c r="BG243" s="39" t="s">
        <v>127</v>
      </c>
      <c r="BH243" s="37" t="s">
        <v>127</v>
      </c>
      <c r="BI243" s="40" t="b">
        <v>0</v>
      </c>
      <c r="BJ243" s="40">
        <v>22646.466</v>
      </c>
      <c r="BK243" s="37" t="s">
        <v>127</v>
      </c>
      <c r="BL243" s="41">
        <v>28953.023402282986</v>
      </c>
      <c r="BM243" s="49">
        <v>16734.292704895997</v>
      </c>
      <c r="BN243" s="49">
        <v>10528.305269235001</v>
      </c>
      <c r="BO243" s="49">
        <v>123.91264501800013</v>
      </c>
      <c r="BP243" s="49">
        <v>0.60203999999999991</v>
      </c>
      <c r="BQ243" s="50">
        <v>0</v>
      </c>
      <c r="BR243" s="50">
        <v>0</v>
      </c>
      <c r="BS243" s="50">
        <v>0</v>
      </c>
      <c r="BT243" s="50">
        <v>0</v>
      </c>
      <c r="BU243" s="50">
        <v>0</v>
      </c>
      <c r="BV243" s="50">
        <v>0</v>
      </c>
      <c r="BW243" s="50">
        <v>0</v>
      </c>
      <c r="BX243" s="37" t="s">
        <v>127</v>
      </c>
      <c r="BY243" s="37" t="s">
        <v>127</v>
      </c>
      <c r="BZ243" s="37" t="s">
        <v>176</v>
      </c>
      <c r="CA243" s="41">
        <v>28720.384460000001</v>
      </c>
      <c r="CB243" s="41">
        <v>121.65646999999998</v>
      </c>
      <c r="CC243" s="41">
        <v>0.60204000000306401</v>
      </c>
      <c r="CD243" s="41">
        <v>0</v>
      </c>
      <c r="CE243" s="41">
        <v>0</v>
      </c>
      <c r="CF243" s="41">
        <v>0</v>
      </c>
      <c r="CG243" s="45">
        <v>0</v>
      </c>
      <c r="CH243" s="45" t="s">
        <v>137</v>
      </c>
      <c r="CI243" s="37" t="s">
        <v>127</v>
      </c>
      <c r="CJ243" s="77" t="s">
        <v>127</v>
      </c>
      <c r="CK243" s="98">
        <v>1</v>
      </c>
      <c r="CL243" s="98">
        <v>0</v>
      </c>
      <c r="CM243" s="100" t="s">
        <v>1442</v>
      </c>
    </row>
    <row r="244" spans="1:91" ht="12.75" customHeight="1" x14ac:dyDescent="0.3">
      <c r="A244" s="37">
        <v>242</v>
      </c>
      <c r="B244" s="37" t="s">
        <v>1443</v>
      </c>
      <c r="C244" s="124"/>
      <c r="D244" s="124"/>
      <c r="E244" s="37" t="s">
        <v>1444</v>
      </c>
      <c r="F244" s="36" t="s">
        <v>1443</v>
      </c>
      <c r="G244" s="75" t="s">
        <v>1223</v>
      </c>
      <c r="H244" s="37" t="s">
        <v>227</v>
      </c>
      <c r="I244" s="37" t="s">
        <v>127</v>
      </c>
      <c r="J244" s="37" t="s">
        <v>127</v>
      </c>
      <c r="K244" s="37" t="s">
        <v>1234</v>
      </c>
      <c r="L244" s="75" t="s">
        <v>1311</v>
      </c>
      <c r="M244" s="37" t="s">
        <v>384</v>
      </c>
      <c r="N244" s="37" t="s">
        <v>127</v>
      </c>
      <c r="O244" s="76" t="s">
        <v>127</v>
      </c>
      <c r="P244" s="37" t="s">
        <v>137</v>
      </c>
      <c r="Q244" s="37" t="s">
        <v>168</v>
      </c>
      <c r="R244" s="37" t="s">
        <v>1312</v>
      </c>
      <c r="S244" s="37" t="s">
        <v>127</v>
      </c>
      <c r="T244" s="37" t="s">
        <v>315</v>
      </c>
      <c r="U244" s="37" t="s">
        <v>136</v>
      </c>
      <c r="V244" s="37" t="b">
        <v>0</v>
      </c>
      <c r="W244" s="77" t="s">
        <v>1107</v>
      </c>
      <c r="X244" s="123"/>
      <c r="Y244" s="83">
        <v>9.8716249999999999</v>
      </c>
      <c r="Z244" s="37" t="s">
        <v>137</v>
      </c>
      <c r="AA244" s="37">
        <v>230</v>
      </c>
      <c r="AB244" s="37" t="s">
        <v>127</v>
      </c>
      <c r="AC244" s="78">
        <v>2.1</v>
      </c>
      <c r="AD244" s="78" t="s">
        <v>532</v>
      </c>
      <c r="AE244" s="37" t="s">
        <v>1445</v>
      </c>
      <c r="AF244" s="37">
        <v>16157</v>
      </c>
      <c r="AG244" s="37" t="s">
        <v>141</v>
      </c>
      <c r="AH244" s="37" t="b">
        <v>0</v>
      </c>
      <c r="AI244" s="76">
        <v>42978</v>
      </c>
      <c r="AJ244" s="77" t="s">
        <v>142</v>
      </c>
      <c r="AK244" s="37">
        <v>2017</v>
      </c>
      <c r="AL244" s="37">
        <v>2016</v>
      </c>
      <c r="AM244" s="37" t="b">
        <v>0</v>
      </c>
      <c r="AN244" s="37">
        <v>2016</v>
      </c>
      <c r="AO244" s="37" t="s">
        <v>127</v>
      </c>
      <c r="AP244" s="37" t="s">
        <v>1109</v>
      </c>
      <c r="AQ244" s="37" t="b">
        <v>0</v>
      </c>
      <c r="AR244" s="37" t="s">
        <v>127</v>
      </c>
      <c r="AS244" s="76" t="s">
        <v>137</v>
      </c>
      <c r="AT244" s="37" t="s">
        <v>389</v>
      </c>
      <c r="AU244" s="37" t="s">
        <v>127</v>
      </c>
      <c r="AV244" s="37" t="s">
        <v>137</v>
      </c>
      <c r="AW244" s="37" t="s">
        <v>137</v>
      </c>
      <c r="AX244" s="37" t="s">
        <v>161</v>
      </c>
      <c r="AY244" s="37" t="s">
        <v>127</v>
      </c>
      <c r="AZ244" s="37" t="s">
        <v>127</v>
      </c>
      <c r="BA244" s="37" t="s">
        <v>127</v>
      </c>
      <c r="BB244" s="37" t="s">
        <v>143</v>
      </c>
      <c r="BC244" s="77" t="s">
        <v>127</v>
      </c>
      <c r="BD244" s="76" t="s">
        <v>1446</v>
      </c>
      <c r="BE244" s="76">
        <v>43252</v>
      </c>
      <c r="BF244" s="86" t="s">
        <v>1447</v>
      </c>
      <c r="BG244" s="39" t="s">
        <v>219</v>
      </c>
      <c r="BH244" s="37" t="s">
        <v>553</v>
      </c>
      <c r="BI244" s="40" t="b">
        <v>1</v>
      </c>
      <c r="BJ244" s="40">
        <v>24499.998</v>
      </c>
      <c r="BK244" s="37" t="s">
        <v>127</v>
      </c>
      <c r="BL244" s="41">
        <v>22283.227906455999</v>
      </c>
      <c r="BM244" s="49">
        <v>13068.262209096009</v>
      </c>
      <c r="BN244" s="49">
        <v>699.55900948999988</v>
      </c>
      <c r="BO244" s="49">
        <v>40.834999999999994</v>
      </c>
      <c r="BP244" s="49">
        <v>7.9799999999999992E-3</v>
      </c>
      <c r="BQ244" s="50">
        <v>0</v>
      </c>
      <c r="BR244" s="50">
        <v>-1.8421699999999999</v>
      </c>
      <c r="BS244" s="50">
        <v>0</v>
      </c>
      <c r="BT244" s="50">
        <v>0</v>
      </c>
      <c r="BU244" s="50">
        <v>0</v>
      </c>
      <c r="BV244" s="50">
        <v>0</v>
      </c>
      <c r="BW244" s="50">
        <v>0</v>
      </c>
      <c r="BX244" s="37" t="s">
        <v>127</v>
      </c>
      <c r="BY244" s="37" t="s">
        <v>127</v>
      </c>
      <c r="BZ244" s="37" t="s">
        <v>1173</v>
      </c>
      <c r="CA244" s="41">
        <v>691.35479999999984</v>
      </c>
      <c r="CB244" s="41">
        <v>39.442880000000308</v>
      </c>
      <c r="CC244" s="41">
        <v>7.5899999999999995E-3</v>
      </c>
      <c r="CD244" s="41">
        <v>0</v>
      </c>
      <c r="CE244" s="41">
        <v>-1.8421699999999999</v>
      </c>
      <c r="CF244" s="41">
        <v>-1.8421699999999999</v>
      </c>
      <c r="CG244" s="45">
        <v>0</v>
      </c>
      <c r="CH244" s="45" t="s">
        <v>137</v>
      </c>
      <c r="CI244" s="37" t="s">
        <v>127</v>
      </c>
      <c r="CJ244" s="77" t="s">
        <v>127</v>
      </c>
      <c r="CK244" s="98">
        <v>1</v>
      </c>
      <c r="CL244" s="98">
        <v>0</v>
      </c>
      <c r="CM244" s="100" t="s">
        <v>1408</v>
      </c>
    </row>
    <row r="245" spans="1:91" ht="12.75" customHeight="1" x14ac:dyDescent="0.3">
      <c r="A245" s="37">
        <v>243</v>
      </c>
      <c r="B245" s="37" t="s">
        <v>1448</v>
      </c>
      <c r="C245" s="124"/>
      <c r="D245" s="124"/>
      <c r="E245" s="37" t="s">
        <v>258</v>
      </c>
      <c r="F245" s="36" t="s">
        <v>1449</v>
      </c>
      <c r="G245" s="75" t="s">
        <v>1223</v>
      </c>
      <c r="H245" s="37" t="s">
        <v>131</v>
      </c>
      <c r="I245" s="37" t="s">
        <v>127</v>
      </c>
      <c r="J245" s="37" t="s">
        <v>127</v>
      </c>
      <c r="K245" s="37" t="s">
        <v>1165</v>
      </c>
      <c r="L245" s="75" t="s">
        <v>616</v>
      </c>
      <c r="M245" s="37" t="s">
        <v>384</v>
      </c>
      <c r="N245" s="37" t="s">
        <v>127</v>
      </c>
      <c r="O245" s="76">
        <v>45223</v>
      </c>
      <c r="P245" s="37">
        <v>19</v>
      </c>
      <c r="Q245" s="37" t="s">
        <v>168</v>
      </c>
      <c r="R245" s="37" t="s">
        <v>1123</v>
      </c>
      <c r="S245" s="37" t="s">
        <v>127</v>
      </c>
      <c r="T245" s="37" t="s">
        <v>127</v>
      </c>
      <c r="U245" s="37" t="s">
        <v>136</v>
      </c>
      <c r="V245" s="37" t="b">
        <v>0</v>
      </c>
      <c r="W245" s="77" t="s">
        <v>1107</v>
      </c>
      <c r="X245" s="123"/>
      <c r="Y245" s="83">
        <v>1.9028400000000001</v>
      </c>
      <c r="Z245" s="37" t="s">
        <v>137</v>
      </c>
      <c r="AA245" s="37">
        <v>69</v>
      </c>
      <c r="AB245" s="37" t="s">
        <v>127</v>
      </c>
      <c r="AC245" s="78">
        <v>2.1</v>
      </c>
      <c r="AD245" s="78">
        <v>2988650</v>
      </c>
      <c r="AE245" s="37" t="s">
        <v>1450</v>
      </c>
      <c r="AF245" s="37">
        <v>16158</v>
      </c>
      <c r="AG245" s="37" t="s">
        <v>141</v>
      </c>
      <c r="AH245" s="37" t="b">
        <v>0</v>
      </c>
      <c r="AI245" s="76">
        <v>43191</v>
      </c>
      <c r="AJ245" s="77" t="s">
        <v>142</v>
      </c>
      <c r="AK245" s="37">
        <v>2017</v>
      </c>
      <c r="AL245" s="37">
        <v>2016</v>
      </c>
      <c r="AM245" s="37" t="b">
        <v>0</v>
      </c>
      <c r="AN245" s="37">
        <v>2016</v>
      </c>
      <c r="AO245" s="37" t="s">
        <v>127</v>
      </c>
      <c r="AP245" s="37" t="s">
        <v>1109</v>
      </c>
      <c r="AQ245" s="37" t="b">
        <v>0</v>
      </c>
      <c r="AR245" s="37" t="s">
        <v>127</v>
      </c>
      <c r="AS245" s="76" t="s">
        <v>137</v>
      </c>
      <c r="AT245" s="37" t="s">
        <v>127</v>
      </c>
      <c r="AU245" s="37" t="s">
        <v>127</v>
      </c>
      <c r="AV245" s="37" t="s">
        <v>127</v>
      </c>
      <c r="AW245" s="37" t="s">
        <v>127</v>
      </c>
      <c r="AX245" s="37" t="s">
        <v>161</v>
      </c>
      <c r="AY245" s="37" t="s">
        <v>127</v>
      </c>
      <c r="AZ245" s="37" t="s">
        <v>973</v>
      </c>
      <c r="BA245" s="37">
        <v>2023</v>
      </c>
      <c r="BB245" s="37" t="s">
        <v>1451</v>
      </c>
      <c r="BC245" s="77" t="s">
        <v>127</v>
      </c>
      <c r="BD245" s="76" t="s">
        <v>1452</v>
      </c>
      <c r="BE245" s="76">
        <v>43252</v>
      </c>
      <c r="BF245" s="86" t="s">
        <v>1453</v>
      </c>
      <c r="BG245" s="39" t="s">
        <v>219</v>
      </c>
      <c r="BH245" s="37" t="s">
        <v>1454</v>
      </c>
      <c r="BI245" s="40" t="b">
        <v>1</v>
      </c>
      <c r="BJ245" s="40">
        <v>544.99999000000003</v>
      </c>
      <c r="BK245" s="37" t="s">
        <v>127</v>
      </c>
      <c r="BL245" s="41">
        <v>33965.202574120805</v>
      </c>
      <c r="BM245" s="49">
        <v>382.2611</v>
      </c>
      <c r="BN245" s="49">
        <v>5.6003299999999996</v>
      </c>
      <c r="BO245" s="49">
        <v>5508.5464499999998</v>
      </c>
      <c r="BP245" s="49">
        <v>836.09014999999999</v>
      </c>
      <c r="BQ245" s="50">
        <v>8690.2968199999996</v>
      </c>
      <c r="BR245" s="50">
        <v>14375.136564541663</v>
      </c>
      <c r="BS245" s="50">
        <v>3688.0498795791764</v>
      </c>
      <c r="BT245" s="50">
        <v>0</v>
      </c>
      <c r="BU245" s="50">
        <v>0</v>
      </c>
      <c r="BV245" s="50">
        <v>0</v>
      </c>
      <c r="BW245" s="50">
        <v>18715.14991</v>
      </c>
      <c r="BX245" s="37" t="s">
        <v>127</v>
      </c>
      <c r="BY245" s="37" t="s">
        <v>127</v>
      </c>
      <c r="BZ245" s="37" t="s">
        <v>173</v>
      </c>
      <c r="CA245" s="41">
        <v>0</v>
      </c>
      <c r="CB245" s="41">
        <v>0</v>
      </c>
      <c r="CC245" s="41">
        <v>0</v>
      </c>
      <c r="CD245" s="41">
        <v>0</v>
      </c>
      <c r="CE245" s="41">
        <v>0</v>
      </c>
      <c r="CF245" s="41">
        <v>29326.288704541657</v>
      </c>
      <c r="CG245" s="45">
        <v>0</v>
      </c>
      <c r="CH245" s="45" t="s">
        <v>137</v>
      </c>
      <c r="CI245" s="37" t="s">
        <v>127</v>
      </c>
      <c r="CJ245" s="77" t="s">
        <v>127</v>
      </c>
      <c r="CK245" s="98">
        <v>0</v>
      </c>
      <c r="CL245" s="98">
        <v>1</v>
      </c>
      <c r="CM245" s="100" t="s">
        <v>1293</v>
      </c>
    </row>
    <row r="246" spans="1:91" ht="12.75" customHeight="1" x14ac:dyDescent="0.3">
      <c r="A246" s="37">
        <v>244</v>
      </c>
      <c r="B246" s="37" t="s">
        <v>1455</v>
      </c>
      <c r="C246" s="124"/>
      <c r="D246" s="124"/>
      <c r="E246" s="37" t="s">
        <v>1410</v>
      </c>
      <c r="F246" s="36" t="s">
        <v>1456</v>
      </c>
      <c r="G246" s="75" t="s">
        <v>226</v>
      </c>
      <c r="H246" s="37" t="s">
        <v>127</v>
      </c>
      <c r="I246" s="37" t="s">
        <v>127</v>
      </c>
      <c r="J246" s="37" t="s">
        <v>127</v>
      </c>
      <c r="K246" s="37" t="s">
        <v>1457</v>
      </c>
      <c r="L246" s="75" t="s">
        <v>213</v>
      </c>
      <c r="M246" s="37" t="s">
        <v>127</v>
      </c>
      <c r="N246" s="37" t="s">
        <v>127</v>
      </c>
      <c r="O246" s="76" t="s">
        <v>127</v>
      </c>
      <c r="P246" s="37" t="s">
        <v>127</v>
      </c>
      <c r="Q246" s="37" t="s">
        <v>168</v>
      </c>
      <c r="R246" s="37" t="s">
        <v>127</v>
      </c>
      <c r="S246" s="37" t="s">
        <v>1458</v>
      </c>
      <c r="T246" s="37" t="s">
        <v>1459</v>
      </c>
      <c r="U246" s="37" t="s">
        <v>136</v>
      </c>
      <c r="V246" s="37" t="b">
        <v>0</v>
      </c>
      <c r="W246" s="77" t="s">
        <v>127</v>
      </c>
      <c r="X246" s="123"/>
      <c r="Y246" s="83">
        <v>85</v>
      </c>
      <c r="Z246" s="37" t="s">
        <v>137</v>
      </c>
      <c r="AA246" s="37">
        <v>525</v>
      </c>
      <c r="AB246" s="37" t="s">
        <v>1460</v>
      </c>
      <c r="AC246" s="78">
        <v>4.2</v>
      </c>
      <c r="AD246" s="78" t="s">
        <v>1461</v>
      </c>
      <c r="AE246" s="37" t="s">
        <v>127</v>
      </c>
      <c r="AF246" s="37">
        <v>16159</v>
      </c>
      <c r="AG246" s="37" t="s">
        <v>141</v>
      </c>
      <c r="AH246" s="37" t="b">
        <v>0</v>
      </c>
      <c r="AI246" s="76">
        <v>42736</v>
      </c>
      <c r="AJ246" s="77" t="s">
        <v>142</v>
      </c>
      <c r="AK246" s="37">
        <v>2017</v>
      </c>
      <c r="AL246" s="37">
        <v>2018</v>
      </c>
      <c r="AM246" s="37" t="b">
        <v>0</v>
      </c>
      <c r="AN246" s="37">
        <v>2018</v>
      </c>
      <c r="AO246" s="37" t="s">
        <v>127</v>
      </c>
      <c r="AP246" s="52" t="s">
        <v>1462</v>
      </c>
      <c r="AQ246" s="37" t="b">
        <v>0</v>
      </c>
      <c r="AR246" s="37" t="s">
        <v>127</v>
      </c>
      <c r="AS246" s="76" t="s">
        <v>137</v>
      </c>
      <c r="AT246" s="37" t="s">
        <v>127</v>
      </c>
      <c r="AU246" s="37" t="s">
        <v>127</v>
      </c>
      <c r="AV246" s="37" t="s">
        <v>137</v>
      </c>
      <c r="AW246" s="37" t="s">
        <v>137</v>
      </c>
      <c r="AX246" s="77" t="s">
        <v>127</v>
      </c>
      <c r="AY246" s="83" t="s">
        <v>127</v>
      </c>
      <c r="AZ246" s="77" t="s">
        <v>127</v>
      </c>
      <c r="BA246" s="37" t="s">
        <v>127</v>
      </c>
      <c r="BB246" s="37" t="s">
        <v>597</v>
      </c>
      <c r="BC246" s="77" t="s">
        <v>127</v>
      </c>
      <c r="BD246" s="78" t="s">
        <v>127</v>
      </c>
      <c r="BE246" s="37" t="s">
        <v>127</v>
      </c>
      <c r="BF246" s="80" t="s">
        <v>127</v>
      </c>
      <c r="BG246" s="39" t="s">
        <v>127</v>
      </c>
      <c r="BH246" s="37" t="s">
        <v>127</v>
      </c>
      <c r="BI246" s="40" t="b">
        <v>0</v>
      </c>
      <c r="BJ246" s="40">
        <v>1467</v>
      </c>
      <c r="BK246" s="37" t="s">
        <v>127</v>
      </c>
      <c r="BL246" s="41" t="s">
        <v>137</v>
      </c>
      <c r="BM246" s="49">
        <v>0</v>
      </c>
      <c r="BN246" s="49">
        <v>0</v>
      </c>
      <c r="BO246" s="49">
        <v>0</v>
      </c>
      <c r="BP246" s="49">
        <v>0</v>
      </c>
      <c r="BQ246" s="50">
        <v>0</v>
      </c>
      <c r="BR246" s="50">
        <v>0</v>
      </c>
      <c r="BS246" s="50">
        <v>0</v>
      </c>
      <c r="BT246" s="50">
        <v>0</v>
      </c>
      <c r="BU246" s="50">
        <v>0</v>
      </c>
      <c r="BV246" s="50">
        <v>0</v>
      </c>
      <c r="BW246" s="50">
        <v>0</v>
      </c>
      <c r="BX246" s="37" t="s">
        <v>127</v>
      </c>
      <c r="BY246" s="37" t="s">
        <v>127</v>
      </c>
      <c r="BZ246" s="37" t="s">
        <v>180</v>
      </c>
      <c r="CA246" s="41">
        <v>1226.71066</v>
      </c>
      <c r="CB246" s="41">
        <v>0</v>
      </c>
      <c r="CC246" s="41">
        <v>0</v>
      </c>
      <c r="CD246" s="41">
        <v>0</v>
      </c>
      <c r="CE246" s="41">
        <v>0</v>
      </c>
      <c r="CF246" s="41">
        <v>0</v>
      </c>
      <c r="CG246" s="45">
        <v>0</v>
      </c>
      <c r="CH246" s="45" t="s">
        <v>137</v>
      </c>
      <c r="CI246" s="37" t="s">
        <v>127</v>
      </c>
      <c r="CJ246" s="77" t="s">
        <v>127</v>
      </c>
      <c r="CK246" s="98">
        <v>1</v>
      </c>
      <c r="CL246" s="98">
        <v>0</v>
      </c>
      <c r="CM246" s="100" t="s">
        <v>1463</v>
      </c>
    </row>
    <row r="247" spans="1:91" ht="12.75" customHeight="1" x14ac:dyDescent="0.3">
      <c r="A247" s="37">
        <v>245</v>
      </c>
      <c r="B247" s="37" t="s">
        <v>1464</v>
      </c>
      <c r="C247" s="124"/>
      <c r="D247" s="124"/>
      <c r="E247" s="37" t="s">
        <v>991</v>
      </c>
      <c r="F247" s="36" t="s">
        <v>1465</v>
      </c>
      <c r="G247" s="75" t="s">
        <v>148</v>
      </c>
      <c r="H247" s="37" t="s">
        <v>130</v>
      </c>
      <c r="I247" s="37" t="s">
        <v>131</v>
      </c>
      <c r="J247" s="37" t="s">
        <v>127</v>
      </c>
      <c r="K247" s="37" t="s">
        <v>132</v>
      </c>
      <c r="L247" s="75" t="s">
        <v>149</v>
      </c>
      <c r="M247" s="37" t="s">
        <v>127</v>
      </c>
      <c r="N247" s="37" t="s">
        <v>127</v>
      </c>
      <c r="O247" s="76" t="s">
        <v>127</v>
      </c>
      <c r="P247" s="37" t="s">
        <v>1466</v>
      </c>
      <c r="Q247" s="37" t="s">
        <v>239</v>
      </c>
      <c r="R247" s="37" t="s">
        <v>127</v>
      </c>
      <c r="S247" s="37" t="s">
        <v>127</v>
      </c>
      <c r="T247" s="37" t="s">
        <v>315</v>
      </c>
      <c r="U247" s="37" t="s">
        <v>136</v>
      </c>
      <c r="V247" s="37" t="b">
        <v>0</v>
      </c>
      <c r="W247" s="77" t="s">
        <v>127</v>
      </c>
      <c r="X247" s="123"/>
      <c r="Y247" s="37" t="s">
        <v>137</v>
      </c>
      <c r="Z247" s="83">
        <v>0.54200000000000004</v>
      </c>
      <c r="AA247" s="37">
        <v>138</v>
      </c>
      <c r="AB247" s="37" t="s">
        <v>1467</v>
      </c>
      <c r="AC247" s="78">
        <v>4.0999999999999996</v>
      </c>
      <c r="AD247" s="78">
        <v>5987386</v>
      </c>
      <c r="AE247" s="37" t="s">
        <v>1468</v>
      </c>
      <c r="AF247" s="37">
        <v>16261</v>
      </c>
      <c r="AG247" s="37" t="s">
        <v>141</v>
      </c>
      <c r="AH247" s="37" t="b">
        <v>1</v>
      </c>
      <c r="AI247" s="76">
        <v>42583</v>
      </c>
      <c r="AJ247" s="77" t="s">
        <v>142</v>
      </c>
      <c r="AK247" s="37">
        <v>2018</v>
      </c>
      <c r="AL247" s="37" t="s">
        <v>127</v>
      </c>
      <c r="AM247" s="37" t="b">
        <v>0</v>
      </c>
      <c r="AN247" s="37" t="s">
        <v>127</v>
      </c>
      <c r="AO247" s="37" t="s">
        <v>127</v>
      </c>
      <c r="AP247" s="37" t="s">
        <v>137</v>
      </c>
      <c r="AQ247" s="37" t="b">
        <v>0</v>
      </c>
      <c r="AR247" s="37" t="s">
        <v>150</v>
      </c>
      <c r="AS247" s="76" t="s">
        <v>127</v>
      </c>
      <c r="AT247" s="37" t="s">
        <v>127</v>
      </c>
      <c r="AU247" s="37" t="s">
        <v>127</v>
      </c>
      <c r="AV247" s="37" t="s">
        <v>137</v>
      </c>
      <c r="AW247" s="37" t="s">
        <v>137</v>
      </c>
      <c r="AX247" s="37" t="s">
        <v>1112</v>
      </c>
      <c r="AY247" s="37" t="s">
        <v>127</v>
      </c>
      <c r="AZ247" s="37" t="s">
        <v>127</v>
      </c>
      <c r="BA247" s="37" t="s">
        <v>127</v>
      </c>
      <c r="BB247" s="37" t="s">
        <v>333</v>
      </c>
      <c r="BC247" s="77" t="s">
        <v>127</v>
      </c>
      <c r="BD247" s="76" t="s">
        <v>127</v>
      </c>
      <c r="BE247" s="37" t="s">
        <v>127</v>
      </c>
      <c r="BF247" s="37" t="s">
        <v>127</v>
      </c>
      <c r="BG247" s="39" t="s">
        <v>127</v>
      </c>
      <c r="BH247" s="37" t="s">
        <v>127</v>
      </c>
      <c r="BI247" s="40" t="b">
        <v>0</v>
      </c>
      <c r="BJ247" s="40">
        <v>1240</v>
      </c>
      <c r="BK247" s="37" t="s">
        <v>127</v>
      </c>
      <c r="BL247" s="41">
        <v>4379.4829707299987</v>
      </c>
      <c r="BM247" s="49">
        <v>1929.66403623</v>
      </c>
      <c r="BN247" s="49">
        <v>275.90612024999996</v>
      </c>
      <c r="BO247" s="49">
        <v>302.26015943600004</v>
      </c>
      <c r="BP247" s="49">
        <v>285.45938481400003</v>
      </c>
      <c r="BQ247" s="50">
        <v>0</v>
      </c>
      <c r="BR247" s="50">
        <v>0</v>
      </c>
      <c r="BS247" s="50">
        <v>0</v>
      </c>
      <c r="BT247" s="50">
        <v>0</v>
      </c>
      <c r="BU247" s="50">
        <v>0</v>
      </c>
      <c r="BV247" s="50">
        <v>0</v>
      </c>
      <c r="BW247" s="50">
        <v>3566.2540899999999</v>
      </c>
      <c r="BX247" s="37" t="s">
        <v>127</v>
      </c>
      <c r="BY247" s="37" t="s">
        <v>127</v>
      </c>
      <c r="BZ247" s="37" t="s">
        <v>127</v>
      </c>
      <c r="CA247" s="41">
        <v>0</v>
      </c>
      <c r="CB247" s="41">
        <v>0</v>
      </c>
      <c r="CC247" s="41">
        <v>0</v>
      </c>
      <c r="CD247" s="41">
        <v>0</v>
      </c>
      <c r="CE247" s="41">
        <v>0</v>
      </c>
      <c r="CF247" s="41">
        <v>0</v>
      </c>
      <c r="CG247" s="45">
        <v>0</v>
      </c>
      <c r="CH247" s="45" t="s">
        <v>137</v>
      </c>
      <c r="CI247" s="37" t="s">
        <v>127</v>
      </c>
      <c r="CJ247" s="77" t="s">
        <v>127</v>
      </c>
      <c r="CK247" s="98">
        <v>0</v>
      </c>
      <c r="CL247" s="98">
        <v>1</v>
      </c>
      <c r="CM247" s="100" t="s">
        <v>1469</v>
      </c>
    </row>
    <row r="248" spans="1:91" ht="12.75" customHeight="1" x14ac:dyDescent="0.3">
      <c r="A248" s="37">
        <v>246</v>
      </c>
      <c r="B248" s="37" t="s">
        <v>1470</v>
      </c>
      <c r="C248" s="123"/>
      <c r="D248" s="123"/>
      <c r="E248" s="37" t="s">
        <v>1410</v>
      </c>
      <c r="F248" s="36" t="s">
        <v>1471</v>
      </c>
      <c r="G248" s="75" t="s">
        <v>226</v>
      </c>
      <c r="H248" s="37" t="s">
        <v>227</v>
      </c>
      <c r="I248" s="37" t="s">
        <v>127</v>
      </c>
      <c r="J248" s="37" t="s">
        <v>127</v>
      </c>
      <c r="K248" s="37" t="s">
        <v>1165</v>
      </c>
      <c r="L248" s="75" t="s">
        <v>213</v>
      </c>
      <c r="M248" s="37" t="s">
        <v>127</v>
      </c>
      <c r="N248" s="37" t="s">
        <v>127</v>
      </c>
      <c r="O248" s="76" t="s">
        <v>127</v>
      </c>
      <c r="P248" s="37" t="s">
        <v>135</v>
      </c>
      <c r="Q248" s="37" t="s">
        <v>127</v>
      </c>
      <c r="R248" s="37" t="s">
        <v>127</v>
      </c>
      <c r="S248" s="37" t="s">
        <v>127</v>
      </c>
      <c r="T248" s="37" t="s">
        <v>127</v>
      </c>
      <c r="U248" s="37" t="s">
        <v>136</v>
      </c>
      <c r="V248" s="37" t="b">
        <v>0</v>
      </c>
      <c r="W248" s="77" t="s">
        <v>127</v>
      </c>
      <c r="X248" s="123"/>
      <c r="Y248" s="37" t="s">
        <v>137</v>
      </c>
      <c r="Z248" s="37" t="s">
        <v>137</v>
      </c>
      <c r="AA248" s="37" t="s">
        <v>1472</v>
      </c>
      <c r="AB248" s="37" t="s">
        <v>127</v>
      </c>
      <c r="AC248" s="78">
        <v>1.3</v>
      </c>
      <c r="AD248" s="78" t="s">
        <v>532</v>
      </c>
      <c r="AE248" s="37" t="s">
        <v>1473</v>
      </c>
      <c r="AF248" s="37">
        <v>16276</v>
      </c>
      <c r="AG248" s="37" t="s">
        <v>141</v>
      </c>
      <c r="AH248" s="37" t="b">
        <v>1</v>
      </c>
      <c r="AI248" s="76">
        <v>42738</v>
      </c>
      <c r="AJ248" s="77" t="s">
        <v>142</v>
      </c>
      <c r="AK248" s="37">
        <v>2019</v>
      </c>
      <c r="AL248" s="37" t="s">
        <v>127</v>
      </c>
      <c r="AM248" s="37" t="b">
        <v>0</v>
      </c>
      <c r="AN248" s="37" t="s">
        <v>127</v>
      </c>
      <c r="AO248" s="37" t="s">
        <v>127</v>
      </c>
      <c r="AP248" s="37" t="s">
        <v>137</v>
      </c>
      <c r="AQ248" s="37" t="b">
        <v>0</v>
      </c>
      <c r="AR248" s="37" t="s">
        <v>127</v>
      </c>
      <c r="AS248" s="76" t="s">
        <v>137</v>
      </c>
      <c r="AT248" s="37" t="s">
        <v>127</v>
      </c>
      <c r="AU248" s="37" t="s">
        <v>127</v>
      </c>
      <c r="AV248" s="37" t="s">
        <v>137</v>
      </c>
      <c r="AW248" s="37" t="s">
        <v>137</v>
      </c>
      <c r="AX248" s="37" t="s">
        <v>127</v>
      </c>
      <c r="AY248" s="37" t="s">
        <v>127</v>
      </c>
      <c r="AZ248" s="37" t="s">
        <v>127</v>
      </c>
      <c r="BA248" s="37" t="s">
        <v>127</v>
      </c>
      <c r="BB248" s="37" t="s">
        <v>154</v>
      </c>
      <c r="BC248" s="77" t="s">
        <v>127</v>
      </c>
      <c r="BD248" s="76" t="s">
        <v>127</v>
      </c>
      <c r="BE248" s="37" t="s">
        <v>127</v>
      </c>
      <c r="BF248" s="37" t="s">
        <v>127</v>
      </c>
      <c r="BG248" s="39" t="s">
        <v>127</v>
      </c>
      <c r="BH248" s="37" t="s">
        <v>127</v>
      </c>
      <c r="BI248" s="40" t="b">
        <v>1</v>
      </c>
      <c r="BJ248" s="40">
        <v>1356.2741900000001</v>
      </c>
      <c r="BK248" s="37" t="s">
        <v>127</v>
      </c>
      <c r="BL248" s="41">
        <v>3418.07160061579</v>
      </c>
      <c r="BM248" s="49">
        <v>928.21378419179985</v>
      </c>
      <c r="BN248" s="49">
        <v>588.52302369176005</v>
      </c>
      <c r="BO248" s="49">
        <v>100.56824928864002</v>
      </c>
      <c r="BP248" s="49">
        <v>150.60468690575999</v>
      </c>
      <c r="BQ248" s="50">
        <v>108.66734404975999</v>
      </c>
      <c r="BR248" s="50">
        <v>2.8760182261199998</v>
      </c>
      <c r="BS248" s="50">
        <v>0</v>
      </c>
      <c r="BT248" s="50">
        <v>0</v>
      </c>
      <c r="BU248" s="50">
        <v>0</v>
      </c>
      <c r="BV248" s="50">
        <v>0</v>
      </c>
      <c r="BW248" s="50">
        <v>0</v>
      </c>
      <c r="BX248" s="37" t="s">
        <v>127</v>
      </c>
      <c r="BY248" s="37" t="s">
        <v>127</v>
      </c>
      <c r="BZ248" s="37" t="s">
        <v>173</v>
      </c>
      <c r="CA248" s="41">
        <v>0</v>
      </c>
      <c r="CB248" s="41">
        <v>0</v>
      </c>
      <c r="CC248" s="41">
        <v>0</v>
      </c>
      <c r="CD248" s="41">
        <v>0</v>
      </c>
      <c r="CE248" s="41">
        <v>0</v>
      </c>
      <c r="CF248" s="41">
        <v>2.8760182261199998</v>
      </c>
      <c r="CG248" s="45">
        <v>0</v>
      </c>
      <c r="CH248" s="45" t="s">
        <v>137</v>
      </c>
      <c r="CI248" s="37" t="s">
        <v>127</v>
      </c>
      <c r="CJ248" s="77" t="s">
        <v>127</v>
      </c>
      <c r="CK248" s="98">
        <v>0</v>
      </c>
      <c r="CL248" s="98">
        <v>1</v>
      </c>
      <c r="CM248" s="100" t="s">
        <v>1474</v>
      </c>
    </row>
    <row r="249" spans="1:91" ht="12.75" customHeight="1" x14ac:dyDescent="0.3">
      <c r="A249" s="37">
        <v>247</v>
      </c>
      <c r="B249" s="37" t="s">
        <v>1475</v>
      </c>
      <c r="C249" s="124"/>
      <c r="D249" s="124"/>
      <c r="E249" s="37" t="s">
        <v>1476</v>
      </c>
      <c r="F249" s="36" t="s">
        <v>1477</v>
      </c>
      <c r="G249" s="75" t="s">
        <v>129</v>
      </c>
      <c r="H249" s="37" t="s">
        <v>131</v>
      </c>
      <c r="I249" s="37" t="s">
        <v>127</v>
      </c>
      <c r="J249" s="37" t="s">
        <v>127</v>
      </c>
      <c r="K249" s="37" t="s">
        <v>132</v>
      </c>
      <c r="L249" s="75" t="s">
        <v>133</v>
      </c>
      <c r="M249" s="37" t="s">
        <v>384</v>
      </c>
      <c r="N249" s="37" t="s">
        <v>127</v>
      </c>
      <c r="O249" s="76">
        <v>44489</v>
      </c>
      <c r="P249" s="37" t="s">
        <v>135</v>
      </c>
      <c r="Q249" s="37" t="s">
        <v>168</v>
      </c>
      <c r="R249" s="37" t="s">
        <v>1478</v>
      </c>
      <c r="S249" s="37" t="s">
        <v>1302</v>
      </c>
      <c r="T249" s="37" t="s">
        <v>127</v>
      </c>
      <c r="U249" s="37" t="s">
        <v>136</v>
      </c>
      <c r="V249" s="37" t="b">
        <v>0</v>
      </c>
      <c r="W249" s="77" t="s">
        <v>127</v>
      </c>
      <c r="X249" s="123"/>
      <c r="Y249" s="83">
        <v>2.1142880000000002</v>
      </c>
      <c r="Z249" s="37" t="s">
        <v>137</v>
      </c>
      <c r="AA249" s="37">
        <v>69</v>
      </c>
      <c r="AB249" s="37" t="s">
        <v>127</v>
      </c>
      <c r="AC249" s="78">
        <v>2.1</v>
      </c>
      <c r="AD249" s="78">
        <v>2651507</v>
      </c>
      <c r="AE249" s="37" t="s">
        <v>1479</v>
      </c>
      <c r="AF249" s="37">
        <v>17125</v>
      </c>
      <c r="AG249" s="37" t="s">
        <v>141</v>
      </c>
      <c r="AH249" s="37" t="b">
        <v>0</v>
      </c>
      <c r="AI249" s="76">
        <v>42713</v>
      </c>
      <c r="AJ249" s="77" t="s">
        <v>142</v>
      </c>
      <c r="AK249" s="37">
        <v>2017</v>
      </c>
      <c r="AL249" s="37">
        <v>2015</v>
      </c>
      <c r="AM249" s="37" t="b">
        <v>0</v>
      </c>
      <c r="AN249" s="37">
        <v>2015</v>
      </c>
      <c r="AO249" s="37" t="s">
        <v>127</v>
      </c>
      <c r="AP249" s="37" t="s">
        <v>1480</v>
      </c>
      <c r="AQ249" s="37" t="b">
        <v>0</v>
      </c>
      <c r="AR249" s="37" t="s">
        <v>532</v>
      </c>
      <c r="AS249" s="76" t="s">
        <v>127</v>
      </c>
      <c r="AT249" s="37" t="s">
        <v>127</v>
      </c>
      <c r="AU249" s="37" t="s">
        <v>127</v>
      </c>
      <c r="AV249" s="37" t="s">
        <v>127</v>
      </c>
      <c r="AW249" s="37" t="s">
        <v>127</v>
      </c>
      <c r="AX249" s="37" t="s">
        <v>532</v>
      </c>
      <c r="AY249" s="37" t="s">
        <v>1481</v>
      </c>
      <c r="AZ249" s="37" t="s">
        <v>1072</v>
      </c>
      <c r="BA249" s="37">
        <v>2026</v>
      </c>
      <c r="BB249" s="37" t="s">
        <v>143</v>
      </c>
      <c r="BC249" s="77" t="s">
        <v>127</v>
      </c>
      <c r="BD249" s="76" t="s">
        <v>1482</v>
      </c>
      <c r="BE249" s="76">
        <v>42887</v>
      </c>
      <c r="BF249" s="86" t="s">
        <v>1483</v>
      </c>
      <c r="BG249" s="39" t="s">
        <v>219</v>
      </c>
      <c r="BH249" s="37" t="s">
        <v>1160</v>
      </c>
      <c r="BI249" s="40" t="b">
        <v>0</v>
      </c>
      <c r="BJ249" s="40">
        <v>14057.888000000001</v>
      </c>
      <c r="BK249" s="37" t="s">
        <v>127</v>
      </c>
      <c r="BL249" s="41">
        <v>46979.861539092417</v>
      </c>
      <c r="BM249" s="49">
        <v>238.50167999999999</v>
      </c>
      <c r="BN249" s="49">
        <v>80.775989999999993</v>
      </c>
      <c r="BO249" s="49">
        <v>333.83267999999998</v>
      </c>
      <c r="BP249" s="49">
        <v>325.68652000000014</v>
      </c>
      <c r="BQ249" s="50">
        <v>7756.1316200000001</v>
      </c>
      <c r="BR249" s="50">
        <v>639.01308481946216</v>
      </c>
      <c r="BS249" s="50">
        <v>11705.476354272952</v>
      </c>
      <c r="BT249" s="50">
        <v>24039.757980000017</v>
      </c>
      <c r="BU249" s="50">
        <v>0</v>
      </c>
      <c r="BV249" s="50">
        <v>0</v>
      </c>
      <c r="BW249" s="50">
        <v>10889.211710000001</v>
      </c>
      <c r="BX249" s="37" t="s">
        <v>127</v>
      </c>
      <c r="BY249" s="37" t="s">
        <v>127</v>
      </c>
      <c r="BZ249" s="37" t="s">
        <v>127</v>
      </c>
      <c r="CA249" s="41">
        <v>0</v>
      </c>
      <c r="CB249" s="41">
        <v>0</v>
      </c>
      <c r="CC249" s="41">
        <v>0</v>
      </c>
      <c r="CD249" s="41">
        <v>0</v>
      </c>
      <c r="CE249" s="41">
        <v>0</v>
      </c>
      <c r="CF249" s="41">
        <v>0</v>
      </c>
      <c r="CG249" s="45">
        <v>0</v>
      </c>
      <c r="CH249" s="45" t="s">
        <v>137</v>
      </c>
      <c r="CI249" s="37" t="s">
        <v>1484</v>
      </c>
      <c r="CJ249" s="77" t="s">
        <v>127</v>
      </c>
      <c r="CK249" s="98">
        <v>0</v>
      </c>
      <c r="CL249" s="98">
        <v>1</v>
      </c>
      <c r="CM249" s="100" t="s">
        <v>1485</v>
      </c>
    </row>
    <row r="250" spans="1:91" ht="12.75" customHeight="1" x14ac:dyDescent="0.3">
      <c r="A250" s="37">
        <v>248</v>
      </c>
      <c r="B250" s="37" t="s">
        <v>1486</v>
      </c>
      <c r="C250" s="124"/>
      <c r="D250" s="124"/>
      <c r="E250" s="37" t="s">
        <v>258</v>
      </c>
      <c r="F250" s="36" t="s">
        <v>1487</v>
      </c>
      <c r="G250" s="75" t="s">
        <v>1256</v>
      </c>
      <c r="H250" s="37" t="s">
        <v>130</v>
      </c>
      <c r="I250" s="37" t="s">
        <v>127</v>
      </c>
      <c r="J250" s="37" t="s">
        <v>127</v>
      </c>
      <c r="K250" s="37" t="s">
        <v>132</v>
      </c>
      <c r="L250" s="75" t="s">
        <v>282</v>
      </c>
      <c r="M250" s="37" t="s">
        <v>127</v>
      </c>
      <c r="N250" s="37" t="s">
        <v>127</v>
      </c>
      <c r="O250" s="76" t="s">
        <v>134</v>
      </c>
      <c r="P250" s="37">
        <v>53</v>
      </c>
      <c r="Q250" s="37" t="s">
        <v>127</v>
      </c>
      <c r="R250" s="37" t="s">
        <v>127</v>
      </c>
      <c r="S250" s="37" t="s">
        <v>127</v>
      </c>
      <c r="T250" s="37" t="s">
        <v>127</v>
      </c>
      <c r="U250" s="37" t="s">
        <v>136</v>
      </c>
      <c r="V250" s="37" t="b">
        <v>0</v>
      </c>
      <c r="W250" s="77" t="s">
        <v>127</v>
      </c>
      <c r="X250" s="123"/>
      <c r="Y250" s="83">
        <v>1.322101</v>
      </c>
      <c r="Z250" s="37" t="s">
        <v>137</v>
      </c>
      <c r="AA250" s="37">
        <v>69</v>
      </c>
      <c r="AB250" s="37" t="s">
        <v>127</v>
      </c>
      <c r="AC250" s="78">
        <v>4.0999999999999996</v>
      </c>
      <c r="AD250" s="78">
        <v>2983120</v>
      </c>
      <c r="AE250" s="37" t="s">
        <v>1488</v>
      </c>
      <c r="AF250" s="37">
        <v>17127</v>
      </c>
      <c r="AG250" s="37" t="s">
        <v>141</v>
      </c>
      <c r="AH250" s="37" t="b">
        <v>1</v>
      </c>
      <c r="AI250" s="76">
        <v>45258</v>
      </c>
      <c r="AJ250" s="77" t="s">
        <v>142</v>
      </c>
      <c r="AK250" s="37">
        <v>2017</v>
      </c>
      <c r="AL250" s="37" t="s">
        <v>137</v>
      </c>
      <c r="AM250" s="37" t="b">
        <v>0</v>
      </c>
      <c r="AN250" s="37" t="s">
        <v>137</v>
      </c>
      <c r="AO250" s="37" t="s">
        <v>137</v>
      </c>
      <c r="AP250" s="37" t="s">
        <v>137</v>
      </c>
      <c r="AQ250" s="37" t="b">
        <v>0</v>
      </c>
      <c r="AR250" s="37" t="s">
        <v>532</v>
      </c>
      <c r="AS250" s="76" t="s">
        <v>137</v>
      </c>
      <c r="AT250" s="37" t="s">
        <v>127</v>
      </c>
      <c r="AU250" s="37" t="s">
        <v>127</v>
      </c>
      <c r="AV250" s="37" t="s">
        <v>137</v>
      </c>
      <c r="AW250" s="37" t="s">
        <v>137</v>
      </c>
      <c r="AX250" s="37" t="s">
        <v>1070</v>
      </c>
      <c r="AY250" s="37" t="s">
        <v>1489</v>
      </c>
      <c r="AZ250" s="37" t="s">
        <v>1072</v>
      </c>
      <c r="BA250" s="37">
        <v>2027</v>
      </c>
      <c r="BB250" s="37" t="s">
        <v>154</v>
      </c>
      <c r="BC250" s="77" t="s">
        <v>127</v>
      </c>
      <c r="BD250" s="76" t="s">
        <v>1490</v>
      </c>
      <c r="BE250" s="37" t="s">
        <v>127</v>
      </c>
      <c r="BF250" s="86" t="s">
        <v>1491</v>
      </c>
      <c r="BG250" s="39" t="s">
        <v>127</v>
      </c>
      <c r="BH250" s="37" t="s">
        <v>127</v>
      </c>
      <c r="BI250" s="40" t="b">
        <v>0</v>
      </c>
      <c r="BJ250" s="40">
        <v>28043.923999999999</v>
      </c>
      <c r="BK250" s="37" t="s">
        <v>127</v>
      </c>
      <c r="BL250" s="41">
        <v>28043.923999999988</v>
      </c>
      <c r="BM250" s="49">
        <v>0</v>
      </c>
      <c r="BN250" s="49">
        <v>0</v>
      </c>
      <c r="BO250" s="49">
        <v>0</v>
      </c>
      <c r="BP250" s="49">
        <v>0</v>
      </c>
      <c r="BQ250" s="50">
        <v>112.20927999999999</v>
      </c>
      <c r="BR250" s="50">
        <v>448.78122328345967</v>
      </c>
      <c r="BS250" s="50">
        <v>3312.5223874230837</v>
      </c>
      <c r="BT250" s="50">
        <v>18071.662902366203</v>
      </c>
      <c r="BU250" s="50">
        <v>6098.7482069272473</v>
      </c>
      <c r="BV250" s="50">
        <v>0</v>
      </c>
      <c r="BW250" s="50">
        <v>349.04741000000001</v>
      </c>
      <c r="BX250" s="37" t="s">
        <v>127</v>
      </c>
      <c r="BY250" s="37" t="s">
        <v>127</v>
      </c>
      <c r="BZ250" s="37" t="s">
        <v>127</v>
      </c>
      <c r="CA250" s="41">
        <v>0</v>
      </c>
      <c r="CB250" s="41">
        <v>0</v>
      </c>
      <c r="CC250" s="41">
        <v>0</v>
      </c>
      <c r="CD250" s="41">
        <v>0</v>
      </c>
      <c r="CE250" s="41">
        <v>0</v>
      </c>
      <c r="CF250" s="41">
        <v>0</v>
      </c>
      <c r="CG250" s="45">
        <v>0</v>
      </c>
      <c r="CH250" s="45" t="s">
        <v>137</v>
      </c>
      <c r="CI250" s="37" t="s">
        <v>1492</v>
      </c>
      <c r="CJ250" s="77" t="s">
        <v>127</v>
      </c>
      <c r="CK250" s="98">
        <v>0</v>
      </c>
      <c r="CL250" s="98">
        <v>1</v>
      </c>
      <c r="CM250" s="100" t="s">
        <v>1493</v>
      </c>
    </row>
    <row r="251" spans="1:91" ht="12.75" customHeight="1" x14ac:dyDescent="0.3">
      <c r="A251" s="37">
        <v>249</v>
      </c>
      <c r="B251" s="37" t="s">
        <v>1494</v>
      </c>
      <c r="C251" s="124"/>
      <c r="D251" s="124"/>
      <c r="E251" s="37" t="s">
        <v>856</v>
      </c>
      <c r="F251" s="36" t="s">
        <v>1495</v>
      </c>
      <c r="G251" s="75" t="s">
        <v>129</v>
      </c>
      <c r="H251" s="37" t="s">
        <v>131</v>
      </c>
      <c r="I251" s="37" t="s">
        <v>127</v>
      </c>
      <c r="J251" s="37" t="s">
        <v>127</v>
      </c>
      <c r="K251" s="37" t="s">
        <v>132</v>
      </c>
      <c r="L251" s="75" t="s">
        <v>133</v>
      </c>
      <c r="M251" s="37" t="s">
        <v>384</v>
      </c>
      <c r="N251" s="37" t="s">
        <v>127</v>
      </c>
      <c r="O251" s="76">
        <v>44616</v>
      </c>
      <c r="P251" s="37">
        <v>36</v>
      </c>
      <c r="Q251" s="37" t="s">
        <v>168</v>
      </c>
      <c r="R251" s="37" t="s">
        <v>1478</v>
      </c>
      <c r="S251" s="37" t="s">
        <v>127</v>
      </c>
      <c r="T251" s="37" t="s">
        <v>127</v>
      </c>
      <c r="U251" s="37" t="s">
        <v>136</v>
      </c>
      <c r="V251" s="37" t="b">
        <v>0</v>
      </c>
      <c r="W251" s="77" t="s">
        <v>1107</v>
      </c>
      <c r="X251" s="123"/>
      <c r="Y251" s="83">
        <v>2.560737</v>
      </c>
      <c r="Z251" s="37" t="s">
        <v>137</v>
      </c>
      <c r="AA251" s="37">
        <v>69</v>
      </c>
      <c r="AB251" s="37" t="s">
        <v>127</v>
      </c>
      <c r="AC251" s="78">
        <v>2.1</v>
      </c>
      <c r="AD251" s="78">
        <v>2988754</v>
      </c>
      <c r="AE251" s="37" t="s">
        <v>1496</v>
      </c>
      <c r="AF251" s="37">
        <v>17129</v>
      </c>
      <c r="AG251" s="37" t="s">
        <v>141</v>
      </c>
      <c r="AH251" s="37" t="b">
        <v>0</v>
      </c>
      <c r="AI251" s="76">
        <v>42830</v>
      </c>
      <c r="AJ251" s="77" t="s">
        <v>142</v>
      </c>
      <c r="AK251" s="37">
        <v>2017</v>
      </c>
      <c r="AL251" s="37">
        <v>2013</v>
      </c>
      <c r="AM251" s="37" t="b">
        <v>0</v>
      </c>
      <c r="AN251" s="37">
        <v>2013</v>
      </c>
      <c r="AO251" s="37" t="s">
        <v>127</v>
      </c>
      <c r="AP251" s="37" t="s">
        <v>1314</v>
      </c>
      <c r="AQ251" s="37" t="b">
        <v>0</v>
      </c>
      <c r="AR251" s="37" t="s">
        <v>532</v>
      </c>
      <c r="AS251" s="76" t="s">
        <v>127</v>
      </c>
      <c r="AT251" s="37" t="s">
        <v>127</v>
      </c>
      <c r="AU251" s="37" t="s">
        <v>127</v>
      </c>
      <c r="AV251" s="37" t="s">
        <v>127</v>
      </c>
      <c r="AW251" s="37" t="s">
        <v>127</v>
      </c>
      <c r="AX251" s="37" t="s">
        <v>532</v>
      </c>
      <c r="AY251" s="37" t="s">
        <v>1497</v>
      </c>
      <c r="AZ251" s="37" t="s">
        <v>1072</v>
      </c>
      <c r="BA251" s="37">
        <v>2026</v>
      </c>
      <c r="BB251" s="37" t="s">
        <v>143</v>
      </c>
      <c r="BC251" s="77" t="s">
        <v>127</v>
      </c>
      <c r="BD251" s="76" t="s">
        <v>1498</v>
      </c>
      <c r="BE251" s="76">
        <v>42887</v>
      </c>
      <c r="BF251" s="86" t="s">
        <v>1499</v>
      </c>
      <c r="BG251" s="39" t="s">
        <v>552</v>
      </c>
      <c r="BH251" s="37" t="s">
        <v>219</v>
      </c>
      <c r="BI251" s="40" t="b">
        <v>0</v>
      </c>
      <c r="BJ251" s="40">
        <v>13584.367</v>
      </c>
      <c r="BK251" s="37" t="s">
        <v>127</v>
      </c>
      <c r="BL251" s="41">
        <v>34019.255386389894</v>
      </c>
      <c r="BM251" s="49">
        <v>875.93405093399974</v>
      </c>
      <c r="BN251" s="49">
        <v>208.83195107500001</v>
      </c>
      <c r="BO251" s="49">
        <v>5306.3214261739986</v>
      </c>
      <c r="BP251" s="49">
        <v>210.94592400799999</v>
      </c>
      <c r="BQ251" s="50">
        <v>711.72300520400017</v>
      </c>
      <c r="BR251" s="50">
        <v>1026.0395171405012</v>
      </c>
      <c r="BS251" s="50">
        <v>9513.3376811096314</v>
      </c>
      <c r="BT251" s="50">
        <v>14589.019024382707</v>
      </c>
      <c r="BU251" s="50">
        <v>0</v>
      </c>
      <c r="BV251" s="50">
        <v>0</v>
      </c>
      <c r="BW251" s="50">
        <v>8907.13652</v>
      </c>
      <c r="BX251" s="37" t="s">
        <v>127</v>
      </c>
      <c r="BY251" s="37" t="s">
        <v>127</v>
      </c>
      <c r="BZ251" s="37" t="s">
        <v>127</v>
      </c>
      <c r="CA251" s="41">
        <v>0</v>
      </c>
      <c r="CB251" s="41">
        <v>0</v>
      </c>
      <c r="CC251" s="41">
        <v>0</v>
      </c>
      <c r="CD251" s="41">
        <v>0</v>
      </c>
      <c r="CE251" s="41">
        <v>0</v>
      </c>
      <c r="CF251" s="41">
        <v>0</v>
      </c>
      <c r="CG251" s="45">
        <v>0</v>
      </c>
      <c r="CH251" s="45" t="s">
        <v>137</v>
      </c>
      <c r="CI251" s="37" t="s">
        <v>1500</v>
      </c>
      <c r="CJ251" s="77" t="s">
        <v>127</v>
      </c>
      <c r="CK251" s="98">
        <v>0</v>
      </c>
      <c r="CL251" s="98">
        <v>1</v>
      </c>
      <c r="CM251" s="99" t="s">
        <v>1501</v>
      </c>
    </row>
    <row r="252" spans="1:91" ht="12.75" customHeight="1" x14ac:dyDescent="0.3">
      <c r="A252" s="37">
        <v>250</v>
      </c>
      <c r="B252" s="37" t="s">
        <v>1502</v>
      </c>
      <c r="C252" s="124"/>
      <c r="D252" s="124"/>
      <c r="E252" s="37" t="s">
        <v>258</v>
      </c>
      <c r="F252" s="36" t="s">
        <v>1233</v>
      </c>
      <c r="G252" s="75" t="s">
        <v>1256</v>
      </c>
      <c r="H252" s="37" t="s">
        <v>131</v>
      </c>
      <c r="I252" s="37" t="s">
        <v>127</v>
      </c>
      <c r="J252" s="37" t="s">
        <v>127</v>
      </c>
      <c r="K252" s="37" t="s">
        <v>1234</v>
      </c>
      <c r="L252" s="75" t="s">
        <v>1095</v>
      </c>
      <c r="M252" s="37" t="s">
        <v>127</v>
      </c>
      <c r="N252" s="37" t="s">
        <v>127</v>
      </c>
      <c r="O252" s="76">
        <v>44273</v>
      </c>
      <c r="P252" s="37" t="s">
        <v>135</v>
      </c>
      <c r="Q252" s="37" t="s">
        <v>168</v>
      </c>
      <c r="R252" s="37" t="s">
        <v>1478</v>
      </c>
      <c r="S252" s="37" t="s">
        <v>127</v>
      </c>
      <c r="T252" s="37" t="s">
        <v>315</v>
      </c>
      <c r="U252" s="37" t="s">
        <v>230</v>
      </c>
      <c r="V252" s="37" t="b">
        <v>0</v>
      </c>
      <c r="W252" s="77" t="s">
        <v>127</v>
      </c>
      <c r="X252" s="123"/>
      <c r="Y252" s="83">
        <v>9.1085989999999999</v>
      </c>
      <c r="Z252" s="37" t="s">
        <v>137</v>
      </c>
      <c r="AA252" s="37">
        <v>69</v>
      </c>
      <c r="AB252" s="37" t="s">
        <v>127</v>
      </c>
      <c r="AC252" s="78">
        <v>2.1</v>
      </c>
      <c r="AD252" s="78" t="s">
        <v>1503</v>
      </c>
      <c r="AE252" s="37" t="s">
        <v>1504</v>
      </c>
      <c r="AF252" s="37">
        <v>17130</v>
      </c>
      <c r="AG252" s="37" t="s">
        <v>141</v>
      </c>
      <c r="AH252" s="37" t="b">
        <v>0</v>
      </c>
      <c r="AI252" s="76">
        <v>43306</v>
      </c>
      <c r="AJ252" s="77" t="s">
        <v>142</v>
      </c>
      <c r="AK252" s="37">
        <v>2017</v>
      </c>
      <c r="AL252" s="37">
        <v>2014</v>
      </c>
      <c r="AM252" s="37" t="b">
        <v>0</v>
      </c>
      <c r="AN252" s="37">
        <v>2014</v>
      </c>
      <c r="AO252" s="37" t="s">
        <v>127</v>
      </c>
      <c r="AP252" s="37" t="s">
        <v>1179</v>
      </c>
      <c r="AQ252" s="37" t="b">
        <v>0</v>
      </c>
      <c r="AR252" s="37" t="s">
        <v>127</v>
      </c>
      <c r="AS252" s="76" t="s">
        <v>137</v>
      </c>
      <c r="AT252" s="37" t="s">
        <v>127</v>
      </c>
      <c r="AU252" s="37" t="s">
        <v>127</v>
      </c>
      <c r="AV252" s="37" t="s">
        <v>127</v>
      </c>
      <c r="AW252" s="37" t="s">
        <v>127</v>
      </c>
      <c r="AX252" s="37" t="s">
        <v>161</v>
      </c>
      <c r="AY252" s="37" t="s">
        <v>127</v>
      </c>
      <c r="AZ252" s="37" t="s">
        <v>127</v>
      </c>
      <c r="BA252" s="37" t="s">
        <v>127</v>
      </c>
      <c r="BB252" s="37" t="s">
        <v>143</v>
      </c>
      <c r="BC252" s="77" t="s">
        <v>127</v>
      </c>
      <c r="BD252" s="76" t="s">
        <v>1505</v>
      </c>
      <c r="BE252" s="76">
        <v>43252</v>
      </c>
      <c r="BF252" s="86" t="s">
        <v>1506</v>
      </c>
      <c r="BG252" s="39" t="s">
        <v>552</v>
      </c>
      <c r="BH252" s="37" t="s">
        <v>1507</v>
      </c>
      <c r="BI252" s="40" t="b">
        <v>1</v>
      </c>
      <c r="BJ252" s="40">
        <v>2999.9999899999998</v>
      </c>
      <c r="BK252" s="37" t="s">
        <v>127</v>
      </c>
      <c r="BL252" s="41">
        <v>17068.579035874031</v>
      </c>
      <c r="BM252" s="49">
        <v>5880.6255739880025</v>
      </c>
      <c r="BN252" s="49">
        <v>8933.0279565599958</v>
      </c>
      <c r="BO252" s="49">
        <v>694.14583157999994</v>
      </c>
      <c r="BP252" s="49">
        <v>-360.95592378599991</v>
      </c>
      <c r="BQ252" s="50">
        <v>0</v>
      </c>
      <c r="BR252" s="50">
        <v>-1.5449999999999998E-2</v>
      </c>
      <c r="BS252" s="50">
        <v>0</v>
      </c>
      <c r="BT252" s="50">
        <v>0</v>
      </c>
      <c r="BU252" s="50">
        <v>0</v>
      </c>
      <c r="BV252" s="50">
        <v>0</v>
      </c>
      <c r="BW252" s="50">
        <v>0</v>
      </c>
      <c r="BX252" s="37" t="s">
        <v>127</v>
      </c>
      <c r="BY252" s="37" t="s">
        <v>127</v>
      </c>
      <c r="BZ252" s="37" t="s">
        <v>1173</v>
      </c>
      <c r="CA252" s="41">
        <v>16217.125510000005</v>
      </c>
      <c r="CB252" s="41">
        <v>670.87444000000005</v>
      </c>
      <c r="CC252" s="41">
        <v>-340.23457000000002</v>
      </c>
      <c r="CD252" s="41">
        <v>0</v>
      </c>
      <c r="CE252" s="41">
        <v>-1.5450000000000002E-2</v>
      </c>
      <c r="CF252" s="41">
        <v>-1.5449999999999998E-2</v>
      </c>
      <c r="CG252" s="45">
        <v>0</v>
      </c>
      <c r="CH252" s="45" t="s">
        <v>137</v>
      </c>
      <c r="CI252" s="37" t="s">
        <v>127</v>
      </c>
      <c r="CJ252" s="77" t="s">
        <v>127</v>
      </c>
      <c r="CK252" s="98">
        <v>0</v>
      </c>
      <c r="CL252" s="98">
        <v>1</v>
      </c>
      <c r="CM252" s="100" t="s">
        <v>1508</v>
      </c>
    </row>
    <row r="253" spans="1:91" ht="12.75" customHeight="1" x14ac:dyDescent="0.3">
      <c r="A253" s="37">
        <v>251</v>
      </c>
      <c r="B253" s="37" t="s">
        <v>1509</v>
      </c>
      <c r="C253" s="124"/>
      <c r="D253" s="124"/>
      <c r="E253" s="37" t="s">
        <v>309</v>
      </c>
      <c r="F253" s="36" t="s">
        <v>1510</v>
      </c>
      <c r="G253" s="75" t="s">
        <v>167</v>
      </c>
      <c r="H253" s="37" t="s">
        <v>130</v>
      </c>
      <c r="I253" s="37" t="s">
        <v>127</v>
      </c>
      <c r="J253" s="37" t="s">
        <v>127</v>
      </c>
      <c r="K253" s="37" t="s">
        <v>132</v>
      </c>
      <c r="L253" s="75" t="s">
        <v>1511</v>
      </c>
      <c r="M253" s="37" t="s">
        <v>127</v>
      </c>
      <c r="N253" s="37" t="s">
        <v>127</v>
      </c>
      <c r="O253" s="76">
        <v>45220.541666666657</v>
      </c>
      <c r="P253" s="37">
        <v>40</v>
      </c>
      <c r="Q253" s="37" t="s">
        <v>239</v>
      </c>
      <c r="R253" s="37" t="s">
        <v>151</v>
      </c>
      <c r="S253" s="37" t="s">
        <v>127</v>
      </c>
      <c r="T253" s="37" t="s">
        <v>127</v>
      </c>
      <c r="U253" s="37" t="s">
        <v>136</v>
      </c>
      <c r="V253" s="37" t="b">
        <v>0</v>
      </c>
      <c r="W253" s="77" t="s">
        <v>127</v>
      </c>
      <c r="X253" s="123"/>
      <c r="Y253" s="37" t="s">
        <v>137</v>
      </c>
      <c r="Z253" s="83">
        <v>55.48</v>
      </c>
      <c r="AA253" s="37">
        <v>500</v>
      </c>
      <c r="AB253" s="37" t="s">
        <v>1512</v>
      </c>
      <c r="AC253" s="78">
        <v>2.1</v>
      </c>
      <c r="AD253" s="78">
        <v>5981929</v>
      </c>
      <c r="AE253" s="37" t="s">
        <v>1513</v>
      </c>
      <c r="AF253" s="37">
        <v>17138</v>
      </c>
      <c r="AG253" s="37" t="s">
        <v>141</v>
      </c>
      <c r="AH253" s="37" t="b">
        <v>1</v>
      </c>
      <c r="AI253" s="76">
        <v>42863</v>
      </c>
      <c r="AJ253" s="77" t="s">
        <v>142</v>
      </c>
      <c r="AK253" s="37">
        <v>2018</v>
      </c>
      <c r="AL253" s="37" t="s">
        <v>127</v>
      </c>
      <c r="AM253" s="37" t="b">
        <v>0</v>
      </c>
      <c r="AN253" s="37" t="s">
        <v>127</v>
      </c>
      <c r="AO253" s="37" t="s">
        <v>127</v>
      </c>
      <c r="AP253" s="37" t="s">
        <v>137</v>
      </c>
      <c r="AQ253" s="37" t="b">
        <v>0</v>
      </c>
      <c r="AR253" s="37" t="s">
        <v>127</v>
      </c>
      <c r="AS253" s="76" t="s">
        <v>137</v>
      </c>
      <c r="AT253" s="37" t="s">
        <v>127</v>
      </c>
      <c r="AU253" s="37" t="s">
        <v>127</v>
      </c>
      <c r="AV253" s="37" t="s">
        <v>137</v>
      </c>
      <c r="AW253" s="37" t="s">
        <v>137</v>
      </c>
      <c r="AX253" s="37" t="s">
        <v>161</v>
      </c>
      <c r="AY253" s="37" t="s">
        <v>127</v>
      </c>
      <c r="AZ253" s="37" t="s">
        <v>127</v>
      </c>
      <c r="BA253" s="37" t="s">
        <v>127</v>
      </c>
      <c r="BB253" s="37" t="s">
        <v>143</v>
      </c>
      <c r="BC253" s="77" t="s">
        <v>127</v>
      </c>
      <c r="BD253" s="76" t="s">
        <v>1514</v>
      </c>
      <c r="BE253" s="76">
        <v>43589</v>
      </c>
      <c r="BF253" s="86" t="s">
        <v>1515</v>
      </c>
      <c r="BG253" s="39" t="s">
        <v>127</v>
      </c>
      <c r="BH253" s="37" t="s">
        <v>127</v>
      </c>
      <c r="BI253" s="40" t="b">
        <v>1</v>
      </c>
      <c r="BJ253" s="40">
        <v>16986</v>
      </c>
      <c r="BK253" s="37" t="s">
        <v>127</v>
      </c>
      <c r="BL253" s="41">
        <v>20371.69504000001</v>
      </c>
      <c r="BM253" s="49">
        <v>7502.7123799999999</v>
      </c>
      <c r="BN253" s="49">
        <v>564.51599999999974</v>
      </c>
      <c r="BO253" s="49">
        <v>4.5065400000000002</v>
      </c>
      <c r="BP253" s="49">
        <v>0</v>
      </c>
      <c r="BQ253" s="50">
        <v>215.59452999999999</v>
      </c>
      <c r="BR253" s="50">
        <v>25.23705</v>
      </c>
      <c r="BS253" s="50">
        <v>0</v>
      </c>
      <c r="BT253" s="50">
        <v>0</v>
      </c>
      <c r="BU253" s="50">
        <v>0</v>
      </c>
      <c r="BV253" s="50">
        <v>0</v>
      </c>
      <c r="BW253" s="50">
        <v>0</v>
      </c>
      <c r="BX253" s="37" t="s">
        <v>127</v>
      </c>
      <c r="BY253" s="37" t="s">
        <v>127</v>
      </c>
      <c r="BZ253" s="37" t="s">
        <v>455</v>
      </c>
      <c r="CA253" s="41">
        <v>559.41539999999975</v>
      </c>
      <c r="CB253" s="41">
        <v>4.5065399999997666</v>
      </c>
      <c r="CC253" s="41">
        <v>0</v>
      </c>
      <c r="CD253" s="41">
        <v>215.59452999999996</v>
      </c>
      <c r="CE253" s="41">
        <v>52.817210000000017</v>
      </c>
      <c r="CF253" s="41">
        <v>25.23705</v>
      </c>
      <c r="CG253" s="45">
        <v>0</v>
      </c>
      <c r="CH253" s="45" t="s">
        <v>137</v>
      </c>
      <c r="CI253" s="37" t="s">
        <v>127</v>
      </c>
      <c r="CJ253" s="77" t="s">
        <v>127</v>
      </c>
      <c r="CK253" s="98">
        <v>1</v>
      </c>
      <c r="CL253" s="98">
        <v>0</v>
      </c>
      <c r="CM253" s="100" t="s">
        <v>1516</v>
      </c>
    </row>
    <row r="254" spans="1:91" ht="12.75" customHeight="1" x14ac:dyDescent="0.3">
      <c r="A254" s="37">
        <v>252</v>
      </c>
      <c r="B254" s="37" t="s">
        <v>1517</v>
      </c>
      <c r="C254" s="124"/>
      <c r="D254" s="124"/>
      <c r="E254" s="37" t="s">
        <v>1518</v>
      </c>
      <c r="F254" s="36" t="s">
        <v>1519</v>
      </c>
      <c r="G254" s="75" t="s">
        <v>1256</v>
      </c>
      <c r="H254" s="37" t="s">
        <v>130</v>
      </c>
      <c r="I254" s="37" t="s">
        <v>127</v>
      </c>
      <c r="J254" s="37" t="s">
        <v>127</v>
      </c>
      <c r="K254" s="37" t="s">
        <v>132</v>
      </c>
      <c r="L254" s="75" t="s">
        <v>282</v>
      </c>
      <c r="M254" s="37" t="s">
        <v>127</v>
      </c>
      <c r="N254" s="37" t="s">
        <v>127</v>
      </c>
      <c r="O254" s="76" t="s">
        <v>134</v>
      </c>
      <c r="P254" s="37">
        <v>45</v>
      </c>
      <c r="Q254" s="37" t="s">
        <v>127</v>
      </c>
      <c r="R254" s="37" t="s">
        <v>127</v>
      </c>
      <c r="S254" s="37" t="s">
        <v>127</v>
      </c>
      <c r="T254" s="37" t="s">
        <v>127</v>
      </c>
      <c r="U254" s="37" t="s">
        <v>136</v>
      </c>
      <c r="V254" s="37" t="b">
        <v>0</v>
      </c>
      <c r="W254" s="77" t="s">
        <v>127</v>
      </c>
      <c r="X254" s="123"/>
      <c r="Y254" s="83">
        <v>1.053445</v>
      </c>
      <c r="Z254" s="37" t="s">
        <v>137</v>
      </c>
      <c r="AA254" s="37">
        <v>69</v>
      </c>
      <c r="AB254" s="37" t="s">
        <v>127</v>
      </c>
      <c r="AC254" s="78">
        <v>4.0999999999999996</v>
      </c>
      <c r="AD254" s="78" t="s">
        <v>532</v>
      </c>
      <c r="AE254" s="37" t="s">
        <v>1520</v>
      </c>
      <c r="AF254" s="37">
        <v>17142</v>
      </c>
      <c r="AG254" s="37" t="s">
        <v>141</v>
      </c>
      <c r="AH254" s="37" t="b">
        <v>1</v>
      </c>
      <c r="AI254" s="76">
        <v>44045</v>
      </c>
      <c r="AJ254" s="77" t="s">
        <v>142</v>
      </c>
      <c r="AK254" s="37">
        <v>2017</v>
      </c>
      <c r="AL254" s="37" t="s">
        <v>137</v>
      </c>
      <c r="AM254" s="37" t="b">
        <v>0</v>
      </c>
      <c r="AN254" s="37" t="s">
        <v>137</v>
      </c>
      <c r="AO254" s="37" t="s">
        <v>137</v>
      </c>
      <c r="AP254" s="37" t="s">
        <v>137</v>
      </c>
      <c r="AQ254" s="37" t="b">
        <v>0</v>
      </c>
      <c r="AR254" s="37" t="s">
        <v>532</v>
      </c>
      <c r="AS254" s="76" t="s">
        <v>137</v>
      </c>
      <c r="AT254" s="37" t="s">
        <v>127</v>
      </c>
      <c r="AU254" s="37" t="s">
        <v>127</v>
      </c>
      <c r="AV254" s="37" t="s">
        <v>137</v>
      </c>
      <c r="AW254" s="37" t="s">
        <v>137</v>
      </c>
      <c r="AX254" s="37" t="s">
        <v>1070</v>
      </c>
      <c r="AY254" s="37" t="s">
        <v>1521</v>
      </c>
      <c r="AZ254" s="37" t="s">
        <v>1072</v>
      </c>
      <c r="BA254" s="37">
        <v>2027</v>
      </c>
      <c r="BB254" s="37" t="s">
        <v>333</v>
      </c>
      <c r="BC254" s="77" t="s">
        <v>127</v>
      </c>
      <c r="BD254" s="76" t="s">
        <v>1522</v>
      </c>
      <c r="BE254" s="37" t="s">
        <v>127</v>
      </c>
      <c r="BF254" s="86" t="s">
        <v>1523</v>
      </c>
      <c r="BG254" s="39" t="s">
        <v>127</v>
      </c>
      <c r="BH254" s="37" t="s">
        <v>127</v>
      </c>
      <c r="BI254" s="40" t="b">
        <v>0</v>
      </c>
      <c r="BJ254" s="40">
        <v>905.76099999999997</v>
      </c>
      <c r="BK254" s="37" t="s">
        <v>127</v>
      </c>
      <c r="BL254" s="41">
        <v>30074.074791096329</v>
      </c>
      <c r="BM254" s="49">
        <v>117.32623</v>
      </c>
      <c r="BN254" s="49">
        <v>23.802829999999997</v>
      </c>
      <c r="BO254" s="49">
        <v>0</v>
      </c>
      <c r="BP254" s="49">
        <v>0</v>
      </c>
      <c r="BQ254" s="50">
        <v>0</v>
      </c>
      <c r="BR254" s="50">
        <v>737.99982084362091</v>
      </c>
      <c r="BS254" s="50">
        <v>1009.8580533501422</v>
      </c>
      <c r="BT254" s="50">
        <v>5611.6647314764896</v>
      </c>
      <c r="BU254" s="50">
        <v>10877.397395426027</v>
      </c>
      <c r="BV254" s="50">
        <v>10996.922480000003</v>
      </c>
      <c r="BW254" s="50">
        <v>769.78134000000011</v>
      </c>
      <c r="BX254" s="37" t="s">
        <v>127</v>
      </c>
      <c r="BY254" s="37" t="s">
        <v>127</v>
      </c>
      <c r="BZ254" s="37" t="s">
        <v>127</v>
      </c>
      <c r="CA254" s="41">
        <v>0</v>
      </c>
      <c r="CB254" s="41">
        <v>0</v>
      </c>
      <c r="CC254" s="41">
        <v>0</v>
      </c>
      <c r="CD254" s="41">
        <v>0</v>
      </c>
      <c r="CE254" s="41">
        <v>0</v>
      </c>
      <c r="CF254" s="41">
        <v>0</v>
      </c>
      <c r="CG254" s="45">
        <v>0</v>
      </c>
      <c r="CH254" s="45" t="s">
        <v>137</v>
      </c>
      <c r="CI254" s="37" t="s">
        <v>1524</v>
      </c>
      <c r="CJ254" s="77" t="s">
        <v>127</v>
      </c>
      <c r="CK254" s="98">
        <v>0</v>
      </c>
      <c r="CL254" s="98">
        <v>1</v>
      </c>
      <c r="CM254" s="100" t="s">
        <v>1525</v>
      </c>
    </row>
    <row r="255" spans="1:91" ht="12.75" customHeight="1" x14ac:dyDescent="0.3">
      <c r="A255" s="37">
        <v>253</v>
      </c>
      <c r="B255" s="37" t="s">
        <v>1526</v>
      </c>
      <c r="C255" s="124"/>
      <c r="D255" s="124"/>
      <c r="E255" s="37" t="s">
        <v>200</v>
      </c>
      <c r="F255" s="36" t="s">
        <v>1527</v>
      </c>
      <c r="G255" s="75" t="s">
        <v>1256</v>
      </c>
      <c r="H255" s="37" t="s">
        <v>130</v>
      </c>
      <c r="I255" s="37" t="s">
        <v>127</v>
      </c>
      <c r="J255" s="37" t="s">
        <v>127</v>
      </c>
      <c r="K255" s="37" t="s">
        <v>132</v>
      </c>
      <c r="L255" s="75" t="s">
        <v>282</v>
      </c>
      <c r="M255" s="37" t="s">
        <v>127</v>
      </c>
      <c r="N255" s="37" t="s">
        <v>127</v>
      </c>
      <c r="O255" s="76" t="s">
        <v>134</v>
      </c>
      <c r="P255" s="37">
        <v>44</v>
      </c>
      <c r="Q255" s="37" t="s">
        <v>127</v>
      </c>
      <c r="R255" s="37" t="s">
        <v>127</v>
      </c>
      <c r="S255" s="37" t="s">
        <v>127</v>
      </c>
      <c r="T255" s="37" t="s">
        <v>127</v>
      </c>
      <c r="U255" s="37" t="s">
        <v>136</v>
      </c>
      <c r="V255" s="37" t="b">
        <v>0</v>
      </c>
      <c r="W255" s="77" t="s">
        <v>127</v>
      </c>
      <c r="X255" s="123"/>
      <c r="Y255" s="83">
        <v>0.63688100000000003</v>
      </c>
      <c r="Z255" s="37" t="s">
        <v>137</v>
      </c>
      <c r="AA255" s="37">
        <v>69</v>
      </c>
      <c r="AB255" s="37" t="s">
        <v>127</v>
      </c>
      <c r="AC255" s="78">
        <v>4.0999999999999996</v>
      </c>
      <c r="AD255" s="78" t="s">
        <v>532</v>
      </c>
      <c r="AE255" s="37" t="s">
        <v>1528</v>
      </c>
      <c r="AF255" s="37">
        <v>17143</v>
      </c>
      <c r="AG255" s="37" t="s">
        <v>141</v>
      </c>
      <c r="AH255" s="37" t="b">
        <v>1</v>
      </c>
      <c r="AI255" s="76" t="s">
        <v>127</v>
      </c>
      <c r="AJ255" s="77" t="s">
        <v>142</v>
      </c>
      <c r="AK255" s="37">
        <v>2018</v>
      </c>
      <c r="AL255" s="37" t="s">
        <v>137</v>
      </c>
      <c r="AM255" s="37" t="b">
        <v>0</v>
      </c>
      <c r="AN255" s="37" t="s">
        <v>137</v>
      </c>
      <c r="AO255" s="37" t="s">
        <v>137</v>
      </c>
      <c r="AP255" s="37" t="s">
        <v>137</v>
      </c>
      <c r="AQ255" s="37" t="b">
        <v>0</v>
      </c>
      <c r="AR255" s="37" t="s">
        <v>532</v>
      </c>
      <c r="AS255" s="76" t="s">
        <v>137</v>
      </c>
      <c r="AT255" s="37" t="s">
        <v>127</v>
      </c>
      <c r="AU255" s="37" t="s">
        <v>127</v>
      </c>
      <c r="AV255" s="37" t="s">
        <v>137</v>
      </c>
      <c r="AW255" s="37" t="s">
        <v>137</v>
      </c>
      <c r="AX255" s="37" t="s">
        <v>161</v>
      </c>
      <c r="AY255" s="37" t="s">
        <v>127</v>
      </c>
      <c r="AZ255" s="37" t="s">
        <v>1072</v>
      </c>
      <c r="BA255" s="37">
        <v>2027</v>
      </c>
      <c r="BB255" s="37" t="s">
        <v>333</v>
      </c>
      <c r="BC255" s="77" t="s">
        <v>127</v>
      </c>
      <c r="BD255" s="76" t="s">
        <v>1490</v>
      </c>
      <c r="BE255" s="37" t="s">
        <v>127</v>
      </c>
      <c r="BF255" s="86" t="s">
        <v>1529</v>
      </c>
      <c r="BG255" s="39" t="s">
        <v>127</v>
      </c>
      <c r="BH255" s="37" t="s">
        <v>127</v>
      </c>
      <c r="BI255" s="40" t="b">
        <v>0</v>
      </c>
      <c r="BJ255" s="40">
        <v>359.99999000000003</v>
      </c>
      <c r="BK255" s="37" t="s">
        <v>127</v>
      </c>
      <c r="BL255" s="41">
        <v>39854.547278366925</v>
      </c>
      <c r="BM255" s="49">
        <v>504.58038999999997</v>
      </c>
      <c r="BN255" s="49">
        <v>94.461069999999992</v>
      </c>
      <c r="BO255" s="49">
        <v>15.675610000000001</v>
      </c>
      <c r="BP255" s="49">
        <v>54.574569999999994</v>
      </c>
      <c r="BQ255" s="50">
        <v>45.666519999999991</v>
      </c>
      <c r="BR255" s="50">
        <v>1756.9367511155849</v>
      </c>
      <c r="BS255" s="50">
        <v>2461.5405802861778</v>
      </c>
      <c r="BT255" s="50">
        <v>8275.443492845432</v>
      </c>
      <c r="BU255" s="50">
        <v>13608.327117968764</v>
      </c>
      <c r="BV255" s="50">
        <v>12398.092346150941</v>
      </c>
      <c r="BW255" s="50">
        <v>1299.5879199999999</v>
      </c>
      <c r="BX255" s="37" t="s">
        <v>127</v>
      </c>
      <c r="BY255" s="37" t="s">
        <v>127</v>
      </c>
      <c r="BZ255" s="37" t="s">
        <v>127</v>
      </c>
      <c r="CA255" s="41">
        <v>0</v>
      </c>
      <c r="CB255" s="41">
        <v>0</v>
      </c>
      <c r="CC255" s="41">
        <v>0</v>
      </c>
      <c r="CD255" s="41">
        <v>0</v>
      </c>
      <c r="CE255" s="41">
        <v>0</v>
      </c>
      <c r="CF255" s="41">
        <v>0</v>
      </c>
      <c r="CG255" s="45">
        <v>0</v>
      </c>
      <c r="CH255" s="45" t="s">
        <v>137</v>
      </c>
      <c r="CI255" s="37" t="s">
        <v>1530</v>
      </c>
      <c r="CJ255" s="77" t="s">
        <v>127</v>
      </c>
      <c r="CK255" s="98">
        <v>0</v>
      </c>
      <c r="CL255" s="98">
        <v>1</v>
      </c>
      <c r="CM255" s="100" t="s">
        <v>1293</v>
      </c>
    </row>
    <row r="256" spans="1:91" ht="12.75" customHeight="1" x14ac:dyDescent="0.3">
      <c r="A256" s="37">
        <v>254</v>
      </c>
      <c r="B256" s="37" t="s">
        <v>1531</v>
      </c>
      <c r="C256" s="124"/>
      <c r="D256" s="124"/>
      <c r="E256" s="37" t="s">
        <v>1395</v>
      </c>
      <c r="F256" s="36" t="s">
        <v>1532</v>
      </c>
      <c r="G256" s="75" t="s">
        <v>1223</v>
      </c>
      <c r="H256" s="37" t="s">
        <v>130</v>
      </c>
      <c r="I256" s="37" t="s">
        <v>127</v>
      </c>
      <c r="J256" s="37" t="s">
        <v>127</v>
      </c>
      <c r="K256" s="37" t="s">
        <v>132</v>
      </c>
      <c r="L256" s="75" t="s">
        <v>1533</v>
      </c>
      <c r="M256" s="37" t="s">
        <v>127</v>
      </c>
      <c r="N256" s="37" t="s">
        <v>127</v>
      </c>
      <c r="O256" s="76">
        <v>44781</v>
      </c>
      <c r="P256" s="37" t="s">
        <v>135</v>
      </c>
      <c r="Q256" s="37" t="s">
        <v>127</v>
      </c>
      <c r="R256" s="37" t="s">
        <v>127</v>
      </c>
      <c r="S256" s="37" t="s">
        <v>127</v>
      </c>
      <c r="T256" s="37" t="s">
        <v>315</v>
      </c>
      <c r="U256" s="37" t="s">
        <v>136</v>
      </c>
      <c r="V256" s="37" t="b">
        <v>0</v>
      </c>
      <c r="W256" s="77" t="s">
        <v>127</v>
      </c>
      <c r="X256" s="123"/>
      <c r="Y256" s="83">
        <v>0.23905899999999999</v>
      </c>
      <c r="Z256" s="37" t="s">
        <v>137</v>
      </c>
      <c r="AA256" s="37">
        <v>69</v>
      </c>
      <c r="AB256" s="37" t="s">
        <v>127</v>
      </c>
      <c r="AC256" s="78">
        <v>4.0999999999999996</v>
      </c>
      <c r="AD256" s="78">
        <v>2988759</v>
      </c>
      <c r="AE256" s="37" t="s">
        <v>1534</v>
      </c>
      <c r="AF256" s="37">
        <v>17145</v>
      </c>
      <c r="AG256" s="37" t="s">
        <v>141</v>
      </c>
      <c r="AH256" s="37" t="b">
        <v>1</v>
      </c>
      <c r="AI256" s="76">
        <v>42887</v>
      </c>
      <c r="AJ256" s="77" t="s">
        <v>142</v>
      </c>
      <c r="AK256" s="37">
        <v>2017</v>
      </c>
      <c r="AL256" s="37" t="s">
        <v>127</v>
      </c>
      <c r="AM256" s="37" t="b">
        <v>0</v>
      </c>
      <c r="AN256" s="37" t="s">
        <v>127</v>
      </c>
      <c r="AO256" s="37" t="s">
        <v>127</v>
      </c>
      <c r="AP256" s="37" t="s">
        <v>137</v>
      </c>
      <c r="AQ256" s="37" t="b">
        <v>0</v>
      </c>
      <c r="AR256" s="37" t="s">
        <v>127</v>
      </c>
      <c r="AS256" s="76" t="s">
        <v>137</v>
      </c>
      <c r="AT256" s="37" t="s">
        <v>389</v>
      </c>
      <c r="AU256" s="37" t="s">
        <v>127</v>
      </c>
      <c r="AV256" s="37" t="s">
        <v>137</v>
      </c>
      <c r="AW256" s="37" t="s">
        <v>137</v>
      </c>
      <c r="AX256" s="37" t="s">
        <v>161</v>
      </c>
      <c r="AY256" s="37" t="s">
        <v>127</v>
      </c>
      <c r="AZ256" s="37" t="s">
        <v>127</v>
      </c>
      <c r="BA256" s="37" t="s">
        <v>127</v>
      </c>
      <c r="BB256" s="37" t="s">
        <v>143</v>
      </c>
      <c r="BC256" s="77" t="s">
        <v>127</v>
      </c>
      <c r="BD256" s="76" t="s">
        <v>1535</v>
      </c>
      <c r="BE256" s="37" t="s">
        <v>127</v>
      </c>
      <c r="BF256" s="86" t="s">
        <v>842</v>
      </c>
      <c r="BG256" s="39" t="s">
        <v>127</v>
      </c>
      <c r="BH256" s="37" t="s">
        <v>127</v>
      </c>
      <c r="BI256" s="40" t="b">
        <v>0</v>
      </c>
      <c r="BJ256" s="40">
        <v>326.65879999999999</v>
      </c>
      <c r="BK256" s="37" t="s">
        <v>127</v>
      </c>
      <c r="BL256" s="41">
        <v>2993.532999999999</v>
      </c>
      <c r="BM256" s="49">
        <v>845.71729000000028</v>
      </c>
      <c r="BN256" s="49">
        <v>1696.8734499999998</v>
      </c>
      <c r="BO256" s="49">
        <v>96.003839999999997</v>
      </c>
      <c r="BP256" s="49">
        <v>4.3881600000000001</v>
      </c>
      <c r="BQ256" s="50">
        <v>0</v>
      </c>
      <c r="BR256" s="50">
        <v>0</v>
      </c>
      <c r="BS256" s="50">
        <v>0</v>
      </c>
      <c r="BT256" s="50">
        <v>0</v>
      </c>
      <c r="BU256" s="50">
        <v>0</v>
      </c>
      <c r="BV256" s="50">
        <v>0</v>
      </c>
      <c r="BW256" s="50">
        <v>0</v>
      </c>
      <c r="BX256" s="37" t="s">
        <v>127</v>
      </c>
      <c r="BY256" s="37" t="s">
        <v>127</v>
      </c>
      <c r="BZ256" s="37" t="s">
        <v>176</v>
      </c>
      <c r="CA256" s="41">
        <v>2724.07098</v>
      </c>
      <c r="CB256" s="41">
        <v>93.947800000000001</v>
      </c>
      <c r="CC256" s="41">
        <v>4.2942300000000007</v>
      </c>
      <c r="CD256" s="41">
        <v>0</v>
      </c>
      <c r="CE256" s="41">
        <v>0</v>
      </c>
      <c r="CF256" s="41">
        <v>0</v>
      </c>
      <c r="CG256" s="45">
        <v>0</v>
      </c>
      <c r="CH256" s="45" t="s">
        <v>137</v>
      </c>
      <c r="CI256" s="37" t="s">
        <v>127</v>
      </c>
      <c r="CJ256" s="77" t="s">
        <v>127</v>
      </c>
      <c r="CK256" s="98">
        <v>0</v>
      </c>
      <c r="CL256" s="98">
        <v>1</v>
      </c>
      <c r="CM256" s="100" t="s">
        <v>1536</v>
      </c>
    </row>
    <row r="257" spans="1:91" ht="12.75" customHeight="1" x14ac:dyDescent="0.3">
      <c r="A257" s="37">
        <v>255</v>
      </c>
      <c r="B257" s="37" t="s">
        <v>1537</v>
      </c>
      <c r="C257" s="124"/>
      <c r="D257" s="124"/>
      <c r="E257" s="37" t="s">
        <v>437</v>
      </c>
      <c r="F257" s="36" t="s">
        <v>1527</v>
      </c>
      <c r="G257" s="75" t="s">
        <v>1256</v>
      </c>
      <c r="H257" s="37" t="s">
        <v>130</v>
      </c>
      <c r="I257" s="37" t="s">
        <v>127</v>
      </c>
      <c r="J257" s="37" t="s">
        <v>127</v>
      </c>
      <c r="K257" s="37" t="s">
        <v>132</v>
      </c>
      <c r="L257" s="75" t="s">
        <v>282</v>
      </c>
      <c r="M257" s="37" t="s">
        <v>127</v>
      </c>
      <c r="N257" s="37" t="s">
        <v>127</v>
      </c>
      <c r="O257" s="76" t="s">
        <v>134</v>
      </c>
      <c r="P257" s="37">
        <v>50</v>
      </c>
      <c r="Q257" s="37" t="s">
        <v>127</v>
      </c>
      <c r="R257" s="37" t="s">
        <v>127</v>
      </c>
      <c r="S257" s="37" t="s">
        <v>127</v>
      </c>
      <c r="T257" s="37" t="s">
        <v>127</v>
      </c>
      <c r="U257" s="37" t="s">
        <v>136</v>
      </c>
      <c r="V257" s="37" t="b">
        <v>0</v>
      </c>
      <c r="W257" s="77" t="s">
        <v>127</v>
      </c>
      <c r="X257" s="123"/>
      <c r="Y257" s="83">
        <v>6.5770999999999996E-2</v>
      </c>
      <c r="Z257" s="37" t="s">
        <v>137</v>
      </c>
      <c r="AA257" s="37">
        <v>69</v>
      </c>
      <c r="AB257" s="37" t="s">
        <v>127</v>
      </c>
      <c r="AC257" s="78">
        <v>4.0999999999999996</v>
      </c>
      <c r="AD257" s="78">
        <v>2988951</v>
      </c>
      <c r="AE257" s="37" t="s">
        <v>1538</v>
      </c>
      <c r="AF257" s="37">
        <v>17147</v>
      </c>
      <c r="AG257" s="37" t="s">
        <v>141</v>
      </c>
      <c r="AH257" s="37" t="b">
        <v>1</v>
      </c>
      <c r="AI257" s="76">
        <v>44045</v>
      </c>
      <c r="AJ257" s="77" t="s">
        <v>142</v>
      </c>
      <c r="AK257" s="37">
        <v>2017</v>
      </c>
      <c r="AL257" s="37" t="s">
        <v>137</v>
      </c>
      <c r="AM257" s="37" t="b">
        <v>0</v>
      </c>
      <c r="AN257" s="37" t="s">
        <v>137</v>
      </c>
      <c r="AO257" s="37" t="s">
        <v>137</v>
      </c>
      <c r="AP257" s="37" t="s">
        <v>137</v>
      </c>
      <c r="AQ257" s="37" t="b">
        <v>0</v>
      </c>
      <c r="AR257" s="37" t="s">
        <v>532</v>
      </c>
      <c r="AS257" s="76" t="s">
        <v>137</v>
      </c>
      <c r="AT257" s="37" t="s">
        <v>127</v>
      </c>
      <c r="AU257" s="37" t="s">
        <v>127</v>
      </c>
      <c r="AV257" s="37" t="s">
        <v>137</v>
      </c>
      <c r="AW257" s="37" t="s">
        <v>137</v>
      </c>
      <c r="AX257" s="37" t="s">
        <v>1070</v>
      </c>
      <c r="AY257" s="37" t="s">
        <v>1539</v>
      </c>
      <c r="AZ257" s="37" t="s">
        <v>1072</v>
      </c>
      <c r="BA257" s="37">
        <v>2027</v>
      </c>
      <c r="BB257" s="37" t="s">
        <v>333</v>
      </c>
      <c r="BC257" s="77" t="s">
        <v>127</v>
      </c>
      <c r="BD257" s="76" t="s">
        <v>1540</v>
      </c>
      <c r="BE257" s="37" t="s">
        <v>127</v>
      </c>
      <c r="BF257" s="86" t="s">
        <v>1541</v>
      </c>
      <c r="BG257" s="39" t="s">
        <v>127</v>
      </c>
      <c r="BH257" s="37" t="s">
        <v>127</v>
      </c>
      <c r="BI257" s="40" t="b">
        <v>0</v>
      </c>
      <c r="BJ257" s="40">
        <v>1500.4159999999999</v>
      </c>
      <c r="BK257" s="37" t="s">
        <v>127</v>
      </c>
      <c r="BL257" s="41">
        <v>10381.239016898689</v>
      </c>
      <c r="BM257" s="49">
        <v>58.09473999999998</v>
      </c>
      <c r="BN257" s="49">
        <v>15.16264</v>
      </c>
      <c r="BO257" s="49">
        <v>0</v>
      </c>
      <c r="BP257" s="49">
        <v>0</v>
      </c>
      <c r="BQ257" s="50">
        <v>0</v>
      </c>
      <c r="BR257" s="50">
        <v>391.67599949477864</v>
      </c>
      <c r="BS257" s="50">
        <v>479.80042841597674</v>
      </c>
      <c r="BT257" s="50">
        <v>517.34545504495725</v>
      </c>
      <c r="BU257" s="50">
        <v>6298.8655959429825</v>
      </c>
      <c r="BV257" s="50">
        <v>2267.3194780000003</v>
      </c>
      <c r="BW257" s="50">
        <v>356.27242000000007</v>
      </c>
      <c r="BX257" s="37" t="s">
        <v>127</v>
      </c>
      <c r="BY257" s="37" t="s">
        <v>127</v>
      </c>
      <c r="BZ257" s="37" t="s">
        <v>127</v>
      </c>
      <c r="CA257" s="41">
        <v>0</v>
      </c>
      <c r="CB257" s="41">
        <v>0</v>
      </c>
      <c r="CC257" s="41">
        <v>0</v>
      </c>
      <c r="CD257" s="41">
        <v>0</v>
      </c>
      <c r="CE257" s="41">
        <v>0</v>
      </c>
      <c r="CF257" s="41">
        <v>0</v>
      </c>
      <c r="CG257" s="45">
        <v>0</v>
      </c>
      <c r="CH257" s="45" t="s">
        <v>137</v>
      </c>
      <c r="CI257" s="37" t="s">
        <v>1542</v>
      </c>
      <c r="CJ257" s="77" t="s">
        <v>127</v>
      </c>
      <c r="CK257" s="98">
        <v>0</v>
      </c>
      <c r="CL257" s="98">
        <v>1</v>
      </c>
      <c r="CM257" s="100" t="s">
        <v>1543</v>
      </c>
    </row>
    <row r="258" spans="1:91" ht="12.75" customHeight="1" x14ac:dyDescent="0.3">
      <c r="A258" s="37">
        <v>256</v>
      </c>
      <c r="B258" s="37" t="s">
        <v>1544</v>
      </c>
      <c r="C258" s="124"/>
      <c r="D258" s="124"/>
      <c r="E258" s="37" t="s">
        <v>258</v>
      </c>
      <c r="F258" s="36" t="s">
        <v>1527</v>
      </c>
      <c r="G258" s="75" t="s">
        <v>1256</v>
      </c>
      <c r="H258" s="37" t="s">
        <v>130</v>
      </c>
      <c r="I258" s="37" t="s">
        <v>127</v>
      </c>
      <c r="J258" s="37" t="s">
        <v>127</v>
      </c>
      <c r="K258" s="37" t="s">
        <v>132</v>
      </c>
      <c r="L258" s="75" t="s">
        <v>282</v>
      </c>
      <c r="M258" s="37" t="s">
        <v>127</v>
      </c>
      <c r="N258" s="37" t="s">
        <v>127</v>
      </c>
      <c r="O258" s="76" t="s">
        <v>134</v>
      </c>
      <c r="P258" s="37">
        <v>39</v>
      </c>
      <c r="Q258" s="37" t="s">
        <v>127</v>
      </c>
      <c r="R258" s="37" t="s">
        <v>127</v>
      </c>
      <c r="S258" s="37" t="s">
        <v>127</v>
      </c>
      <c r="T258" s="37" t="s">
        <v>127</v>
      </c>
      <c r="U258" s="37" t="s">
        <v>136</v>
      </c>
      <c r="V258" s="37" t="b">
        <v>0</v>
      </c>
      <c r="W258" s="77" t="s">
        <v>127</v>
      </c>
      <c r="X258" s="123"/>
      <c r="Y258" s="83">
        <v>4.0087489999999999</v>
      </c>
      <c r="Z258" s="37" t="s">
        <v>137</v>
      </c>
      <c r="AA258" s="37">
        <v>69</v>
      </c>
      <c r="AB258" s="37" t="s">
        <v>127</v>
      </c>
      <c r="AC258" s="78">
        <v>4.0999999999999996</v>
      </c>
      <c r="AD258" s="78" t="s">
        <v>532</v>
      </c>
      <c r="AE258" s="37" t="s">
        <v>1545</v>
      </c>
      <c r="AF258" s="37">
        <v>17151</v>
      </c>
      <c r="AG258" s="37" t="s">
        <v>141</v>
      </c>
      <c r="AH258" s="37" t="b">
        <v>1</v>
      </c>
      <c r="AI258" s="76" t="s">
        <v>127</v>
      </c>
      <c r="AJ258" s="77" t="s">
        <v>142</v>
      </c>
      <c r="AK258" s="37">
        <v>2018</v>
      </c>
      <c r="AL258" s="37" t="s">
        <v>127</v>
      </c>
      <c r="AM258" s="37" t="b">
        <v>0</v>
      </c>
      <c r="AN258" s="37" t="s">
        <v>137</v>
      </c>
      <c r="AO258" s="37" t="s">
        <v>137</v>
      </c>
      <c r="AP258" s="37" t="s">
        <v>137</v>
      </c>
      <c r="AQ258" s="37" t="b">
        <v>0</v>
      </c>
      <c r="AR258" s="37" t="s">
        <v>532</v>
      </c>
      <c r="AS258" s="76" t="s">
        <v>137</v>
      </c>
      <c r="AT258" s="37" t="s">
        <v>127</v>
      </c>
      <c r="AU258" s="37" t="s">
        <v>127</v>
      </c>
      <c r="AV258" s="37" t="s">
        <v>137</v>
      </c>
      <c r="AW258" s="37" t="s">
        <v>137</v>
      </c>
      <c r="AX258" s="37" t="s">
        <v>1070</v>
      </c>
      <c r="AY258" s="37" t="s">
        <v>1546</v>
      </c>
      <c r="AZ258" s="37" t="s">
        <v>1072</v>
      </c>
      <c r="BA258" s="37">
        <v>2025</v>
      </c>
      <c r="BB258" s="37" t="s">
        <v>333</v>
      </c>
      <c r="BC258" s="77" t="s">
        <v>127</v>
      </c>
      <c r="BD258" s="76" t="s">
        <v>1547</v>
      </c>
      <c r="BE258" s="37" t="s">
        <v>127</v>
      </c>
      <c r="BF258" s="86" t="s">
        <v>1548</v>
      </c>
      <c r="BG258" s="39" t="s">
        <v>127</v>
      </c>
      <c r="BH258" s="37" t="s">
        <v>127</v>
      </c>
      <c r="BI258" s="40" t="b">
        <v>0</v>
      </c>
      <c r="BJ258" s="40">
        <v>15490.906000000001</v>
      </c>
      <c r="BK258" s="37" t="s">
        <v>127</v>
      </c>
      <c r="BL258" s="41">
        <v>71212.914837071119</v>
      </c>
      <c r="BM258" s="49">
        <v>355.84135000000009</v>
      </c>
      <c r="BN258" s="49">
        <v>19.824019999999997</v>
      </c>
      <c r="BO258" s="49">
        <v>23.92277</v>
      </c>
      <c r="BP258" s="49">
        <v>23.20027</v>
      </c>
      <c r="BQ258" s="50">
        <v>23.40682</v>
      </c>
      <c r="BR258" s="50">
        <v>1249.2701092834113</v>
      </c>
      <c r="BS258" s="50">
        <v>1621.9637521015345</v>
      </c>
      <c r="BT258" s="50">
        <v>1770.723005926799</v>
      </c>
      <c r="BU258" s="50">
        <v>15002.621901480954</v>
      </c>
      <c r="BV258" s="50">
        <v>47155.531903453368</v>
      </c>
      <c r="BW258" s="50">
        <v>1877.4662500000002</v>
      </c>
      <c r="BX258" s="37" t="s">
        <v>127</v>
      </c>
      <c r="BY258" s="37" t="s">
        <v>127</v>
      </c>
      <c r="BZ258" s="37" t="s">
        <v>127</v>
      </c>
      <c r="CA258" s="41">
        <v>0</v>
      </c>
      <c r="CB258" s="41">
        <v>0</v>
      </c>
      <c r="CC258" s="41">
        <v>0</v>
      </c>
      <c r="CD258" s="41">
        <v>0</v>
      </c>
      <c r="CE258" s="41">
        <v>0</v>
      </c>
      <c r="CF258" s="41">
        <v>0</v>
      </c>
      <c r="CG258" s="45">
        <v>0</v>
      </c>
      <c r="CH258" s="45" t="s">
        <v>137</v>
      </c>
      <c r="CI258" s="37" t="s">
        <v>1549</v>
      </c>
      <c r="CJ258" s="77" t="s">
        <v>127</v>
      </c>
      <c r="CK258" s="98">
        <v>0</v>
      </c>
      <c r="CL258" s="98">
        <v>1</v>
      </c>
      <c r="CM258" s="100" t="s">
        <v>1550</v>
      </c>
    </row>
    <row r="259" spans="1:91" ht="12.75" customHeight="1" x14ac:dyDescent="0.3">
      <c r="A259" s="37">
        <v>257</v>
      </c>
      <c r="B259" s="37" t="s">
        <v>1551</v>
      </c>
      <c r="C259" s="124"/>
      <c r="D259" s="124"/>
      <c r="E259" s="37" t="s">
        <v>258</v>
      </c>
      <c r="F259" s="36" t="s">
        <v>1552</v>
      </c>
      <c r="G259" s="75" t="s">
        <v>1256</v>
      </c>
      <c r="H259" s="37" t="s">
        <v>131</v>
      </c>
      <c r="I259" s="37" t="s">
        <v>127</v>
      </c>
      <c r="J259" s="37" t="s">
        <v>127</v>
      </c>
      <c r="K259" s="37" t="s">
        <v>132</v>
      </c>
      <c r="L259" s="75" t="s">
        <v>282</v>
      </c>
      <c r="M259" s="37" t="s">
        <v>127</v>
      </c>
      <c r="N259" s="37" t="s">
        <v>127</v>
      </c>
      <c r="O259" s="76" t="s">
        <v>135</v>
      </c>
      <c r="P259" s="37">
        <v>49</v>
      </c>
      <c r="Q259" s="37" t="s">
        <v>127</v>
      </c>
      <c r="R259" s="37" t="s">
        <v>127</v>
      </c>
      <c r="S259" s="37" t="s">
        <v>127</v>
      </c>
      <c r="T259" s="37" t="s">
        <v>127</v>
      </c>
      <c r="U259" s="37" t="s">
        <v>136</v>
      </c>
      <c r="V259" s="37" t="b">
        <v>0</v>
      </c>
      <c r="W259" s="77" t="s">
        <v>127</v>
      </c>
      <c r="X259" s="123"/>
      <c r="Y259" s="83">
        <v>3.128295</v>
      </c>
      <c r="Z259" s="37" t="s">
        <v>137</v>
      </c>
      <c r="AA259" s="37">
        <v>69</v>
      </c>
      <c r="AB259" s="37" t="s">
        <v>127</v>
      </c>
      <c r="AC259" s="78">
        <v>4.0999999999999996</v>
      </c>
      <c r="AD259" s="78">
        <v>2652565</v>
      </c>
      <c r="AE259" s="37" t="s">
        <v>1553</v>
      </c>
      <c r="AF259" s="37">
        <v>17152</v>
      </c>
      <c r="AG259" s="37" t="s">
        <v>141</v>
      </c>
      <c r="AH259" s="37" t="b">
        <v>1</v>
      </c>
      <c r="AI259" s="76">
        <v>44908</v>
      </c>
      <c r="AJ259" s="77" t="s">
        <v>142</v>
      </c>
      <c r="AK259" s="37">
        <v>2018</v>
      </c>
      <c r="AL259" s="37" t="s">
        <v>127</v>
      </c>
      <c r="AM259" s="37" t="b">
        <v>0</v>
      </c>
      <c r="AN259" s="37" t="s">
        <v>127</v>
      </c>
      <c r="AO259" s="37" t="s">
        <v>127</v>
      </c>
      <c r="AP259" s="37" t="s">
        <v>137</v>
      </c>
      <c r="AQ259" s="37" t="b">
        <v>0</v>
      </c>
      <c r="AR259" s="37" t="s">
        <v>127</v>
      </c>
      <c r="AS259" s="76" t="s">
        <v>137</v>
      </c>
      <c r="AT259" s="37" t="s">
        <v>127</v>
      </c>
      <c r="AU259" s="37" t="s">
        <v>127</v>
      </c>
      <c r="AV259" s="37" t="s">
        <v>127</v>
      </c>
      <c r="AW259" s="37" t="s">
        <v>127</v>
      </c>
      <c r="AX259" s="37" t="s">
        <v>161</v>
      </c>
      <c r="AY259" s="37" t="s">
        <v>127</v>
      </c>
      <c r="AZ259" s="37" t="s">
        <v>127</v>
      </c>
      <c r="BA259" s="37" t="s">
        <v>127</v>
      </c>
      <c r="BB259" s="37" t="s">
        <v>143</v>
      </c>
      <c r="BC259" s="77" t="s">
        <v>127</v>
      </c>
      <c r="BD259" s="76" t="s">
        <v>1554</v>
      </c>
      <c r="BE259" s="37" t="s">
        <v>127</v>
      </c>
      <c r="BF259" s="86" t="s">
        <v>1555</v>
      </c>
      <c r="BG259" s="39" t="s">
        <v>219</v>
      </c>
      <c r="BH259" s="37" t="s">
        <v>1160</v>
      </c>
      <c r="BI259" s="40" t="b">
        <v>1</v>
      </c>
      <c r="BJ259" s="40">
        <v>2600</v>
      </c>
      <c r="BK259" s="37" t="s">
        <v>127</v>
      </c>
      <c r="BL259" s="41">
        <v>63906.534037750927</v>
      </c>
      <c r="BM259" s="49">
        <v>3222.361379342</v>
      </c>
      <c r="BN259" s="49">
        <v>8966.5882562149964</v>
      </c>
      <c r="BO259" s="49">
        <v>13966.813206301002</v>
      </c>
      <c r="BP259" s="49">
        <v>19647.114255682001</v>
      </c>
      <c r="BQ259" s="50">
        <v>15471.403306289996</v>
      </c>
      <c r="BR259" s="50">
        <v>-209.19289063500014</v>
      </c>
      <c r="BS259" s="50">
        <v>0</v>
      </c>
      <c r="BT259" s="50">
        <v>0</v>
      </c>
      <c r="BU259" s="50">
        <v>0</v>
      </c>
      <c r="BV259" s="50">
        <v>0</v>
      </c>
      <c r="BW259" s="50">
        <v>0</v>
      </c>
      <c r="BX259" s="37" t="s">
        <v>127</v>
      </c>
      <c r="BY259" s="37" t="s">
        <v>127</v>
      </c>
      <c r="BZ259" s="37" t="s">
        <v>155</v>
      </c>
      <c r="CA259" s="41">
        <v>5800.3574800000006</v>
      </c>
      <c r="CB259" s="41">
        <v>-170.83500999999998</v>
      </c>
      <c r="CC259" s="41">
        <v>244.55466999999999</v>
      </c>
      <c r="CD259" s="41">
        <v>58004.767589999989</v>
      </c>
      <c r="CE259" s="41">
        <v>-261.31073000000009</v>
      </c>
      <c r="CF259" s="41">
        <v>-207.41257063500021</v>
      </c>
      <c r="CG259" s="45">
        <v>0</v>
      </c>
      <c r="CH259" s="45" t="s">
        <v>137</v>
      </c>
      <c r="CI259" s="37" t="s">
        <v>127</v>
      </c>
      <c r="CJ259" s="77" t="s">
        <v>127</v>
      </c>
      <c r="CK259" s="98">
        <v>0</v>
      </c>
      <c r="CL259" s="98">
        <v>1</v>
      </c>
      <c r="CM259" s="100" t="s">
        <v>1556</v>
      </c>
    </row>
    <row r="260" spans="1:91" ht="12.75" customHeight="1" x14ac:dyDescent="0.3">
      <c r="A260" s="37">
        <v>258</v>
      </c>
      <c r="B260" s="37" t="s">
        <v>1557</v>
      </c>
      <c r="C260" s="124"/>
      <c r="D260" s="124"/>
      <c r="E260" s="37" t="s">
        <v>258</v>
      </c>
      <c r="F260" s="36" t="s">
        <v>1558</v>
      </c>
      <c r="G260" s="75" t="s">
        <v>148</v>
      </c>
      <c r="H260" s="37" t="s">
        <v>131</v>
      </c>
      <c r="I260" s="37" t="s">
        <v>127</v>
      </c>
      <c r="J260" s="37" t="s">
        <v>127</v>
      </c>
      <c r="K260" s="37" t="s">
        <v>132</v>
      </c>
      <c r="L260" s="75" t="s">
        <v>149</v>
      </c>
      <c r="M260" s="37" t="s">
        <v>127</v>
      </c>
      <c r="N260" s="37" t="s">
        <v>127</v>
      </c>
      <c r="O260" s="76">
        <v>45210.407731481479</v>
      </c>
      <c r="P260" s="37" t="s">
        <v>1559</v>
      </c>
      <c r="Q260" s="37" t="s">
        <v>239</v>
      </c>
      <c r="R260" s="37" t="s">
        <v>426</v>
      </c>
      <c r="S260" s="37" t="s">
        <v>127</v>
      </c>
      <c r="T260" s="37" t="s">
        <v>127</v>
      </c>
      <c r="U260" s="37" t="s">
        <v>136</v>
      </c>
      <c r="V260" s="37" t="b">
        <v>0</v>
      </c>
      <c r="W260" s="77" t="s">
        <v>127</v>
      </c>
      <c r="X260" s="123"/>
      <c r="Y260" s="83">
        <v>3.128295</v>
      </c>
      <c r="Z260" s="83">
        <v>1.7191909999999999</v>
      </c>
      <c r="AA260" s="37">
        <v>69</v>
      </c>
      <c r="AB260" s="37" t="s">
        <v>1560</v>
      </c>
      <c r="AC260" s="78">
        <v>2.1</v>
      </c>
      <c r="AD260" s="78">
        <v>5981930</v>
      </c>
      <c r="AE260" s="37" t="s">
        <v>1561</v>
      </c>
      <c r="AF260" s="37">
        <v>17153</v>
      </c>
      <c r="AG260" s="37" t="s">
        <v>141</v>
      </c>
      <c r="AH260" s="37" t="b">
        <v>1</v>
      </c>
      <c r="AI260" s="76">
        <v>43070</v>
      </c>
      <c r="AJ260" s="77" t="s">
        <v>142</v>
      </c>
      <c r="AK260" s="37">
        <v>2017</v>
      </c>
      <c r="AL260" s="37" t="s">
        <v>127</v>
      </c>
      <c r="AM260" s="37" t="b">
        <v>0</v>
      </c>
      <c r="AN260" s="37" t="s">
        <v>127</v>
      </c>
      <c r="AO260" s="37" t="s">
        <v>127</v>
      </c>
      <c r="AP260" s="37" t="s">
        <v>137</v>
      </c>
      <c r="AQ260" s="37" t="b">
        <v>0</v>
      </c>
      <c r="AR260" s="37" t="s">
        <v>127</v>
      </c>
      <c r="AS260" s="76" t="s">
        <v>137</v>
      </c>
      <c r="AT260" s="37" t="s">
        <v>127</v>
      </c>
      <c r="AU260" s="37" t="s">
        <v>127</v>
      </c>
      <c r="AV260" s="37" t="s">
        <v>137</v>
      </c>
      <c r="AW260" s="37" t="s">
        <v>137</v>
      </c>
      <c r="AX260" s="37" t="s">
        <v>161</v>
      </c>
      <c r="AY260" s="37" t="s">
        <v>127</v>
      </c>
      <c r="AZ260" s="37" t="s">
        <v>127</v>
      </c>
      <c r="BA260" s="37" t="s">
        <v>127</v>
      </c>
      <c r="BB260" s="37" t="s">
        <v>143</v>
      </c>
      <c r="BC260" s="77" t="s">
        <v>127</v>
      </c>
      <c r="BD260" s="76" t="s">
        <v>1562</v>
      </c>
      <c r="BE260" s="37" t="s">
        <v>127</v>
      </c>
      <c r="BF260" s="86" t="s">
        <v>1563</v>
      </c>
      <c r="BG260" s="39" t="s">
        <v>127</v>
      </c>
      <c r="BH260" s="37" t="s">
        <v>127</v>
      </c>
      <c r="BI260" s="40" t="b">
        <v>0</v>
      </c>
      <c r="BJ260" s="40">
        <v>2020.0000199999999</v>
      </c>
      <c r="BK260" s="37" t="s">
        <v>127</v>
      </c>
      <c r="BL260" s="41">
        <v>16774.560580537993</v>
      </c>
      <c r="BM260" s="49">
        <v>7061.3651835960081</v>
      </c>
      <c r="BN260" s="49">
        <v>5275.3921678800007</v>
      </c>
      <c r="BO260" s="49">
        <v>2445.2319842459997</v>
      </c>
      <c r="BP260" s="49">
        <v>3.3716718460000124</v>
      </c>
      <c r="BQ260" s="50">
        <v>0</v>
      </c>
      <c r="BR260" s="50">
        <v>0</v>
      </c>
      <c r="BS260" s="50">
        <v>0</v>
      </c>
      <c r="BT260" s="50">
        <v>0</v>
      </c>
      <c r="BU260" s="50">
        <v>0</v>
      </c>
      <c r="BV260" s="50">
        <v>0</v>
      </c>
      <c r="BW260" s="50">
        <v>0</v>
      </c>
      <c r="BX260" s="37" t="s">
        <v>127</v>
      </c>
      <c r="BY260" s="37" t="s">
        <v>127</v>
      </c>
      <c r="BZ260" s="37" t="s">
        <v>176</v>
      </c>
      <c r="CA260" s="41">
        <v>94.456109999999995</v>
      </c>
      <c r="CB260" s="41">
        <v>16305.062639999998</v>
      </c>
      <c r="CC260" s="41">
        <v>3.1479900000000014</v>
      </c>
      <c r="CD260" s="41">
        <v>0</v>
      </c>
      <c r="CE260" s="41">
        <v>0</v>
      </c>
      <c r="CF260" s="41">
        <v>0</v>
      </c>
      <c r="CG260" s="45">
        <v>0</v>
      </c>
      <c r="CH260" s="45" t="s">
        <v>137</v>
      </c>
      <c r="CI260" s="37" t="s">
        <v>127</v>
      </c>
      <c r="CJ260" s="77" t="s">
        <v>127</v>
      </c>
      <c r="CK260" s="98">
        <v>0</v>
      </c>
      <c r="CL260" s="98">
        <v>1</v>
      </c>
      <c r="CM260" s="100" t="s">
        <v>1564</v>
      </c>
    </row>
    <row r="261" spans="1:91" ht="12.75" customHeight="1" x14ac:dyDescent="0.3">
      <c r="A261" s="37">
        <v>259</v>
      </c>
      <c r="B261" s="37" t="s">
        <v>1565</v>
      </c>
      <c r="C261" s="124"/>
      <c r="D261" s="124"/>
      <c r="E261" s="37" t="s">
        <v>437</v>
      </c>
      <c r="F261" s="36" t="s">
        <v>1566</v>
      </c>
      <c r="G261" s="75" t="s">
        <v>1223</v>
      </c>
      <c r="H261" s="37" t="s">
        <v>130</v>
      </c>
      <c r="I261" s="37" t="s">
        <v>127</v>
      </c>
      <c r="J261" s="37" t="s">
        <v>127</v>
      </c>
      <c r="K261" s="37" t="s">
        <v>132</v>
      </c>
      <c r="L261" s="75" t="s">
        <v>1533</v>
      </c>
      <c r="M261" s="37" t="s">
        <v>127</v>
      </c>
      <c r="N261" s="37" t="s">
        <v>127</v>
      </c>
      <c r="O261" s="76" t="s">
        <v>127</v>
      </c>
      <c r="P261" s="37" t="s">
        <v>135</v>
      </c>
      <c r="Q261" s="37" t="s">
        <v>127</v>
      </c>
      <c r="R261" s="37" t="s">
        <v>127</v>
      </c>
      <c r="S261" s="37" t="s">
        <v>127</v>
      </c>
      <c r="T261" s="37" t="s">
        <v>127</v>
      </c>
      <c r="U261" s="37" t="s">
        <v>136</v>
      </c>
      <c r="V261" s="37" t="b">
        <v>0</v>
      </c>
      <c r="W261" s="77" t="s">
        <v>127</v>
      </c>
      <c r="X261" s="123"/>
      <c r="Y261" s="83">
        <v>0.15745500000000001</v>
      </c>
      <c r="Z261" s="37" t="s">
        <v>137</v>
      </c>
      <c r="AA261" s="37">
        <v>69</v>
      </c>
      <c r="AB261" s="37" t="s">
        <v>127</v>
      </c>
      <c r="AC261" s="78">
        <v>4.0999999999999996</v>
      </c>
      <c r="AD261" s="78">
        <v>29829260</v>
      </c>
      <c r="AE261" s="37" t="s">
        <v>1567</v>
      </c>
      <c r="AF261" s="37">
        <v>17157</v>
      </c>
      <c r="AG261" s="37" t="s">
        <v>141</v>
      </c>
      <c r="AH261" s="37" t="b">
        <v>1</v>
      </c>
      <c r="AI261" s="76">
        <v>43497</v>
      </c>
      <c r="AJ261" s="77" t="s">
        <v>142</v>
      </c>
      <c r="AK261" s="37">
        <v>2018</v>
      </c>
      <c r="AL261" s="37" t="s">
        <v>127</v>
      </c>
      <c r="AM261" s="37" t="b">
        <v>0</v>
      </c>
      <c r="AN261" s="37" t="s">
        <v>127</v>
      </c>
      <c r="AO261" s="37" t="s">
        <v>127</v>
      </c>
      <c r="AP261" s="37" t="s">
        <v>137</v>
      </c>
      <c r="AQ261" s="37" t="b">
        <v>0</v>
      </c>
      <c r="AR261" s="37" t="s">
        <v>127</v>
      </c>
      <c r="AS261" s="76" t="s">
        <v>137</v>
      </c>
      <c r="AT261" s="37" t="s">
        <v>389</v>
      </c>
      <c r="AU261" s="37" t="s">
        <v>127</v>
      </c>
      <c r="AV261" s="37" t="s">
        <v>137</v>
      </c>
      <c r="AW261" s="37" t="s">
        <v>137</v>
      </c>
      <c r="AX261" s="37" t="s">
        <v>161</v>
      </c>
      <c r="AY261" s="37" t="s">
        <v>127</v>
      </c>
      <c r="AZ261" s="37" t="s">
        <v>127</v>
      </c>
      <c r="BA261" s="37" t="s">
        <v>127</v>
      </c>
      <c r="BB261" s="37" t="s">
        <v>143</v>
      </c>
      <c r="BC261" s="77" t="s">
        <v>127</v>
      </c>
      <c r="BD261" s="76" t="s">
        <v>1535</v>
      </c>
      <c r="BE261" s="37" t="s">
        <v>127</v>
      </c>
      <c r="BF261" s="86" t="s">
        <v>1563</v>
      </c>
      <c r="BG261" s="39" t="s">
        <v>127</v>
      </c>
      <c r="BH261" s="37" t="s">
        <v>127</v>
      </c>
      <c r="BI261" s="40" t="b">
        <v>0</v>
      </c>
      <c r="BJ261" s="40">
        <v>1947.8320000000001</v>
      </c>
      <c r="BK261" s="37" t="s">
        <v>127</v>
      </c>
      <c r="BL261" s="41">
        <v>2289.5055399999978</v>
      </c>
      <c r="BM261" s="49">
        <v>608.84729000000038</v>
      </c>
      <c r="BN261" s="49">
        <v>1260.4668800000004</v>
      </c>
      <c r="BO261" s="49">
        <v>129.17622999999998</v>
      </c>
      <c r="BP261" s="49">
        <v>79.144220000000047</v>
      </c>
      <c r="BQ261" s="50">
        <v>186.66991000000002</v>
      </c>
      <c r="BR261" s="50">
        <v>0</v>
      </c>
      <c r="BS261" s="50">
        <v>0</v>
      </c>
      <c r="BT261" s="50">
        <v>0</v>
      </c>
      <c r="BU261" s="50">
        <v>0</v>
      </c>
      <c r="BV261" s="50">
        <v>0</v>
      </c>
      <c r="BW261" s="50">
        <v>0</v>
      </c>
      <c r="BX261" s="37" t="s">
        <v>127</v>
      </c>
      <c r="BY261" s="37" t="s">
        <v>127</v>
      </c>
      <c r="BZ261" s="37" t="s">
        <v>203</v>
      </c>
      <c r="CA261" s="41">
        <v>1786.5113700000004</v>
      </c>
      <c r="CB261" s="41">
        <v>116.36638000000001</v>
      </c>
      <c r="CC261" s="41">
        <v>71.284830000000014</v>
      </c>
      <c r="CD261" s="41">
        <v>168.09965000000008</v>
      </c>
      <c r="CE261" s="41">
        <v>0</v>
      </c>
      <c r="CF261" s="41">
        <v>0</v>
      </c>
      <c r="CG261" s="45">
        <v>0</v>
      </c>
      <c r="CH261" s="45" t="s">
        <v>137</v>
      </c>
      <c r="CI261" s="37" t="s">
        <v>127</v>
      </c>
      <c r="CJ261" s="77" t="s">
        <v>127</v>
      </c>
      <c r="CK261" s="98">
        <v>0</v>
      </c>
      <c r="CL261" s="98">
        <v>1</v>
      </c>
      <c r="CM261" s="100" t="s">
        <v>1568</v>
      </c>
    </row>
    <row r="262" spans="1:91" ht="12.75" customHeight="1" x14ac:dyDescent="0.3">
      <c r="A262" s="37">
        <v>260</v>
      </c>
      <c r="B262" s="37" t="s">
        <v>1569</v>
      </c>
      <c r="C262" s="124"/>
      <c r="D262" s="124"/>
      <c r="E262" s="37" t="s">
        <v>685</v>
      </c>
      <c r="F262" s="36" t="s">
        <v>1570</v>
      </c>
      <c r="G262" s="75" t="s">
        <v>148</v>
      </c>
      <c r="H262" s="37" t="s">
        <v>131</v>
      </c>
      <c r="I262" s="37" t="s">
        <v>127</v>
      </c>
      <c r="J262" s="37" t="s">
        <v>127</v>
      </c>
      <c r="K262" s="37" t="s">
        <v>132</v>
      </c>
      <c r="L262" s="75" t="s">
        <v>282</v>
      </c>
      <c r="M262" s="37" t="s">
        <v>127</v>
      </c>
      <c r="N262" s="37" t="s">
        <v>127</v>
      </c>
      <c r="O262" s="76">
        <v>45216.552083333343</v>
      </c>
      <c r="P262" s="37" t="s">
        <v>1571</v>
      </c>
      <c r="Q262" s="37" t="s">
        <v>239</v>
      </c>
      <c r="R262" s="37" t="s">
        <v>426</v>
      </c>
      <c r="S262" s="37" t="s">
        <v>127</v>
      </c>
      <c r="T262" s="37" t="s">
        <v>127</v>
      </c>
      <c r="U262" s="37" t="s">
        <v>136</v>
      </c>
      <c r="V262" s="37" t="b">
        <v>0</v>
      </c>
      <c r="W262" s="77" t="s">
        <v>127</v>
      </c>
      <c r="X262" s="123"/>
      <c r="Y262" s="37" t="s">
        <v>137</v>
      </c>
      <c r="Z262" s="83">
        <v>1.591493</v>
      </c>
      <c r="AA262" s="37">
        <v>69</v>
      </c>
      <c r="AB262" s="37" t="s">
        <v>1560</v>
      </c>
      <c r="AC262" s="78">
        <v>4.0999999999999996</v>
      </c>
      <c r="AD262" s="78">
        <v>5981931</v>
      </c>
      <c r="AE262" s="37" t="s">
        <v>1572</v>
      </c>
      <c r="AF262" s="37">
        <v>17160</v>
      </c>
      <c r="AG262" s="37" t="s">
        <v>141</v>
      </c>
      <c r="AH262" s="37" t="b">
        <v>1</v>
      </c>
      <c r="AI262" s="76">
        <v>43084</v>
      </c>
      <c r="AJ262" s="77" t="s">
        <v>142</v>
      </c>
      <c r="AK262" s="37">
        <v>2018</v>
      </c>
      <c r="AL262" s="37" t="s">
        <v>127</v>
      </c>
      <c r="AM262" s="37" t="b">
        <v>0</v>
      </c>
      <c r="AN262" s="37" t="s">
        <v>127</v>
      </c>
      <c r="AO262" s="37" t="s">
        <v>127</v>
      </c>
      <c r="AP262" s="37" t="s">
        <v>137</v>
      </c>
      <c r="AQ262" s="37" t="b">
        <v>0</v>
      </c>
      <c r="AR262" s="37" t="s">
        <v>127</v>
      </c>
      <c r="AS262" s="76" t="s">
        <v>137</v>
      </c>
      <c r="AT262" s="37" t="s">
        <v>127</v>
      </c>
      <c r="AU262" s="37" t="s">
        <v>127</v>
      </c>
      <c r="AV262" s="37" t="s">
        <v>137</v>
      </c>
      <c r="AW262" s="37" t="s">
        <v>137</v>
      </c>
      <c r="AX262" s="37" t="s">
        <v>161</v>
      </c>
      <c r="AY262" s="37" t="s">
        <v>127</v>
      </c>
      <c r="AZ262" s="37" t="s">
        <v>127</v>
      </c>
      <c r="BA262" s="37" t="s">
        <v>127</v>
      </c>
      <c r="BB262" s="37" t="s">
        <v>154</v>
      </c>
      <c r="BC262" s="77" t="s">
        <v>127</v>
      </c>
      <c r="BD262" s="76" t="s">
        <v>1573</v>
      </c>
      <c r="BE262" s="76">
        <v>44864</v>
      </c>
      <c r="BF262" s="86" t="s">
        <v>1574</v>
      </c>
      <c r="BG262" s="39" t="s">
        <v>127</v>
      </c>
      <c r="BH262" s="37" t="s">
        <v>127</v>
      </c>
      <c r="BI262" s="40" t="b">
        <v>0</v>
      </c>
      <c r="BJ262" s="40">
        <v>800</v>
      </c>
      <c r="BK262" s="37" t="s">
        <v>127</v>
      </c>
      <c r="BL262" s="41">
        <v>6570.2051797272306</v>
      </c>
      <c r="BM262" s="49">
        <v>459.00762002999971</v>
      </c>
      <c r="BN262" s="49">
        <v>18.497127254999985</v>
      </c>
      <c r="BO262" s="49">
        <v>12.327143465000008</v>
      </c>
      <c r="BP262" s="49">
        <v>7.0906364490000069</v>
      </c>
      <c r="BQ262" s="50">
        <v>9.2735155380000034</v>
      </c>
      <c r="BR262" s="50">
        <v>0</v>
      </c>
      <c r="BS262" s="50">
        <v>221.74762852408742</v>
      </c>
      <c r="BT262" s="50">
        <v>3379.7724740764488</v>
      </c>
      <c r="BU262" s="50">
        <v>2120.4247192863995</v>
      </c>
      <c r="BV262" s="50">
        <v>250.75989703929667</v>
      </c>
      <c r="BW262" s="50">
        <v>559.26708999999994</v>
      </c>
      <c r="BX262" s="37" t="s">
        <v>127</v>
      </c>
      <c r="BY262" s="37" t="s">
        <v>127</v>
      </c>
      <c r="BZ262" s="37" t="s">
        <v>127</v>
      </c>
      <c r="CA262" s="41">
        <v>0</v>
      </c>
      <c r="CB262" s="41">
        <v>0</v>
      </c>
      <c r="CC262" s="41">
        <v>0</v>
      </c>
      <c r="CD262" s="41">
        <v>0</v>
      </c>
      <c r="CE262" s="41">
        <v>0</v>
      </c>
      <c r="CF262" s="41">
        <v>0</v>
      </c>
      <c r="CG262" s="45">
        <v>0</v>
      </c>
      <c r="CH262" s="45" t="s">
        <v>137</v>
      </c>
      <c r="CI262" s="37" t="s">
        <v>127</v>
      </c>
      <c r="CJ262" s="77" t="s">
        <v>127</v>
      </c>
      <c r="CK262" s="98">
        <v>0</v>
      </c>
      <c r="CL262" s="98">
        <v>1</v>
      </c>
      <c r="CM262" s="100" t="s">
        <v>1575</v>
      </c>
    </row>
    <row r="263" spans="1:91" ht="12.75" customHeight="1" x14ac:dyDescent="0.3">
      <c r="A263" s="37">
        <v>261</v>
      </c>
      <c r="B263" s="37" t="s">
        <v>1576</v>
      </c>
      <c r="C263" s="124"/>
      <c r="D263" s="124"/>
      <c r="E263" s="37" t="s">
        <v>1577</v>
      </c>
      <c r="F263" s="36" t="s">
        <v>1578</v>
      </c>
      <c r="G263" s="75" t="s">
        <v>148</v>
      </c>
      <c r="H263" s="37" t="s">
        <v>130</v>
      </c>
      <c r="I263" s="37" t="s">
        <v>131</v>
      </c>
      <c r="J263" s="37" t="s">
        <v>127</v>
      </c>
      <c r="K263" s="37" t="s">
        <v>132</v>
      </c>
      <c r="L263" s="75" t="s">
        <v>149</v>
      </c>
      <c r="M263" s="37" t="s">
        <v>127</v>
      </c>
      <c r="N263" s="37" t="s">
        <v>127</v>
      </c>
      <c r="O263" s="76">
        <v>45208.409305555557</v>
      </c>
      <c r="P263" s="37" t="s">
        <v>1579</v>
      </c>
      <c r="Q263" s="37" t="s">
        <v>127</v>
      </c>
      <c r="R263" s="37" t="s">
        <v>127</v>
      </c>
      <c r="S263" s="37" t="s">
        <v>127</v>
      </c>
      <c r="T263" s="37" t="s">
        <v>127</v>
      </c>
      <c r="U263" s="37" t="s">
        <v>136</v>
      </c>
      <c r="V263" s="37" t="b">
        <v>0</v>
      </c>
      <c r="W263" s="77" t="s">
        <v>127</v>
      </c>
      <c r="X263" s="123"/>
      <c r="Y263" s="37" t="s">
        <v>137</v>
      </c>
      <c r="Z263" s="83">
        <v>4.6631099999999996</v>
      </c>
      <c r="AA263" s="37">
        <v>230</v>
      </c>
      <c r="AB263" s="37" t="s">
        <v>1125</v>
      </c>
      <c r="AC263" s="78">
        <v>4.0999999999999996</v>
      </c>
      <c r="AD263" s="78">
        <v>5981933</v>
      </c>
      <c r="AE263" s="37" t="s">
        <v>1580</v>
      </c>
      <c r="AF263" s="37">
        <v>18127</v>
      </c>
      <c r="AG263" s="37" t="s">
        <v>141</v>
      </c>
      <c r="AH263" s="37" t="b">
        <v>1</v>
      </c>
      <c r="AI263" s="76">
        <v>43160</v>
      </c>
      <c r="AJ263" s="77" t="s">
        <v>142</v>
      </c>
      <c r="AK263" s="37">
        <v>2018</v>
      </c>
      <c r="AL263" s="37" t="s">
        <v>127</v>
      </c>
      <c r="AM263" s="37" t="b">
        <v>0</v>
      </c>
      <c r="AN263" s="37" t="s">
        <v>127</v>
      </c>
      <c r="AO263" s="37" t="s">
        <v>127</v>
      </c>
      <c r="AP263" s="37" t="s">
        <v>137</v>
      </c>
      <c r="AQ263" s="37" t="b">
        <v>0</v>
      </c>
      <c r="AR263" s="37" t="s">
        <v>127</v>
      </c>
      <c r="AS263" s="76" t="s">
        <v>137</v>
      </c>
      <c r="AT263" s="37" t="s">
        <v>389</v>
      </c>
      <c r="AU263" s="37" t="s">
        <v>127</v>
      </c>
      <c r="AV263" s="37" t="s">
        <v>127</v>
      </c>
      <c r="AW263" s="37" t="s">
        <v>137</v>
      </c>
      <c r="AX263" s="37" t="s">
        <v>532</v>
      </c>
      <c r="AY263" s="37" t="s">
        <v>127</v>
      </c>
      <c r="AZ263" s="37" t="s">
        <v>127</v>
      </c>
      <c r="BA263" s="37" t="s">
        <v>127</v>
      </c>
      <c r="BB263" s="37" t="s">
        <v>154</v>
      </c>
      <c r="BC263" s="77" t="s">
        <v>127</v>
      </c>
      <c r="BD263" s="76">
        <v>46569</v>
      </c>
      <c r="BE263" s="37" t="s">
        <v>127</v>
      </c>
      <c r="BF263" s="86">
        <v>47573</v>
      </c>
      <c r="BG263" s="39" t="s">
        <v>127</v>
      </c>
      <c r="BH263" s="37" t="s">
        <v>127</v>
      </c>
      <c r="BI263" s="40" t="b">
        <v>0</v>
      </c>
      <c r="BJ263" s="40">
        <v>982</v>
      </c>
      <c r="BK263" s="37" t="s">
        <v>127</v>
      </c>
      <c r="BL263" s="41">
        <v>177332.77959501412</v>
      </c>
      <c r="BM263" s="49">
        <v>10.274619999999997</v>
      </c>
      <c r="BN263" s="49">
        <v>1.14524</v>
      </c>
      <c r="BO263" s="49">
        <v>5.8670300000000006</v>
      </c>
      <c r="BP263" s="49">
        <v>14.055389999999999</v>
      </c>
      <c r="BQ263" s="50">
        <v>45.366399999999999</v>
      </c>
      <c r="BR263" s="50">
        <v>440.54056506282535</v>
      </c>
      <c r="BS263" s="50">
        <v>5846.1445459262914</v>
      </c>
      <c r="BT263" s="50">
        <v>6704.1663397173807</v>
      </c>
      <c r="BU263" s="50">
        <v>53118.114097798876</v>
      </c>
      <c r="BV263" s="50">
        <v>58667.91557908793</v>
      </c>
      <c r="BW263" s="50">
        <v>183.59715000000003</v>
      </c>
      <c r="BX263" s="37" t="s">
        <v>127</v>
      </c>
      <c r="BY263" s="37" t="s">
        <v>127</v>
      </c>
      <c r="BZ263" s="37" t="s">
        <v>127</v>
      </c>
      <c r="CA263" s="41">
        <v>0</v>
      </c>
      <c r="CB263" s="41">
        <v>0</v>
      </c>
      <c r="CC263" s="41">
        <v>0</v>
      </c>
      <c r="CD263" s="41">
        <v>0</v>
      </c>
      <c r="CE263" s="41">
        <v>0</v>
      </c>
      <c r="CF263" s="41">
        <v>0</v>
      </c>
      <c r="CG263" s="45">
        <v>0</v>
      </c>
      <c r="CH263" s="45" t="s">
        <v>137</v>
      </c>
      <c r="CI263" s="37" t="s">
        <v>1581</v>
      </c>
      <c r="CJ263" s="77" t="s">
        <v>127</v>
      </c>
      <c r="CK263" s="98">
        <v>1</v>
      </c>
      <c r="CL263" s="98">
        <v>0</v>
      </c>
      <c r="CM263" s="100" t="s">
        <v>1582</v>
      </c>
    </row>
    <row r="264" spans="1:91" ht="12.75" customHeight="1" x14ac:dyDescent="0.3">
      <c r="A264" s="37">
        <v>262</v>
      </c>
      <c r="B264" s="37" t="s">
        <v>1583</v>
      </c>
      <c r="C264" s="124"/>
      <c r="D264" s="124"/>
      <c r="E264" s="37" t="s">
        <v>258</v>
      </c>
      <c r="F264" s="36" t="s">
        <v>1584</v>
      </c>
      <c r="G264" s="75" t="s">
        <v>148</v>
      </c>
      <c r="H264" s="37" t="s">
        <v>130</v>
      </c>
      <c r="I264" s="37" t="s">
        <v>131</v>
      </c>
      <c r="J264" s="37" t="s">
        <v>127</v>
      </c>
      <c r="K264" s="37" t="s">
        <v>132</v>
      </c>
      <c r="L264" s="75" t="s">
        <v>149</v>
      </c>
      <c r="M264" s="37" t="s">
        <v>127</v>
      </c>
      <c r="N264" s="37" t="s">
        <v>127</v>
      </c>
      <c r="O264" s="76">
        <v>45225.405381944453</v>
      </c>
      <c r="P264" s="37">
        <v>51</v>
      </c>
      <c r="Q264" s="37" t="s">
        <v>239</v>
      </c>
      <c r="R264" s="37" t="s">
        <v>127</v>
      </c>
      <c r="S264" s="37" t="s">
        <v>127</v>
      </c>
      <c r="T264" s="37" t="s">
        <v>127</v>
      </c>
      <c r="U264" s="37" t="s">
        <v>136</v>
      </c>
      <c r="V264" s="37" t="b">
        <v>0</v>
      </c>
      <c r="W264" s="77" t="s">
        <v>1107</v>
      </c>
      <c r="X264" s="123"/>
      <c r="Y264" s="37" t="s">
        <v>137</v>
      </c>
      <c r="Z264" s="83">
        <v>8.9966640000000009</v>
      </c>
      <c r="AA264" s="37">
        <v>69</v>
      </c>
      <c r="AB264" s="37" t="s">
        <v>306</v>
      </c>
      <c r="AC264" s="78">
        <v>4.0999999999999996</v>
      </c>
      <c r="AD264" s="78">
        <v>5981934</v>
      </c>
      <c r="AE264" s="37" t="s">
        <v>1585</v>
      </c>
      <c r="AF264" s="37">
        <v>18128</v>
      </c>
      <c r="AG264" s="37" t="s">
        <v>141</v>
      </c>
      <c r="AH264" s="37" t="b">
        <v>1</v>
      </c>
      <c r="AI264" s="76">
        <v>43160</v>
      </c>
      <c r="AJ264" s="77" t="s">
        <v>142</v>
      </c>
      <c r="AK264" s="37">
        <v>2018</v>
      </c>
      <c r="AL264" s="37" t="s">
        <v>127</v>
      </c>
      <c r="AM264" s="37" t="b">
        <v>0</v>
      </c>
      <c r="AN264" s="37" t="s">
        <v>127</v>
      </c>
      <c r="AO264" s="37" t="s">
        <v>127</v>
      </c>
      <c r="AP264" s="37" t="s">
        <v>137</v>
      </c>
      <c r="AQ264" s="37" t="b">
        <v>0</v>
      </c>
      <c r="AR264" s="37" t="s">
        <v>127</v>
      </c>
      <c r="AS264" s="76" t="s">
        <v>137</v>
      </c>
      <c r="AT264" s="37" t="s">
        <v>389</v>
      </c>
      <c r="AU264" s="37" t="s">
        <v>127</v>
      </c>
      <c r="AV264" s="37" t="s">
        <v>137</v>
      </c>
      <c r="AW264" s="37" t="s">
        <v>137</v>
      </c>
      <c r="AX264" s="37" t="s">
        <v>161</v>
      </c>
      <c r="AY264" s="37" t="s">
        <v>127</v>
      </c>
      <c r="AZ264" s="37" t="s">
        <v>127</v>
      </c>
      <c r="BA264" s="37" t="s">
        <v>127</v>
      </c>
      <c r="BB264" s="37" t="s">
        <v>443</v>
      </c>
      <c r="BC264" s="77" t="s">
        <v>127</v>
      </c>
      <c r="BD264" s="76" t="s">
        <v>1586</v>
      </c>
      <c r="BE264" s="76">
        <v>45540</v>
      </c>
      <c r="BF264" s="86" t="s">
        <v>1587</v>
      </c>
      <c r="BG264" s="39" t="s">
        <v>127</v>
      </c>
      <c r="BH264" s="37" t="s">
        <v>127</v>
      </c>
      <c r="BI264" s="40" t="b">
        <v>0</v>
      </c>
      <c r="BJ264" s="40">
        <v>97625.009640000004</v>
      </c>
      <c r="BK264" s="37" t="s">
        <v>127</v>
      </c>
      <c r="BL264" s="41">
        <v>125574.9921281719</v>
      </c>
      <c r="BM264" s="49">
        <v>39.86618</v>
      </c>
      <c r="BN264" s="49">
        <v>7.7251199999999995</v>
      </c>
      <c r="BO264" s="49">
        <v>821.60716000000025</v>
      </c>
      <c r="BP264" s="49">
        <v>16116.683200350995</v>
      </c>
      <c r="BQ264" s="50">
        <v>28213.666677430996</v>
      </c>
      <c r="BR264" s="50">
        <v>44740.290916235463</v>
      </c>
      <c r="BS264" s="50">
        <v>26968.325182817305</v>
      </c>
      <c r="BT264" s="50">
        <v>8664.106991337112</v>
      </c>
      <c r="BU264" s="50">
        <v>0</v>
      </c>
      <c r="BV264" s="50">
        <v>0</v>
      </c>
      <c r="BW264" s="50">
        <v>55835.042300000001</v>
      </c>
      <c r="BX264" s="37" t="s">
        <v>127</v>
      </c>
      <c r="BY264" s="37" t="s">
        <v>127</v>
      </c>
      <c r="BZ264" s="37" t="s">
        <v>672</v>
      </c>
      <c r="CA264" s="41">
        <v>0</v>
      </c>
      <c r="CB264" s="41">
        <v>0</v>
      </c>
      <c r="CC264" s="41">
        <v>0</v>
      </c>
      <c r="CD264" s="41">
        <v>1.92994</v>
      </c>
      <c r="CE264" s="41">
        <v>0</v>
      </c>
      <c r="CF264" s="41">
        <v>0</v>
      </c>
      <c r="CG264" s="45">
        <v>0</v>
      </c>
      <c r="CH264" s="45" t="s">
        <v>137</v>
      </c>
      <c r="CI264" s="37" t="s">
        <v>1588</v>
      </c>
      <c r="CJ264" s="77" t="s">
        <v>127</v>
      </c>
      <c r="CK264" s="98">
        <v>0</v>
      </c>
      <c r="CL264" s="98">
        <v>1</v>
      </c>
      <c r="CM264" s="100" t="s">
        <v>1589</v>
      </c>
    </row>
    <row r="265" spans="1:91" ht="12.75" customHeight="1" x14ac:dyDescent="0.3">
      <c r="A265" s="37">
        <v>263</v>
      </c>
      <c r="B265" s="37" t="s">
        <v>1590</v>
      </c>
      <c r="C265" s="124"/>
      <c r="D265" s="124"/>
      <c r="E265" s="37" t="s">
        <v>437</v>
      </c>
      <c r="F265" s="36" t="s">
        <v>1591</v>
      </c>
      <c r="G265" s="75" t="s">
        <v>148</v>
      </c>
      <c r="H265" s="37" t="s">
        <v>131</v>
      </c>
      <c r="I265" s="37" t="s">
        <v>127</v>
      </c>
      <c r="J265" s="37" t="s">
        <v>127</v>
      </c>
      <c r="K265" s="37" t="s">
        <v>132</v>
      </c>
      <c r="L265" s="75" t="s">
        <v>149</v>
      </c>
      <c r="M265" s="37" t="s">
        <v>127</v>
      </c>
      <c r="N265" s="37" t="s">
        <v>127</v>
      </c>
      <c r="O265" s="76">
        <v>45205.567210648151</v>
      </c>
      <c r="P265" s="37" t="s">
        <v>1592</v>
      </c>
      <c r="Q265" s="37" t="s">
        <v>239</v>
      </c>
      <c r="R265" s="37" t="s">
        <v>271</v>
      </c>
      <c r="S265" s="37" t="s">
        <v>127</v>
      </c>
      <c r="T265" s="37" t="s">
        <v>127</v>
      </c>
      <c r="U265" s="37" t="s">
        <v>136</v>
      </c>
      <c r="V265" s="37" t="b">
        <v>0</v>
      </c>
      <c r="W265" s="77" t="s">
        <v>127</v>
      </c>
      <c r="X265" s="123"/>
      <c r="Y265" s="37" t="s">
        <v>137</v>
      </c>
      <c r="Z265" s="83">
        <v>0.224386</v>
      </c>
      <c r="AA265" s="37">
        <v>69</v>
      </c>
      <c r="AB265" s="37" t="s">
        <v>306</v>
      </c>
      <c r="AC265" s="78">
        <v>4.0999999999999996</v>
      </c>
      <c r="AD265" s="78">
        <v>5984521</v>
      </c>
      <c r="AE265" s="37" t="s">
        <v>1593</v>
      </c>
      <c r="AF265" s="37">
        <v>18130</v>
      </c>
      <c r="AG265" s="37" t="s">
        <v>141</v>
      </c>
      <c r="AH265" s="37" t="b">
        <v>1</v>
      </c>
      <c r="AI265" s="76">
        <v>43160</v>
      </c>
      <c r="AJ265" s="77" t="s">
        <v>142</v>
      </c>
      <c r="AK265" s="37">
        <v>2018</v>
      </c>
      <c r="AL265" s="37" t="s">
        <v>127</v>
      </c>
      <c r="AM265" s="37" t="b">
        <v>0</v>
      </c>
      <c r="AN265" s="37" t="s">
        <v>127</v>
      </c>
      <c r="AO265" s="37" t="s">
        <v>127</v>
      </c>
      <c r="AP265" s="37" t="s">
        <v>137</v>
      </c>
      <c r="AQ265" s="37" t="b">
        <v>0</v>
      </c>
      <c r="AR265" s="37" t="s">
        <v>127</v>
      </c>
      <c r="AS265" s="76" t="s">
        <v>137</v>
      </c>
      <c r="AT265" s="37" t="s">
        <v>127</v>
      </c>
      <c r="AU265" s="37" t="s">
        <v>127</v>
      </c>
      <c r="AV265" s="37" t="s">
        <v>137</v>
      </c>
      <c r="AW265" s="37" t="s">
        <v>137</v>
      </c>
      <c r="AX265" s="37" t="s">
        <v>161</v>
      </c>
      <c r="AY265" s="37" t="s">
        <v>127</v>
      </c>
      <c r="AZ265" s="37" t="s">
        <v>127</v>
      </c>
      <c r="BA265" s="37" t="s">
        <v>127</v>
      </c>
      <c r="BB265" s="37" t="s">
        <v>143</v>
      </c>
      <c r="BC265" s="77" t="s">
        <v>127</v>
      </c>
      <c r="BD265" s="76" t="s">
        <v>1594</v>
      </c>
      <c r="BE265" s="37" t="s">
        <v>127</v>
      </c>
      <c r="BF265" s="86" t="s">
        <v>1244</v>
      </c>
      <c r="BG265" s="39" t="s">
        <v>127</v>
      </c>
      <c r="BH265" s="37" t="s">
        <v>127</v>
      </c>
      <c r="BI265" s="40" t="b">
        <v>1</v>
      </c>
      <c r="BJ265" s="40">
        <v>10</v>
      </c>
      <c r="BK265" s="37" t="s">
        <v>127</v>
      </c>
      <c r="BL265" s="41">
        <v>25226.814702828287</v>
      </c>
      <c r="BM265" s="49">
        <v>226.06198999999992</v>
      </c>
      <c r="BN265" s="49">
        <v>90.520230000000012</v>
      </c>
      <c r="BO265" s="49">
        <v>55.525589999999994</v>
      </c>
      <c r="BP265" s="49">
        <v>169.80638000000005</v>
      </c>
      <c r="BQ265" s="50">
        <v>396.54697999999991</v>
      </c>
      <c r="BR265" s="50">
        <v>0.25416</v>
      </c>
      <c r="BS265" s="50">
        <v>552.04005659451479</v>
      </c>
      <c r="BT265" s="50">
        <v>7583.9181918316617</v>
      </c>
      <c r="BU265" s="50">
        <v>7544.9547560715646</v>
      </c>
      <c r="BV265" s="50">
        <v>7566.8182342861828</v>
      </c>
      <c r="BW265" s="50">
        <v>0</v>
      </c>
      <c r="BX265" s="37" t="s">
        <v>127</v>
      </c>
      <c r="BY265" s="37" t="s">
        <v>127</v>
      </c>
      <c r="BZ265" s="37" t="s">
        <v>198</v>
      </c>
      <c r="CA265" s="41">
        <v>0</v>
      </c>
      <c r="CB265" s="41">
        <v>0</v>
      </c>
      <c r="CC265" s="41">
        <v>0</v>
      </c>
      <c r="CD265" s="41">
        <v>1056.2507800000001</v>
      </c>
      <c r="CE265" s="41">
        <v>0.25416</v>
      </c>
      <c r="CF265" s="41">
        <v>0.25416</v>
      </c>
      <c r="CG265" s="45">
        <v>0</v>
      </c>
      <c r="CH265" s="45" t="s">
        <v>127</v>
      </c>
      <c r="CI265" s="37" t="s">
        <v>127</v>
      </c>
      <c r="CJ265" s="77" t="s">
        <v>127</v>
      </c>
      <c r="CK265" s="98">
        <v>0</v>
      </c>
      <c r="CL265" s="98">
        <v>1</v>
      </c>
      <c r="CM265" s="100" t="s">
        <v>1595</v>
      </c>
    </row>
    <row r="266" spans="1:91" ht="12.75" customHeight="1" x14ac:dyDescent="0.3">
      <c r="A266" s="37">
        <v>264</v>
      </c>
      <c r="B266" s="37" t="s">
        <v>1596</v>
      </c>
      <c r="C266" s="124"/>
      <c r="D266" s="124"/>
      <c r="E266" s="37" t="s">
        <v>258</v>
      </c>
      <c r="F266" s="36" t="s">
        <v>1597</v>
      </c>
      <c r="G266" s="75" t="s">
        <v>1223</v>
      </c>
      <c r="H266" s="37" t="s">
        <v>130</v>
      </c>
      <c r="I266" s="37" t="s">
        <v>127</v>
      </c>
      <c r="J266" s="37" t="s">
        <v>127</v>
      </c>
      <c r="K266" s="37" t="s">
        <v>212</v>
      </c>
      <c r="L266" s="75" t="s">
        <v>213</v>
      </c>
      <c r="M266" s="37" t="s">
        <v>127</v>
      </c>
      <c r="N266" s="37" t="s">
        <v>127</v>
      </c>
      <c r="O266" s="76" t="s">
        <v>127</v>
      </c>
      <c r="P266" s="37" t="s">
        <v>135</v>
      </c>
      <c r="Q266" s="37" t="s">
        <v>127</v>
      </c>
      <c r="R266" s="37" t="s">
        <v>127</v>
      </c>
      <c r="S266" s="37" t="s">
        <v>127</v>
      </c>
      <c r="T266" s="37" t="s">
        <v>127</v>
      </c>
      <c r="U266" s="37" t="s">
        <v>136</v>
      </c>
      <c r="V266" s="37" t="b">
        <v>0</v>
      </c>
      <c r="W266" s="77" t="s">
        <v>127</v>
      </c>
      <c r="X266" s="123"/>
      <c r="Y266" s="83">
        <v>7.6427999999999996E-2</v>
      </c>
      <c r="Z266" s="37" t="s">
        <v>137</v>
      </c>
      <c r="AA266" s="37" t="s">
        <v>956</v>
      </c>
      <c r="AB266" s="37" t="s">
        <v>127</v>
      </c>
      <c r="AC266" s="78">
        <v>1.3</v>
      </c>
      <c r="AD266" s="78" t="s">
        <v>1598</v>
      </c>
      <c r="AE266" s="37" t="s">
        <v>1599</v>
      </c>
      <c r="AF266" s="37">
        <v>18136</v>
      </c>
      <c r="AG266" s="37" t="s">
        <v>141</v>
      </c>
      <c r="AH266" s="37" t="b">
        <v>1</v>
      </c>
      <c r="AI266" s="76">
        <v>43466</v>
      </c>
      <c r="AJ266" s="77" t="s">
        <v>142</v>
      </c>
      <c r="AK266" s="37">
        <v>2019</v>
      </c>
      <c r="AL266" s="37" t="s">
        <v>127</v>
      </c>
      <c r="AM266" s="37" t="b">
        <v>0</v>
      </c>
      <c r="AN266" s="37" t="s">
        <v>127</v>
      </c>
      <c r="AO266" s="37" t="s">
        <v>127</v>
      </c>
      <c r="AP266" s="37" t="s">
        <v>137</v>
      </c>
      <c r="AQ266" s="37" t="b">
        <v>0</v>
      </c>
      <c r="AR266" s="37" t="s">
        <v>127</v>
      </c>
      <c r="AS266" s="76" t="s">
        <v>137</v>
      </c>
      <c r="AT266" s="37" t="s">
        <v>389</v>
      </c>
      <c r="AU266" s="37" t="s">
        <v>127</v>
      </c>
      <c r="AV266" s="37" t="s">
        <v>137</v>
      </c>
      <c r="AW266" s="37" t="s">
        <v>137</v>
      </c>
      <c r="AX266" s="37" t="s">
        <v>161</v>
      </c>
      <c r="AY266" s="37" t="s">
        <v>127</v>
      </c>
      <c r="AZ266" s="37" t="s">
        <v>127</v>
      </c>
      <c r="BA266" s="37" t="s">
        <v>127</v>
      </c>
      <c r="BB266" s="37" t="s">
        <v>143</v>
      </c>
      <c r="BC266" s="77" t="s">
        <v>127</v>
      </c>
      <c r="BD266" s="76" t="s">
        <v>1600</v>
      </c>
      <c r="BE266" s="37" t="s">
        <v>127</v>
      </c>
      <c r="BF266" s="86" t="s">
        <v>1601</v>
      </c>
      <c r="BG266" s="39" t="s">
        <v>127</v>
      </c>
      <c r="BH266" s="37" t="s">
        <v>127</v>
      </c>
      <c r="BI266" s="40" t="b">
        <v>1</v>
      </c>
      <c r="BJ266" s="40">
        <v>2475.8910000000001</v>
      </c>
      <c r="BK266" s="37" t="s">
        <v>127</v>
      </c>
      <c r="BL266" s="41">
        <v>1948.0393073750017</v>
      </c>
      <c r="BM266" s="49">
        <v>73.44283999999999</v>
      </c>
      <c r="BN266" s="49">
        <v>341.31921999999997</v>
      </c>
      <c r="BO266" s="49">
        <v>972.92683000000022</v>
      </c>
      <c r="BP266" s="49">
        <v>558.27359999999976</v>
      </c>
      <c r="BQ266" s="50">
        <v>1.8694900000000001</v>
      </c>
      <c r="BR266" s="50">
        <v>0.20732737500000001</v>
      </c>
      <c r="BS266" s="50">
        <v>0</v>
      </c>
      <c r="BT266" s="50">
        <v>0</v>
      </c>
      <c r="BU266" s="50">
        <v>0</v>
      </c>
      <c r="BV266" s="50">
        <v>0</v>
      </c>
      <c r="BW266" s="50">
        <v>0</v>
      </c>
      <c r="BX266" s="37" t="s">
        <v>127</v>
      </c>
      <c r="BY266" s="37" t="s">
        <v>127</v>
      </c>
      <c r="BZ266" s="37" t="s">
        <v>162</v>
      </c>
      <c r="CA266" s="41">
        <v>0</v>
      </c>
      <c r="CB266" s="41">
        <v>0</v>
      </c>
      <c r="CC266" s="41">
        <v>1945.9624899999994</v>
      </c>
      <c r="CD266" s="41">
        <v>1.8694900000000001</v>
      </c>
      <c r="CE266" s="41">
        <v>0</v>
      </c>
      <c r="CF266" s="41">
        <v>0.19696100625000001</v>
      </c>
      <c r="CG266" s="45">
        <v>0</v>
      </c>
      <c r="CH266" s="45" t="s">
        <v>137</v>
      </c>
      <c r="CI266" s="37" t="s">
        <v>127</v>
      </c>
      <c r="CJ266" s="77" t="s">
        <v>127</v>
      </c>
      <c r="CK266" s="98">
        <v>1</v>
      </c>
      <c r="CL266" s="98">
        <v>0</v>
      </c>
      <c r="CM266" s="100" t="s">
        <v>1602</v>
      </c>
    </row>
    <row r="267" spans="1:91" ht="12.75" customHeight="1" x14ac:dyDescent="0.3">
      <c r="A267" s="37">
        <v>265</v>
      </c>
      <c r="B267" s="37" t="s">
        <v>1603</v>
      </c>
      <c r="C267" s="124"/>
      <c r="D267" s="124"/>
      <c r="E267" s="37" t="s">
        <v>246</v>
      </c>
      <c r="F267" s="36" t="s">
        <v>1604</v>
      </c>
      <c r="G267" s="75" t="s">
        <v>148</v>
      </c>
      <c r="H267" s="37" t="s">
        <v>131</v>
      </c>
      <c r="I267" s="37" t="s">
        <v>127</v>
      </c>
      <c r="J267" s="37" t="s">
        <v>127</v>
      </c>
      <c r="K267" s="37" t="s">
        <v>132</v>
      </c>
      <c r="L267" s="75" t="s">
        <v>1605</v>
      </c>
      <c r="M267" s="37" t="s">
        <v>127</v>
      </c>
      <c r="N267" s="37" t="s">
        <v>127</v>
      </c>
      <c r="O267" s="76">
        <v>45213.522766203707</v>
      </c>
      <c r="P267" s="37" t="s">
        <v>127</v>
      </c>
      <c r="Q267" s="37" t="s">
        <v>239</v>
      </c>
      <c r="R267" s="37" t="s">
        <v>426</v>
      </c>
      <c r="S267" s="37" t="s">
        <v>127</v>
      </c>
      <c r="T267" s="37" t="s">
        <v>315</v>
      </c>
      <c r="U267" s="37" t="s">
        <v>136</v>
      </c>
      <c r="V267" s="37" t="b">
        <v>0</v>
      </c>
      <c r="W267" s="77" t="s">
        <v>127</v>
      </c>
      <c r="X267" s="123"/>
      <c r="Y267" s="37" t="s">
        <v>137</v>
      </c>
      <c r="Z267" s="83">
        <v>12.37</v>
      </c>
      <c r="AA267" s="37">
        <v>230</v>
      </c>
      <c r="AB267" s="37" t="s">
        <v>1606</v>
      </c>
      <c r="AC267" s="78">
        <v>4.0999999999999996</v>
      </c>
      <c r="AD267" s="78">
        <v>5987452</v>
      </c>
      <c r="AE267" s="37" t="s">
        <v>1607</v>
      </c>
      <c r="AF267" s="37">
        <v>18139</v>
      </c>
      <c r="AG267" s="37" t="s">
        <v>141</v>
      </c>
      <c r="AH267" s="37" t="b">
        <v>1</v>
      </c>
      <c r="AI267" s="76">
        <v>42917</v>
      </c>
      <c r="AJ267" s="77" t="s">
        <v>142</v>
      </c>
      <c r="AK267" s="37">
        <v>2019</v>
      </c>
      <c r="AL267" s="37" t="s">
        <v>127</v>
      </c>
      <c r="AM267" s="37" t="b">
        <v>0</v>
      </c>
      <c r="AN267" s="37" t="s">
        <v>127</v>
      </c>
      <c r="AO267" s="37" t="s">
        <v>127</v>
      </c>
      <c r="AP267" s="37" t="s">
        <v>137</v>
      </c>
      <c r="AQ267" s="37" t="b">
        <v>0</v>
      </c>
      <c r="AR267" s="37" t="s">
        <v>127</v>
      </c>
      <c r="AS267" s="76" t="s">
        <v>137</v>
      </c>
      <c r="AT267" s="37" t="s">
        <v>127</v>
      </c>
      <c r="AU267" s="37" t="s">
        <v>127</v>
      </c>
      <c r="AV267" s="37" t="s">
        <v>137</v>
      </c>
      <c r="AW267" s="37" t="s">
        <v>137</v>
      </c>
      <c r="AX267" s="37" t="s">
        <v>161</v>
      </c>
      <c r="AY267" s="37" t="s">
        <v>127</v>
      </c>
      <c r="AZ267" s="37" t="s">
        <v>127</v>
      </c>
      <c r="BA267" s="37" t="s">
        <v>127</v>
      </c>
      <c r="BB267" s="37" t="s">
        <v>143</v>
      </c>
      <c r="BC267" s="77" t="s">
        <v>127</v>
      </c>
      <c r="BD267" s="76" t="s">
        <v>1608</v>
      </c>
      <c r="BE267" s="76">
        <v>44147</v>
      </c>
      <c r="BF267" s="86" t="s">
        <v>1609</v>
      </c>
      <c r="BG267" s="39" t="s">
        <v>127</v>
      </c>
      <c r="BH267" s="37" t="s">
        <v>127</v>
      </c>
      <c r="BI267" s="40" t="b">
        <v>0</v>
      </c>
      <c r="BJ267" s="40">
        <v>10503</v>
      </c>
      <c r="BK267" s="37" t="s">
        <v>127</v>
      </c>
      <c r="BL267" s="41">
        <v>11682.531633698996</v>
      </c>
      <c r="BM267" s="49">
        <v>2924.7527347300002</v>
      </c>
      <c r="BN267" s="49">
        <v>2976.9312504050004</v>
      </c>
      <c r="BO267" s="49">
        <v>2406.9590898169999</v>
      </c>
      <c r="BP267" s="49">
        <v>996.49521490300003</v>
      </c>
      <c r="BQ267" s="50">
        <v>5.9404099999999955</v>
      </c>
      <c r="BR267" s="50">
        <v>0</v>
      </c>
      <c r="BS267" s="50">
        <v>0</v>
      </c>
      <c r="BT267" s="50">
        <v>0</v>
      </c>
      <c r="BU267" s="50">
        <v>0</v>
      </c>
      <c r="BV267" s="50">
        <v>0</v>
      </c>
      <c r="BW267" s="50">
        <v>0</v>
      </c>
      <c r="BX267" s="37" t="s">
        <v>127</v>
      </c>
      <c r="BY267" s="37" t="s">
        <v>127</v>
      </c>
      <c r="BZ267" s="37" t="s">
        <v>364</v>
      </c>
      <c r="CA267" s="41">
        <v>0</v>
      </c>
      <c r="CB267" s="41">
        <v>0</v>
      </c>
      <c r="CC267" s="41">
        <v>11531.432990000003</v>
      </c>
      <c r="CD267" s="41">
        <v>5.9404099999999982</v>
      </c>
      <c r="CE267" s="41">
        <v>0</v>
      </c>
      <c r="CF267" s="41">
        <v>0</v>
      </c>
      <c r="CG267" s="45">
        <v>0</v>
      </c>
      <c r="CH267" s="45" t="s">
        <v>137</v>
      </c>
      <c r="CI267" s="37" t="s">
        <v>127</v>
      </c>
      <c r="CJ267" s="77" t="s">
        <v>127</v>
      </c>
      <c r="CK267" s="98">
        <v>1</v>
      </c>
      <c r="CL267" s="98">
        <v>0</v>
      </c>
      <c r="CM267" s="100" t="s">
        <v>1610</v>
      </c>
    </row>
    <row r="268" spans="1:91" ht="12.75" customHeight="1" x14ac:dyDescent="0.3">
      <c r="A268" s="37">
        <v>266</v>
      </c>
      <c r="B268" s="37" t="s">
        <v>1611</v>
      </c>
      <c r="C268" s="124"/>
      <c r="D268" s="124"/>
      <c r="E268" s="37" t="s">
        <v>258</v>
      </c>
      <c r="F268" s="36" t="s">
        <v>1612</v>
      </c>
      <c r="G268" s="75" t="s">
        <v>148</v>
      </c>
      <c r="H268" s="37" t="s">
        <v>131</v>
      </c>
      <c r="I268" s="37" t="s">
        <v>127</v>
      </c>
      <c r="J268" s="37" t="s">
        <v>127</v>
      </c>
      <c r="K268" s="37" t="s">
        <v>132</v>
      </c>
      <c r="L268" s="75" t="s">
        <v>282</v>
      </c>
      <c r="M268" s="37" t="s">
        <v>127</v>
      </c>
      <c r="N268" s="37" t="s">
        <v>127</v>
      </c>
      <c r="O268" s="76">
        <v>45225.405381944453</v>
      </c>
      <c r="P268" s="37" t="s">
        <v>137</v>
      </c>
      <c r="Q268" s="37" t="s">
        <v>239</v>
      </c>
      <c r="R268" s="37" t="s">
        <v>426</v>
      </c>
      <c r="S268" s="37" t="s">
        <v>127</v>
      </c>
      <c r="T268" s="37" t="s">
        <v>127</v>
      </c>
      <c r="U268" s="37" t="s">
        <v>136</v>
      </c>
      <c r="V268" s="37" t="b">
        <v>0</v>
      </c>
      <c r="W268" s="77" t="s">
        <v>127</v>
      </c>
      <c r="X268" s="123"/>
      <c r="Y268" s="37" t="s">
        <v>137</v>
      </c>
      <c r="Z268" s="83">
        <v>9</v>
      </c>
      <c r="AA268" s="37">
        <v>230</v>
      </c>
      <c r="AB268" s="37" t="s">
        <v>1125</v>
      </c>
      <c r="AC268" s="78">
        <v>4.0999999999999996</v>
      </c>
      <c r="AD268" s="78">
        <v>5987443</v>
      </c>
      <c r="AE268" s="37" t="s">
        <v>1613</v>
      </c>
      <c r="AF268" s="37">
        <v>18140</v>
      </c>
      <c r="AG268" s="37" t="s">
        <v>141</v>
      </c>
      <c r="AH268" s="37" t="b">
        <v>1</v>
      </c>
      <c r="AI268" s="76">
        <v>43018</v>
      </c>
      <c r="AJ268" s="77" t="s">
        <v>142</v>
      </c>
      <c r="AK268" s="37">
        <v>2019</v>
      </c>
      <c r="AL268" s="37" t="s">
        <v>127</v>
      </c>
      <c r="AM268" s="37" t="b">
        <v>0</v>
      </c>
      <c r="AN268" s="37" t="s">
        <v>127</v>
      </c>
      <c r="AO268" s="37" t="s">
        <v>127</v>
      </c>
      <c r="AP268" s="37" t="s">
        <v>137</v>
      </c>
      <c r="AQ268" s="37" t="b">
        <v>0</v>
      </c>
      <c r="AR268" s="37" t="s">
        <v>127</v>
      </c>
      <c r="AS268" s="76" t="s">
        <v>137</v>
      </c>
      <c r="AT268" s="37" t="s">
        <v>127</v>
      </c>
      <c r="AU268" s="37" t="s">
        <v>127</v>
      </c>
      <c r="AV268" s="37" t="s">
        <v>137</v>
      </c>
      <c r="AW268" s="37" t="s">
        <v>137</v>
      </c>
      <c r="AX268" s="37" t="s">
        <v>161</v>
      </c>
      <c r="AY268" s="37" t="s">
        <v>127</v>
      </c>
      <c r="AZ268" s="37" t="s">
        <v>127</v>
      </c>
      <c r="BA268" s="37" t="s">
        <v>127</v>
      </c>
      <c r="BB268" s="37" t="s">
        <v>143</v>
      </c>
      <c r="BC268" s="77" t="s">
        <v>127</v>
      </c>
      <c r="BD268" s="76" t="s">
        <v>1614</v>
      </c>
      <c r="BE268" s="76">
        <v>43985</v>
      </c>
      <c r="BF268" s="86" t="s">
        <v>1615</v>
      </c>
      <c r="BG268" s="39" t="s">
        <v>127</v>
      </c>
      <c r="BH268" s="37" t="s">
        <v>127</v>
      </c>
      <c r="BI268" s="40" t="b">
        <v>0</v>
      </c>
      <c r="BJ268" s="40">
        <v>39512</v>
      </c>
      <c r="BK268" s="37" t="s">
        <v>127</v>
      </c>
      <c r="BL268" s="41">
        <v>36994.617586247958</v>
      </c>
      <c r="BM268" s="49">
        <v>14779.606711873999</v>
      </c>
      <c r="BN268" s="49">
        <v>13147.811071725002</v>
      </c>
      <c r="BO268" s="49">
        <v>4353.2613997130011</v>
      </c>
      <c r="BP268" s="49">
        <v>546.09712294999997</v>
      </c>
      <c r="BQ268" s="50">
        <v>0</v>
      </c>
      <c r="BR268" s="50">
        <v>0</v>
      </c>
      <c r="BS268" s="50">
        <v>0</v>
      </c>
      <c r="BT268" s="50">
        <v>0</v>
      </c>
      <c r="BU268" s="50">
        <v>0</v>
      </c>
      <c r="BV268" s="50">
        <v>0</v>
      </c>
      <c r="BW268" s="50">
        <v>0</v>
      </c>
      <c r="BX268" s="37" t="s">
        <v>127</v>
      </c>
      <c r="BY268" s="37" t="s">
        <v>127</v>
      </c>
      <c r="BZ268" s="37" t="s">
        <v>264</v>
      </c>
      <c r="CA268" s="41">
        <v>0</v>
      </c>
      <c r="CB268" s="41">
        <v>26304.385069999997</v>
      </c>
      <c r="CC268" s="41">
        <v>9563.8815900000009</v>
      </c>
      <c r="CD268" s="41">
        <v>0</v>
      </c>
      <c r="CE268" s="41">
        <v>0</v>
      </c>
      <c r="CF268" s="41">
        <v>0</v>
      </c>
      <c r="CG268" s="45">
        <v>0</v>
      </c>
      <c r="CH268" s="45" t="s">
        <v>137</v>
      </c>
      <c r="CI268" s="37" t="s">
        <v>127</v>
      </c>
      <c r="CJ268" s="77" t="s">
        <v>127</v>
      </c>
      <c r="CK268" s="98">
        <v>1</v>
      </c>
      <c r="CL268" s="98">
        <v>0</v>
      </c>
      <c r="CM268" s="100" t="s">
        <v>1616</v>
      </c>
    </row>
    <row r="269" spans="1:91" ht="12.75" customHeight="1" x14ac:dyDescent="0.3">
      <c r="A269" s="37">
        <v>267</v>
      </c>
      <c r="B269" s="37" t="s">
        <v>1617</v>
      </c>
      <c r="C269" s="124"/>
      <c r="D269" s="124"/>
      <c r="E269" s="37" t="s">
        <v>258</v>
      </c>
      <c r="F269" s="36" t="s">
        <v>1618</v>
      </c>
      <c r="G269" s="75" t="s">
        <v>129</v>
      </c>
      <c r="H269" s="37" t="s">
        <v>1094</v>
      </c>
      <c r="I269" s="37" t="s">
        <v>131</v>
      </c>
      <c r="J269" s="37" t="s">
        <v>127</v>
      </c>
      <c r="K269" s="37" t="s">
        <v>160</v>
      </c>
      <c r="L269" s="75" t="s">
        <v>783</v>
      </c>
      <c r="M269" s="37" t="s">
        <v>127</v>
      </c>
      <c r="N269" s="37" t="s">
        <v>127</v>
      </c>
      <c r="O269" s="76" t="s">
        <v>1619</v>
      </c>
      <c r="P269" s="37" t="s">
        <v>135</v>
      </c>
      <c r="Q269" s="37" t="s">
        <v>127</v>
      </c>
      <c r="R269" s="37" t="s">
        <v>127</v>
      </c>
      <c r="S269" s="37" t="s">
        <v>127</v>
      </c>
      <c r="T269" s="37" t="s">
        <v>127</v>
      </c>
      <c r="U269" s="37" t="s">
        <v>1620</v>
      </c>
      <c r="V269" s="37" t="b">
        <v>0</v>
      </c>
      <c r="W269" s="77" t="s">
        <v>127</v>
      </c>
      <c r="X269" s="123"/>
      <c r="Y269" s="83">
        <v>0.8</v>
      </c>
      <c r="Z269" s="37" t="s">
        <v>127</v>
      </c>
      <c r="AA269" s="37">
        <v>69</v>
      </c>
      <c r="AB269" s="37" t="s">
        <v>127</v>
      </c>
      <c r="AC269" s="78">
        <v>1.4</v>
      </c>
      <c r="AD269" s="78" t="s">
        <v>127</v>
      </c>
      <c r="AE269" s="37" t="s">
        <v>1621</v>
      </c>
      <c r="AF269" s="37">
        <v>18143</v>
      </c>
      <c r="AG269" s="37" t="s">
        <v>141</v>
      </c>
      <c r="AH269" s="37" t="b">
        <v>1</v>
      </c>
      <c r="AI269" s="76">
        <v>43517</v>
      </c>
      <c r="AJ269" s="77" t="s">
        <v>142</v>
      </c>
      <c r="AK269" s="37">
        <v>2019</v>
      </c>
      <c r="AL269" s="37" t="s">
        <v>127</v>
      </c>
      <c r="AM269" s="37" t="b">
        <v>0</v>
      </c>
      <c r="AN269" s="37" t="s">
        <v>127</v>
      </c>
      <c r="AO269" s="37" t="s">
        <v>127</v>
      </c>
      <c r="AP269" s="37" t="s">
        <v>137</v>
      </c>
      <c r="AQ269" s="37" t="b">
        <v>0</v>
      </c>
      <c r="AR269" s="37" t="s">
        <v>150</v>
      </c>
      <c r="AS269" s="76" t="s">
        <v>137</v>
      </c>
      <c r="AT269" s="37" t="s">
        <v>127</v>
      </c>
      <c r="AU269" s="37" t="s">
        <v>127</v>
      </c>
      <c r="AV269" s="37" t="s">
        <v>137</v>
      </c>
      <c r="AW269" s="37" t="s">
        <v>137</v>
      </c>
      <c r="AX269" s="37" t="s">
        <v>1070</v>
      </c>
      <c r="AY269" s="37" t="s">
        <v>1622</v>
      </c>
      <c r="AZ269" s="37" t="s">
        <v>973</v>
      </c>
      <c r="BA269" s="37">
        <v>2021</v>
      </c>
      <c r="BB269" s="37" t="s">
        <v>1451</v>
      </c>
      <c r="BC269" s="77" t="s">
        <v>127</v>
      </c>
      <c r="BD269" s="76" t="s">
        <v>1623</v>
      </c>
      <c r="BE269" s="76">
        <v>45453</v>
      </c>
      <c r="BF269" s="86" t="s">
        <v>1624</v>
      </c>
      <c r="BG269" s="39" t="s">
        <v>127</v>
      </c>
      <c r="BH269" s="37" t="s">
        <v>127</v>
      </c>
      <c r="BI269" s="40" t="b">
        <v>1</v>
      </c>
      <c r="BJ269" s="40" t="s">
        <v>137</v>
      </c>
      <c r="BK269" s="37" t="s">
        <v>127</v>
      </c>
      <c r="BL269" s="41">
        <v>1280.0862185334092</v>
      </c>
      <c r="BM269" s="49">
        <v>-112.46776000000001</v>
      </c>
      <c r="BN269" s="49">
        <v>580.1474300000001</v>
      </c>
      <c r="BO269" s="49">
        <v>-924.31284999999946</v>
      </c>
      <c r="BP269" s="49">
        <v>458.22300000000013</v>
      </c>
      <c r="BQ269" s="50">
        <v>-7669.6054599999998</v>
      </c>
      <c r="BR269" s="50">
        <v>7721.4163003519534</v>
      </c>
      <c r="BS269" s="50">
        <v>1226.685558181463</v>
      </c>
      <c r="BT269" s="50">
        <v>0</v>
      </c>
      <c r="BU269" s="50">
        <v>0</v>
      </c>
      <c r="BV269" s="50">
        <v>0</v>
      </c>
      <c r="BW269" s="50">
        <v>12279.80948</v>
      </c>
      <c r="BX269" s="37" t="s">
        <v>127</v>
      </c>
      <c r="BY269" s="37" t="s">
        <v>127</v>
      </c>
      <c r="BZ269" s="37" t="s">
        <v>155</v>
      </c>
      <c r="CA269" s="41">
        <v>467.33478000000002</v>
      </c>
      <c r="CB269" s="41">
        <v>-392.62350000000009</v>
      </c>
      <c r="CC269" s="41">
        <v>29.360399999999984</v>
      </c>
      <c r="CD269" s="41">
        <v>1.4967300000000001</v>
      </c>
      <c r="CE269" s="41">
        <v>0</v>
      </c>
      <c r="CF269" s="41">
        <v>-426.00309499904699</v>
      </c>
      <c r="CG269" s="45">
        <v>0</v>
      </c>
      <c r="CH269" s="45" t="s">
        <v>127</v>
      </c>
      <c r="CI269" s="37" t="s">
        <v>127</v>
      </c>
      <c r="CJ269" s="77" t="s">
        <v>127</v>
      </c>
      <c r="CK269" s="98">
        <v>0</v>
      </c>
      <c r="CL269" s="98">
        <v>1</v>
      </c>
      <c r="CM269" s="100" t="s">
        <v>1625</v>
      </c>
    </row>
    <row r="270" spans="1:91" ht="12.75" customHeight="1" x14ac:dyDescent="0.3">
      <c r="A270" s="37">
        <v>268</v>
      </c>
      <c r="B270" s="37" t="s">
        <v>1626</v>
      </c>
      <c r="C270" s="124"/>
      <c r="D270" s="124"/>
      <c r="E270" s="37" t="s">
        <v>258</v>
      </c>
      <c r="F270" s="36" t="s">
        <v>1627</v>
      </c>
      <c r="G270" s="75" t="s">
        <v>148</v>
      </c>
      <c r="H270" s="37" t="s">
        <v>227</v>
      </c>
      <c r="I270" s="37" t="s">
        <v>127</v>
      </c>
      <c r="J270" s="37" t="s">
        <v>127</v>
      </c>
      <c r="K270" s="37" t="s">
        <v>1106</v>
      </c>
      <c r="L270" s="75" t="s">
        <v>1054</v>
      </c>
      <c r="M270" s="37" t="s">
        <v>127</v>
      </c>
      <c r="N270" s="37" t="s">
        <v>127</v>
      </c>
      <c r="O270" s="76" t="s">
        <v>127</v>
      </c>
      <c r="P270" s="37" t="s">
        <v>127</v>
      </c>
      <c r="Q270" s="37" t="s">
        <v>150</v>
      </c>
      <c r="R270" s="37" t="s">
        <v>127</v>
      </c>
      <c r="S270" s="37" t="s">
        <v>127</v>
      </c>
      <c r="T270" s="37" t="s">
        <v>127</v>
      </c>
      <c r="U270" s="37" t="s">
        <v>136</v>
      </c>
      <c r="V270" s="37" t="b">
        <v>0</v>
      </c>
      <c r="W270" s="77" t="s">
        <v>1107</v>
      </c>
      <c r="X270" s="123"/>
      <c r="Y270" s="83">
        <v>8</v>
      </c>
      <c r="Z270" s="83">
        <v>4.5</v>
      </c>
      <c r="AA270" s="37" t="s">
        <v>1472</v>
      </c>
      <c r="AB270" s="37" t="s">
        <v>1628</v>
      </c>
      <c r="AC270" s="78">
        <v>4.2</v>
      </c>
      <c r="AD270" s="78">
        <v>5981928</v>
      </c>
      <c r="AE270" s="37" t="s">
        <v>1629</v>
      </c>
      <c r="AF270" s="37">
        <v>18251</v>
      </c>
      <c r="AG270" s="37" t="s">
        <v>141</v>
      </c>
      <c r="AH270" s="37" t="b">
        <v>1</v>
      </c>
      <c r="AI270" s="76">
        <v>44151</v>
      </c>
      <c r="AJ270" s="77" t="s">
        <v>142</v>
      </c>
      <c r="AK270" s="37">
        <v>2019</v>
      </c>
      <c r="AL270" s="37" t="s">
        <v>127</v>
      </c>
      <c r="AM270" s="37" t="b">
        <v>0</v>
      </c>
      <c r="AN270" s="37" t="s">
        <v>127</v>
      </c>
      <c r="AO270" s="37" t="s">
        <v>127</v>
      </c>
      <c r="AP270" s="37" t="s">
        <v>137</v>
      </c>
      <c r="AQ270" s="37" t="b">
        <v>0</v>
      </c>
      <c r="AR270" s="37" t="s">
        <v>532</v>
      </c>
      <c r="AS270" s="76" t="s">
        <v>137</v>
      </c>
      <c r="AT270" s="37" t="s">
        <v>127</v>
      </c>
      <c r="AU270" s="37" t="s">
        <v>127</v>
      </c>
      <c r="AV270" s="37" t="s">
        <v>137</v>
      </c>
      <c r="AW270" s="37" t="s">
        <v>137</v>
      </c>
      <c r="AX270" s="37" t="s">
        <v>127</v>
      </c>
      <c r="AY270" s="37" t="s">
        <v>127</v>
      </c>
      <c r="AZ270" s="37" t="s">
        <v>127</v>
      </c>
      <c r="BA270" s="37" t="s">
        <v>127</v>
      </c>
      <c r="BB270" s="37" t="s">
        <v>154</v>
      </c>
      <c r="BC270" s="77" t="s">
        <v>127</v>
      </c>
      <c r="BD270" s="76" t="s">
        <v>127</v>
      </c>
      <c r="BE270" s="37" t="s">
        <v>127</v>
      </c>
      <c r="BF270" s="37" t="s">
        <v>127</v>
      </c>
      <c r="BG270" s="39" t="s">
        <v>1160</v>
      </c>
      <c r="BH270" s="37" t="s">
        <v>127</v>
      </c>
      <c r="BI270" s="40" t="b">
        <v>1</v>
      </c>
      <c r="BJ270" s="40">
        <v>501</v>
      </c>
      <c r="BK270" s="37" t="s">
        <v>127</v>
      </c>
      <c r="BL270" s="41">
        <v>2775.0640849247593</v>
      </c>
      <c r="BM270" s="49">
        <v>181.17868999999999</v>
      </c>
      <c r="BN270" s="49">
        <v>51.348219999999998</v>
      </c>
      <c r="BO270" s="49">
        <v>54.071290000000005</v>
      </c>
      <c r="BP270" s="49">
        <v>10.056470000000001</v>
      </c>
      <c r="BQ270" s="50">
        <v>193.87895</v>
      </c>
      <c r="BR270" s="50">
        <v>237.42327196041546</v>
      </c>
      <c r="BS270" s="50">
        <v>951.86179665349653</v>
      </c>
      <c r="BT270" s="50">
        <v>558.80988468532519</v>
      </c>
      <c r="BU270" s="50">
        <v>511.2469716255228</v>
      </c>
      <c r="BV270" s="50">
        <v>0</v>
      </c>
      <c r="BW270" s="50">
        <v>0</v>
      </c>
      <c r="BX270" s="37" t="s">
        <v>127</v>
      </c>
      <c r="BY270" s="37" t="s">
        <v>127</v>
      </c>
      <c r="BZ270" s="37" t="s">
        <v>173</v>
      </c>
      <c r="CA270" s="41">
        <v>0</v>
      </c>
      <c r="CB270" s="41">
        <v>0</v>
      </c>
      <c r="CC270" s="41">
        <v>0</v>
      </c>
      <c r="CD270" s="41">
        <v>0</v>
      </c>
      <c r="CE270" s="41">
        <v>0</v>
      </c>
      <c r="CF270" s="41">
        <v>114.17192000000001</v>
      </c>
      <c r="CG270" s="45">
        <v>0</v>
      </c>
      <c r="CH270" s="45" t="s">
        <v>127</v>
      </c>
      <c r="CI270" s="37" t="s">
        <v>127</v>
      </c>
      <c r="CJ270" s="77" t="s">
        <v>127</v>
      </c>
      <c r="CK270" s="98">
        <v>0</v>
      </c>
      <c r="CL270" s="98">
        <v>1</v>
      </c>
      <c r="CM270" s="100" t="s">
        <v>1630</v>
      </c>
    </row>
    <row r="271" spans="1:91" ht="12.75" customHeight="1" x14ac:dyDescent="0.3">
      <c r="A271" s="37">
        <v>269</v>
      </c>
      <c r="B271" s="37" t="s">
        <v>1631</v>
      </c>
      <c r="C271" s="124"/>
      <c r="D271" s="124"/>
      <c r="E271" s="37" t="s">
        <v>258</v>
      </c>
      <c r="F271" s="36" t="s">
        <v>1631</v>
      </c>
      <c r="G271" s="75" t="s">
        <v>159</v>
      </c>
      <c r="H271" s="37" t="s">
        <v>131</v>
      </c>
      <c r="I271" s="37" t="s">
        <v>127</v>
      </c>
      <c r="J271" s="37" t="s">
        <v>127</v>
      </c>
      <c r="K271" s="37" t="s">
        <v>132</v>
      </c>
      <c r="L271" s="75" t="s">
        <v>276</v>
      </c>
      <c r="M271" s="37" t="s">
        <v>127</v>
      </c>
      <c r="N271" s="37" t="s">
        <v>127</v>
      </c>
      <c r="O271" s="76">
        <v>45182.469942129632</v>
      </c>
      <c r="P271" s="37" t="s">
        <v>127</v>
      </c>
      <c r="Q271" s="37" t="s">
        <v>127</v>
      </c>
      <c r="R271" s="37" t="s">
        <v>127</v>
      </c>
      <c r="S271" s="37" t="s">
        <v>127</v>
      </c>
      <c r="T271" s="37" t="s">
        <v>127</v>
      </c>
      <c r="U271" s="37" t="s">
        <v>136</v>
      </c>
      <c r="V271" s="37" t="b">
        <v>0</v>
      </c>
      <c r="W271" s="77" t="s">
        <v>127</v>
      </c>
      <c r="X271" s="123"/>
      <c r="Y271" s="37" t="s">
        <v>137</v>
      </c>
      <c r="Z271" s="83">
        <v>0.56634399999999996</v>
      </c>
      <c r="AA271" s="37">
        <v>69</v>
      </c>
      <c r="AB271" s="37" t="s">
        <v>1632</v>
      </c>
      <c r="AC271" s="78">
        <v>4.0999999999999996</v>
      </c>
      <c r="AD271" s="78">
        <v>5983115</v>
      </c>
      <c r="AE271" s="37" t="s">
        <v>1633</v>
      </c>
      <c r="AF271" s="37">
        <v>19252</v>
      </c>
      <c r="AG271" s="37" t="s">
        <v>141</v>
      </c>
      <c r="AH271" s="37" t="b">
        <v>1</v>
      </c>
      <c r="AI271" s="76">
        <v>43831</v>
      </c>
      <c r="AJ271" s="77" t="s">
        <v>142</v>
      </c>
      <c r="AK271" s="37">
        <v>2019</v>
      </c>
      <c r="AL271" s="37" t="s">
        <v>127</v>
      </c>
      <c r="AM271" s="37" t="b">
        <v>0</v>
      </c>
      <c r="AN271" s="37" t="s">
        <v>127</v>
      </c>
      <c r="AO271" s="37" t="s">
        <v>127</v>
      </c>
      <c r="AP271" s="37" t="s">
        <v>137</v>
      </c>
      <c r="AQ271" s="37" t="b">
        <v>0</v>
      </c>
      <c r="AR271" s="37" t="s">
        <v>127</v>
      </c>
      <c r="AS271" s="76" t="s">
        <v>137</v>
      </c>
      <c r="AT271" s="37" t="s">
        <v>127</v>
      </c>
      <c r="AU271" s="37" t="s">
        <v>127</v>
      </c>
      <c r="AV271" s="37" t="s">
        <v>137</v>
      </c>
      <c r="AW271" s="37" t="s">
        <v>137</v>
      </c>
      <c r="AX271" s="37" t="s">
        <v>161</v>
      </c>
      <c r="AY271" s="37" t="s">
        <v>127</v>
      </c>
      <c r="AZ271" s="37" t="s">
        <v>127</v>
      </c>
      <c r="BA271" s="37" t="s">
        <v>127</v>
      </c>
      <c r="BB271" s="37" t="s">
        <v>1451</v>
      </c>
      <c r="BC271" s="77" t="s">
        <v>127</v>
      </c>
      <c r="BD271" s="76" t="s">
        <v>1634</v>
      </c>
      <c r="BE271" s="76">
        <v>45996</v>
      </c>
      <c r="BF271" s="86" t="s">
        <v>1635</v>
      </c>
      <c r="BG271" s="39" t="s">
        <v>127</v>
      </c>
      <c r="BH271" s="37" t="s">
        <v>127</v>
      </c>
      <c r="BI271" s="40" t="b">
        <v>0</v>
      </c>
      <c r="BJ271" s="40">
        <v>5891.5596400000004</v>
      </c>
      <c r="BK271" s="37" t="s">
        <v>127</v>
      </c>
      <c r="BL271" s="41">
        <v>21212.537978710519</v>
      </c>
      <c r="BM271" s="49">
        <v>3.1395200000000014</v>
      </c>
      <c r="BN271" s="49">
        <v>222.94035</v>
      </c>
      <c r="BO271" s="49">
        <v>311.12897000000004</v>
      </c>
      <c r="BP271" s="49">
        <v>640.66355999999985</v>
      </c>
      <c r="BQ271" s="50">
        <v>1245.1790737439999</v>
      </c>
      <c r="BR271" s="50">
        <v>9900.9268945375024</v>
      </c>
      <c r="BS271" s="50">
        <v>4056.7597358434605</v>
      </c>
      <c r="BT271" s="50">
        <v>4823.4185030105655</v>
      </c>
      <c r="BU271" s="50">
        <v>8.3813715750000011</v>
      </c>
      <c r="BV271" s="50">
        <v>0</v>
      </c>
      <c r="BW271" s="50">
        <v>5290.5203400000009</v>
      </c>
      <c r="BX271" s="37" t="s">
        <v>127</v>
      </c>
      <c r="BY271" s="37" t="s">
        <v>127</v>
      </c>
      <c r="BZ271" s="37" t="s">
        <v>127</v>
      </c>
      <c r="CA271" s="41">
        <v>0</v>
      </c>
      <c r="CB271" s="41">
        <v>0</v>
      </c>
      <c r="CC271" s="41">
        <v>0</v>
      </c>
      <c r="CD271" s="41">
        <v>0</v>
      </c>
      <c r="CE271" s="41">
        <v>0</v>
      </c>
      <c r="CF271" s="41">
        <v>0</v>
      </c>
      <c r="CG271" s="45">
        <v>0</v>
      </c>
      <c r="CH271" s="45" t="s">
        <v>137</v>
      </c>
      <c r="CI271" s="37" t="s">
        <v>127</v>
      </c>
      <c r="CJ271" s="77" t="s">
        <v>127</v>
      </c>
      <c r="CK271" s="98">
        <v>0</v>
      </c>
      <c r="CL271" s="98">
        <v>1</v>
      </c>
      <c r="CM271" s="100" t="s">
        <v>1636</v>
      </c>
    </row>
    <row r="272" spans="1:91" ht="12.75" customHeight="1" x14ac:dyDescent="0.3">
      <c r="A272" s="37">
        <v>270</v>
      </c>
      <c r="B272" s="37" t="s">
        <v>1637</v>
      </c>
      <c r="C272" s="123"/>
      <c r="D272" s="127"/>
      <c r="E272" s="77" t="s">
        <v>127</v>
      </c>
      <c r="F272" s="36" t="s">
        <v>1638</v>
      </c>
      <c r="G272" s="75" t="s">
        <v>794</v>
      </c>
      <c r="H272" s="37" t="s">
        <v>130</v>
      </c>
      <c r="I272" s="37" t="s">
        <v>127</v>
      </c>
      <c r="J272" s="37" t="s">
        <v>127</v>
      </c>
      <c r="K272" s="37" t="s">
        <v>132</v>
      </c>
      <c r="L272" s="75" t="s">
        <v>346</v>
      </c>
      <c r="M272" s="37" t="s">
        <v>346</v>
      </c>
      <c r="N272" s="37" t="s">
        <v>127</v>
      </c>
      <c r="O272" s="76" t="s">
        <v>127</v>
      </c>
      <c r="P272" s="37" t="s">
        <v>135</v>
      </c>
      <c r="Q272" s="37" t="s">
        <v>127</v>
      </c>
      <c r="R272" s="37" t="s">
        <v>127</v>
      </c>
      <c r="S272" s="37" t="s">
        <v>127</v>
      </c>
      <c r="T272" s="37" t="s">
        <v>137</v>
      </c>
      <c r="U272" s="37" t="s">
        <v>136</v>
      </c>
      <c r="V272" s="37" t="b">
        <v>0</v>
      </c>
      <c r="W272" s="77" t="s">
        <v>127</v>
      </c>
      <c r="X272" s="123"/>
      <c r="Y272" s="37" t="s">
        <v>137</v>
      </c>
      <c r="Z272" s="37" t="s">
        <v>137</v>
      </c>
      <c r="AA272" s="37" t="s">
        <v>153</v>
      </c>
      <c r="AB272" s="37" t="s">
        <v>127</v>
      </c>
      <c r="AC272" s="78">
        <v>1.1000000000000001</v>
      </c>
      <c r="AD272" s="78">
        <v>2546906</v>
      </c>
      <c r="AE272" s="37" t="s">
        <v>140</v>
      </c>
      <c r="AF272" s="37">
        <v>20125</v>
      </c>
      <c r="AG272" s="37" t="s">
        <v>141</v>
      </c>
      <c r="AH272" s="37" t="b">
        <v>1</v>
      </c>
      <c r="AI272" s="76" t="s">
        <v>127</v>
      </c>
      <c r="AJ272" s="77" t="s">
        <v>142</v>
      </c>
      <c r="AK272" s="37" t="s">
        <v>127</v>
      </c>
      <c r="AL272" s="37" t="s">
        <v>127</v>
      </c>
      <c r="AM272" s="37" t="b">
        <v>0</v>
      </c>
      <c r="AN272" s="37" t="s">
        <v>127</v>
      </c>
      <c r="AO272" s="37" t="s">
        <v>127</v>
      </c>
      <c r="AP272" s="37" t="s">
        <v>137</v>
      </c>
      <c r="AQ272" s="37" t="b">
        <v>0</v>
      </c>
      <c r="AR272" s="37" t="s">
        <v>127</v>
      </c>
      <c r="AS272" s="76" t="s">
        <v>137</v>
      </c>
      <c r="AT272" s="37" t="s">
        <v>127</v>
      </c>
      <c r="AU272" s="37" t="s">
        <v>127</v>
      </c>
      <c r="AV272" s="37" t="s">
        <v>137</v>
      </c>
      <c r="AW272" s="37" t="s">
        <v>137</v>
      </c>
      <c r="AX272" s="37" t="s">
        <v>127</v>
      </c>
      <c r="AY272" s="76" t="s">
        <v>127</v>
      </c>
      <c r="AZ272" s="77" t="s">
        <v>127</v>
      </c>
      <c r="BA272" s="37" t="s">
        <v>127</v>
      </c>
      <c r="BB272" s="37" t="s">
        <v>154</v>
      </c>
      <c r="BC272" s="77" t="s">
        <v>127</v>
      </c>
      <c r="BD272" s="76" t="s">
        <v>127</v>
      </c>
      <c r="BE272" s="37" t="s">
        <v>137</v>
      </c>
      <c r="BF272" s="80" t="s">
        <v>127</v>
      </c>
      <c r="BG272" s="39" t="s">
        <v>127</v>
      </c>
      <c r="BH272" s="37" t="s">
        <v>127</v>
      </c>
      <c r="BI272" s="40" t="b">
        <v>0</v>
      </c>
      <c r="BJ272" s="40" t="s">
        <v>137</v>
      </c>
      <c r="BK272" s="37" t="s">
        <v>127</v>
      </c>
      <c r="BL272" s="41">
        <v>1478.8028463999258</v>
      </c>
      <c r="BM272" s="49">
        <v>0</v>
      </c>
      <c r="BN272" s="49">
        <v>0</v>
      </c>
      <c r="BO272" s="49">
        <v>0</v>
      </c>
      <c r="BP272" s="49">
        <v>0</v>
      </c>
      <c r="BQ272" s="50">
        <v>0</v>
      </c>
      <c r="BR272" s="50">
        <v>534.57362768407063</v>
      </c>
      <c r="BS272" s="50">
        <v>611.22134935453107</v>
      </c>
      <c r="BT272" s="50">
        <v>333.00786936132425</v>
      </c>
      <c r="BU272" s="50">
        <v>0</v>
      </c>
      <c r="BV272" s="50">
        <v>0</v>
      </c>
      <c r="BW272" s="50">
        <v>0</v>
      </c>
      <c r="BX272" s="37" t="s">
        <v>127</v>
      </c>
      <c r="BY272" s="37" t="s">
        <v>127</v>
      </c>
      <c r="BZ272" s="37" t="s">
        <v>127</v>
      </c>
      <c r="CA272" s="41">
        <v>0</v>
      </c>
      <c r="CB272" s="41">
        <v>0</v>
      </c>
      <c r="CC272" s="41">
        <v>0</v>
      </c>
      <c r="CD272" s="41">
        <v>0</v>
      </c>
      <c r="CE272" s="41">
        <v>0</v>
      </c>
      <c r="CF272" s="41">
        <v>0</v>
      </c>
      <c r="CG272" s="45">
        <v>0</v>
      </c>
      <c r="CH272" s="45" t="s">
        <v>137</v>
      </c>
      <c r="CI272" s="37" t="s">
        <v>127</v>
      </c>
      <c r="CJ272" s="77" t="s">
        <v>127</v>
      </c>
      <c r="CK272" s="98">
        <v>0.18140000000000001</v>
      </c>
      <c r="CL272" s="98">
        <v>0.81859999999999999</v>
      </c>
      <c r="CM272" s="100" t="s">
        <v>1639</v>
      </c>
    </row>
    <row r="273" spans="1:91" ht="12.75" customHeight="1" x14ac:dyDescent="0.3">
      <c r="A273" s="37">
        <v>271</v>
      </c>
      <c r="B273" s="37" t="s">
        <v>1640</v>
      </c>
      <c r="C273" s="124"/>
      <c r="D273" s="124"/>
      <c r="E273" s="37" t="s">
        <v>258</v>
      </c>
      <c r="F273" s="36" t="s">
        <v>1641</v>
      </c>
      <c r="G273" s="75" t="s">
        <v>513</v>
      </c>
      <c r="H273" s="37" t="s">
        <v>130</v>
      </c>
      <c r="I273" s="37" t="s">
        <v>127</v>
      </c>
      <c r="J273" s="37">
        <v>20133</v>
      </c>
      <c r="K273" s="37" t="s">
        <v>609</v>
      </c>
      <c r="L273" s="75" t="s">
        <v>133</v>
      </c>
      <c r="M273" s="37" t="s">
        <v>127</v>
      </c>
      <c r="N273" s="37" t="s">
        <v>127</v>
      </c>
      <c r="O273" s="76">
        <v>45180</v>
      </c>
      <c r="P273" s="37">
        <v>36</v>
      </c>
      <c r="Q273" s="37" t="s">
        <v>127</v>
      </c>
      <c r="R273" s="37" t="s">
        <v>127</v>
      </c>
      <c r="S273" s="37" t="s">
        <v>127</v>
      </c>
      <c r="T273" s="37" t="s">
        <v>1459</v>
      </c>
      <c r="U273" s="37" t="s">
        <v>789</v>
      </c>
      <c r="V273" s="37" t="b">
        <v>0</v>
      </c>
      <c r="W273" s="77" t="s">
        <v>127</v>
      </c>
      <c r="X273" s="123"/>
      <c r="Y273" s="83">
        <v>1.35</v>
      </c>
      <c r="Z273" s="37" t="s">
        <v>137</v>
      </c>
      <c r="AA273" s="37">
        <v>69</v>
      </c>
      <c r="AB273" s="37" t="s">
        <v>127</v>
      </c>
      <c r="AC273" s="78">
        <v>1.2</v>
      </c>
      <c r="AD273" s="78">
        <v>2991115</v>
      </c>
      <c r="AE273" s="37" t="s">
        <v>1642</v>
      </c>
      <c r="AF273" s="37">
        <v>20133</v>
      </c>
      <c r="AG273" s="37" t="s">
        <v>141</v>
      </c>
      <c r="AH273" s="37" t="b">
        <v>1</v>
      </c>
      <c r="AI273" s="76">
        <v>43922</v>
      </c>
      <c r="AJ273" s="77" t="s">
        <v>142</v>
      </c>
      <c r="AK273" s="37">
        <v>2020</v>
      </c>
      <c r="AL273" s="37" t="s">
        <v>127</v>
      </c>
      <c r="AM273" s="37" t="b">
        <v>0</v>
      </c>
      <c r="AN273" s="37" t="s">
        <v>127</v>
      </c>
      <c r="AO273" s="37" t="s">
        <v>127</v>
      </c>
      <c r="AP273" s="37" t="s">
        <v>137</v>
      </c>
      <c r="AQ273" s="37" t="b">
        <v>0</v>
      </c>
      <c r="AR273" s="37" t="s">
        <v>127</v>
      </c>
      <c r="AS273" s="76" t="s">
        <v>137</v>
      </c>
      <c r="AT273" s="37" t="s">
        <v>389</v>
      </c>
      <c r="AU273" s="37" t="s">
        <v>127</v>
      </c>
      <c r="AV273" s="37" t="s">
        <v>137</v>
      </c>
      <c r="AW273" s="37" t="s">
        <v>137</v>
      </c>
      <c r="AX273" s="37" t="s">
        <v>532</v>
      </c>
      <c r="AY273" s="37" t="s">
        <v>1643</v>
      </c>
      <c r="AZ273" s="37" t="s">
        <v>973</v>
      </c>
      <c r="BA273" s="37">
        <v>2023</v>
      </c>
      <c r="BB273" s="37" t="s">
        <v>143</v>
      </c>
      <c r="BC273" s="77" t="s">
        <v>127</v>
      </c>
      <c r="BD273" s="76" t="s">
        <v>1644</v>
      </c>
      <c r="BE273" s="76">
        <v>46387</v>
      </c>
      <c r="BF273" s="86" t="s">
        <v>1645</v>
      </c>
      <c r="BG273" s="39" t="s">
        <v>127</v>
      </c>
      <c r="BH273" s="37" t="s">
        <v>127</v>
      </c>
      <c r="BI273" s="40" t="b">
        <v>0</v>
      </c>
      <c r="BJ273" s="40">
        <v>1979.963</v>
      </c>
      <c r="BK273" s="37" t="s">
        <v>127</v>
      </c>
      <c r="BL273" s="41">
        <v>10826.596743033897</v>
      </c>
      <c r="BM273" s="49">
        <v>0</v>
      </c>
      <c r="BN273" s="49">
        <v>37.645830000000004</v>
      </c>
      <c r="BO273" s="49">
        <v>112.18256</v>
      </c>
      <c r="BP273" s="49">
        <v>110.48485000000001</v>
      </c>
      <c r="BQ273" s="50">
        <v>125.69465</v>
      </c>
      <c r="BR273" s="50">
        <v>227.37792726884066</v>
      </c>
      <c r="BS273" s="50">
        <v>10213.210925765055</v>
      </c>
      <c r="BT273" s="50">
        <v>0</v>
      </c>
      <c r="BU273" s="50">
        <v>0</v>
      </c>
      <c r="BV273" s="50">
        <v>0</v>
      </c>
      <c r="BW273" s="50">
        <v>426.60760999999997</v>
      </c>
      <c r="BX273" s="37" t="s">
        <v>127</v>
      </c>
      <c r="BY273" s="37" t="s">
        <v>127</v>
      </c>
      <c r="BZ273" s="37" t="s">
        <v>127</v>
      </c>
      <c r="CA273" s="41">
        <v>0</v>
      </c>
      <c r="CB273" s="41">
        <v>0</v>
      </c>
      <c r="CC273" s="41">
        <v>0</v>
      </c>
      <c r="CD273" s="41">
        <v>0</v>
      </c>
      <c r="CE273" s="41">
        <v>0</v>
      </c>
      <c r="CF273" s="41">
        <v>0</v>
      </c>
      <c r="CG273" s="45">
        <v>0</v>
      </c>
      <c r="CH273" s="45" t="s">
        <v>137</v>
      </c>
      <c r="CI273" s="37" t="s">
        <v>127</v>
      </c>
      <c r="CJ273" s="77" t="s">
        <v>127</v>
      </c>
      <c r="CK273" s="98">
        <v>0</v>
      </c>
      <c r="CL273" s="98">
        <v>1</v>
      </c>
      <c r="CM273" s="100" t="s">
        <v>1646</v>
      </c>
    </row>
    <row r="274" spans="1:91" ht="12.75" customHeight="1" x14ac:dyDescent="0.3">
      <c r="A274" s="37">
        <v>272</v>
      </c>
      <c r="B274" s="37" t="s">
        <v>1647</v>
      </c>
      <c r="C274" s="124"/>
      <c r="D274" s="124"/>
      <c r="E274" s="37" t="s">
        <v>1648</v>
      </c>
      <c r="F274" s="36" t="s">
        <v>1649</v>
      </c>
      <c r="G274" s="75" t="s">
        <v>152</v>
      </c>
      <c r="H274" s="37" t="s">
        <v>130</v>
      </c>
      <c r="I274" s="37" t="s">
        <v>127</v>
      </c>
      <c r="J274" s="37" t="s">
        <v>127</v>
      </c>
      <c r="K274" s="37" t="s">
        <v>132</v>
      </c>
      <c r="L274" s="75" t="s">
        <v>243</v>
      </c>
      <c r="M274" s="37" t="s">
        <v>127</v>
      </c>
      <c r="N274" s="37" t="s">
        <v>127</v>
      </c>
      <c r="O274" s="76">
        <v>44859</v>
      </c>
      <c r="P274" s="37">
        <v>45</v>
      </c>
      <c r="Q274" s="37" t="s">
        <v>127</v>
      </c>
      <c r="R274" s="37" t="s">
        <v>127</v>
      </c>
      <c r="S274" s="37" t="s">
        <v>127</v>
      </c>
      <c r="T274" s="37" t="s">
        <v>315</v>
      </c>
      <c r="U274" s="37" t="s">
        <v>789</v>
      </c>
      <c r="V274" s="37" t="b">
        <v>0</v>
      </c>
      <c r="W274" s="77" t="s">
        <v>127</v>
      </c>
      <c r="X274" s="123"/>
      <c r="Y274" s="83">
        <v>7.1867049999999999</v>
      </c>
      <c r="Z274" s="37" t="s">
        <v>137</v>
      </c>
      <c r="AA274" s="37">
        <v>69</v>
      </c>
      <c r="AB274" s="37" t="s">
        <v>127</v>
      </c>
      <c r="AC274" s="78">
        <v>1.2</v>
      </c>
      <c r="AD274" s="78">
        <v>2991116</v>
      </c>
      <c r="AE274" s="37" t="s">
        <v>1650</v>
      </c>
      <c r="AF274" s="37">
        <v>20134</v>
      </c>
      <c r="AG274" s="37" t="s">
        <v>141</v>
      </c>
      <c r="AH274" s="37" t="b">
        <v>1</v>
      </c>
      <c r="AI274" s="76">
        <v>43922</v>
      </c>
      <c r="AJ274" s="77" t="s">
        <v>142</v>
      </c>
      <c r="AK274" s="37">
        <v>2020</v>
      </c>
      <c r="AL274" s="37" t="s">
        <v>127</v>
      </c>
      <c r="AM274" s="37" t="b">
        <v>0</v>
      </c>
      <c r="AN274" s="37" t="s">
        <v>127</v>
      </c>
      <c r="AO274" s="37" t="s">
        <v>127</v>
      </c>
      <c r="AP274" s="37" t="s">
        <v>137</v>
      </c>
      <c r="AQ274" s="37" t="b">
        <v>0</v>
      </c>
      <c r="AR274" s="37" t="s">
        <v>127</v>
      </c>
      <c r="AS274" s="76" t="s">
        <v>137</v>
      </c>
      <c r="AT274" s="37" t="s">
        <v>389</v>
      </c>
      <c r="AU274" s="37" t="s">
        <v>127</v>
      </c>
      <c r="AV274" s="37" t="s">
        <v>137</v>
      </c>
      <c r="AW274" s="37" t="s">
        <v>137</v>
      </c>
      <c r="AX274" s="37" t="s">
        <v>161</v>
      </c>
      <c r="AY274" s="37" t="s">
        <v>127</v>
      </c>
      <c r="AZ274" s="37" t="s">
        <v>973</v>
      </c>
      <c r="BA274" s="37">
        <v>2023</v>
      </c>
      <c r="BB274" s="37" t="s">
        <v>143</v>
      </c>
      <c r="BC274" s="77" t="s">
        <v>127</v>
      </c>
      <c r="BD274" s="76" t="s">
        <v>1651</v>
      </c>
      <c r="BE274" s="76">
        <v>46387</v>
      </c>
      <c r="BF274" s="86" t="s">
        <v>1652</v>
      </c>
      <c r="BG274" s="39" t="s">
        <v>127</v>
      </c>
      <c r="BH274" s="37" t="s">
        <v>127</v>
      </c>
      <c r="BI274" s="40" t="b">
        <v>0</v>
      </c>
      <c r="BJ274" s="40">
        <v>1979.963</v>
      </c>
      <c r="BK274" s="37" t="s">
        <v>127</v>
      </c>
      <c r="BL274" s="41">
        <v>10669.908366349651</v>
      </c>
      <c r="BM274" s="49">
        <v>0</v>
      </c>
      <c r="BN274" s="49">
        <v>70.016580000000005</v>
      </c>
      <c r="BO274" s="49">
        <v>110.01295</v>
      </c>
      <c r="BP274" s="49">
        <v>423.34568000000007</v>
      </c>
      <c r="BQ274" s="50">
        <v>504.26776000000001</v>
      </c>
      <c r="BR274" s="50">
        <v>2947.9130257599863</v>
      </c>
      <c r="BS274" s="50">
        <v>6614.3523705896723</v>
      </c>
      <c r="BT274" s="50">
        <v>0</v>
      </c>
      <c r="BU274" s="50">
        <v>0</v>
      </c>
      <c r="BV274" s="50">
        <v>0</v>
      </c>
      <c r="BW274" s="50">
        <v>1353.0026600000001</v>
      </c>
      <c r="BX274" s="37" t="s">
        <v>127</v>
      </c>
      <c r="BY274" s="37" t="s">
        <v>127</v>
      </c>
      <c r="BZ274" s="37" t="s">
        <v>127</v>
      </c>
      <c r="CA274" s="41">
        <v>0</v>
      </c>
      <c r="CB274" s="41">
        <v>0</v>
      </c>
      <c r="CC274" s="41">
        <v>0</v>
      </c>
      <c r="CD274" s="41">
        <v>0</v>
      </c>
      <c r="CE274" s="41">
        <v>0</v>
      </c>
      <c r="CF274" s="41">
        <v>0</v>
      </c>
      <c r="CG274" s="45">
        <v>0</v>
      </c>
      <c r="CH274" s="45" t="s">
        <v>137</v>
      </c>
      <c r="CI274" s="37" t="s">
        <v>1653</v>
      </c>
      <c r="CJ274" s="77" t="s">
        <v>127</v>
      </c>
      <c r="CK274" s="98">
        <v>0</v>
      </c>
      <c r="CL274" s="98">
        <v>1</v>
      </c>
      <c r="CM274" s="100" t="s">
        <v>1654</v>
      </c>
    </row>
    <row r="275" spans="1:91" ht="12.75" customHeight="1" x14ac:dyDescent="0.3">
      <c r="A275" s="37">
        <v>273</v>
      </c>
      <c r="B275" s="37" t="s">
        <v>1655</v>
      </c>
      <c r="C275" s="124"/>
      <c r="D275" s="124"/>
      <c r="E275" s="37" t="s">
        <v>1147</v>
      </c>
      <c r="F275" s="36" t="s">
        <v>1656</v>
      </c>
      <c r="G275" s="75" t="s">
        <v>513</v>
      </c>
      <c r="H275" s="37" t="s">
        <v>131</v>
      </c>
      <c r="I275" s="37" t="s">
        <v>127</v>
      </c>
      <c r="J275" s="37" t="s">
        <v>127</v>
      </c>
      <c r="K275" s="37" t="s">
        <v>609</v>
      </c>
      <c r="L275" s="75" t="s">
        <v>133</v>
      </c>
      <c r="M275" s="37" t="s">
        <v>127</v>
      </c>
      <c r="N275" s="37" t="s">
        <v>127</v>
      </c>
      <c r="O275" s="76">
        <v>44457</v>
      </c>
      <c r="P275" s="37">
        <v>44</v>
      </c>
      <c r="Q275" s="37" t="s">
        <v>127</v>
      </c>
      <c r="R275" s="37" t="s">
        <v>127</v>
      </c>
      <c r="S275" s="37" t="s">
        <v>127</v>
      </c>
      <c r="T275" s="37" t="s">
        <v>315</v>
      </c>
      <c r="U275" s="37" t="s">
        <v>789</v>
      </c>
      <c r="V275" s="37" t="b">
        <v>0</v>
      </c>
      <c r="W275" s="77" t="s">
        <v>127</v>
      </c>
      <c r="X275" s="123"/>
      <c r="Y275" s="83">
        <v>1.6826369999999999</v>
      </c>
      <c r="Z275" s="37" t="s">
        <v>137</v>
      </c>
      <c r="AA275" s="37">
        <v>69</v>
      </c>
      <c r="AB275" s="37" t="s">
        <v>127</v>
      </c>
      <c r="AC275" s="78">
        <v>1.2</v>
      </c>
      <c r="AD275" s="78" t="s">
        <v>1657</v>
      </c>
      <c r="AE275" s="37" t="s">
        <v>1658</v>
      </c>
      <c r="AF275" s="37">
        <v>20135</v>
      </c>
      <c r="AG275" s="37" t="s">
        <v>141</v>
      </c>
      <c r="AH275" s="37" t="b">
        <v>1</v>
      </c>
      <c r="AI275" s="76">
        <v>43922</v>
      </c>
      <c r="AJ275" s="77" t="s">
        <v>142</v>
      </c>
      <c r="AK275" s="37">
        <v>2020</v>
      </c>
      <c r="AL275" s="37" t="s">
        <v>127</v>
      </c>
      <c r="AM275" s="37" t="b">
        <v>0</v>
      </c>
      <c r="AN275" s="37" t="s">
        <v>364</v>
      </c>
      <c r="AO275" s="37" t="s">
        <v>127</v>
      </c>
      <c r="AP275" s="53" t="s">
        <v>1659</v>
      </c>
      <c r="AQ275" s="37" t="b">
        <v>0</v>
      </c>
      <c r="AR275" s="37" t="s">
        <v>1110</v>
      </c>
      <c r="AS275" s="76">
        <v>43378</v>
      </c>
      <c r="AT275" s="37" t="s">
        <v>1111</v>
      </c>
      <c r="AU275" s="37" t="s">
        <v>127</v>
      </c>
      <c r="AV275" s="37" t="s">
        <v>933</v>
      </c>
      <c r="AW275" s="37" t="s">
        <v>137</v>
      </c>
      <c r="AX275" s="37" t="s">
        <v>161</v>
      </c>
      <c r="AY275" s="37" t="s">
        <v>127</v>
      </c>
      <c r="AZ275" s="37" t="s">
        <v>127</v>
      </c>
      <c r="BA275" s="37" t="s">
        <v>127</v>
      </c>
      <c r="BB275" s="37" t="s">
        <v>443</v>
      </c>
      <c r="BC275" s="77" t="s">
        <v>127</v>
      </c>
      <c r="BD275" s="76" t="s">
        <v>1660</v>
      </c>
      <c r="BE275" s="37" t="s">
        <v>127</v>
      </c>
      <c r="BF275" s="86" t="s">
        <v>1661</v>
      </c>
      <c r="BG275" s="39" t="s">
        <v>127</v>
      </c>
      <c r="BH275" s="37" t="s">
        <v>127</v>
      </c>
      <c r="BI275" s="40" t="b">
        <v>1</v>
      </c>
      <c r="BJ275" s="40">
        <v>1486.2090000000001</v>
      </c>
      <c r="BK275" s="37" t="s">
        <v>127</v>
      </c>
      <c r="BL275" s="41">
        <v>10513.370894995518</v>
      </c>
      <c r="BM275" s="49">
        <v>0</v>
      </c>
      <c r="BN275" s="49">
        <v>36.167909999999999</v>
      </c>
      <c r="BO275" s="49">
        <v>200.38268999999994</v>
      </c>
      <c r="BP275" s="49">
        <v>614.91125999999986</v>
      </c>
      <c r="BQ275" s="50">
        <v>833.94612999999958</v>
      </c>
      <c r="BR275" s="50">
        <v>7808.6309578071914</v>
      </c>
      <c r="BS275" s="50">
        <v>1019.331947188322</v>
      </c>
      <c r="BT275" s="50">
        <v>0</v>
      </c>
      <c r="BU275" s="50">
        <v>0</v>
      </c>
      <c r="BV275" s="50">
        <v>0</v>
      </c>
      <c r="BW275" s="50">
        <v>1938.4020700000003</v>
      </c>
      <c r="BX275" s="37" t="s">
        <v>127</v>
      </c>
      <c r="BY275" s="37" t="s">
        <v>127</v>
      </c>
      <c r="BZ275" s="37" t="s">
        <v>173</v>
      </c>
      <c r="CA275" s="41">
        <v>0</v>
      </c>
      <c r="CB275" s="41">
        <v>0</v>
      </c>
      <c r="CC275" s="41">
        <v>0</v>
      </c>
      <c r="CD275" s="41">
        <v>0</v>
      </c>
      <c r="CE275" s="41">
        <v>0</v>
      </c>
      <c r="CF275" s="41">
        <v>8478.2481954481991</v>
      </c>
      <c r="CG275" s="45">
        <v>0</v>
      </c>
      <c r="CH275" s="45" t="s">
        <v>137</v>
      </c>
      <c r="CI275" s="37" t="s">
        <v>1662</v>
      </c>
      <c r="CJ275" s="77" t="s">
        <v>127</v>
      </c>
      <c r="CK275" s="98">
        <v>0</v>
      </c>
      <c r="CL275" s="98">
        <v>1</v>
      </c>
      <c r="CM275" s="100" t="s">
        <v>1663</v>
      </c>
    </row>
    <row r="276" spans="1:91" ht="12.75" customHeight="1" x14ac:dyDescent="0.3">
      <c r="A276" s="37">
        <v>274</v>
      </c>
      <c r="B276" s="37" t="s">
        <v>1664</v>
      </c>
      <c r="C276" s="124"/>
      <c r="D276" s="124"/>
      <c r="E276" s="37" t="s">
        <v>1665</v>
      </c>
      <c r="F276" s="36" t="s">
        <v>1666</v>
      </c>
      <c r="G276" s="75" t="s">
        <v>513</v>
      </c>
      <c r="H276" s="37" t="s">
        <v>130</v>
      </c>
      <c r="I276" s="37" t="s">
        <v>268</v>
      </c>
      <c r="J276" s="37" t="s">
        <v>127</v>
      </c>
      <c r="K276" s="37" t="s">
        <v>609</v>
      </c>
      <c r="L276" s="75" t="s">
        <v>133</v>
      </c>
      <c r="M276" s="37" t="s">
        <v>127</v>
      </c>
      <c r="N276" s="37" t="s">
        <v>127</v>
      </c>
      <c r="O276" s="76">
        <v>45040</v>
      </c>
      <c r="P276" s="37">
        <v>57</v>
      </c>
      <c r="Q276" s="37" t="s">
        <v>127</v>
      </c>
      <c r="R276" s="37" t="s">
        <v>127</v>
      </c>
      <c r="S276" s="37" t="s">
        <v>127</v>
      </c>
      <c r="T276" s="37" t="s">
        <v>315</v>
      </c>
      <c r="U276" s="37" t="s">
        <v>789</v>
      </c>
      <c r="V276" s="37" t="b">
        <v>0</v>
      </c>
      <c r="W276" s="77" t="s">
        <v>1667</v>
      </c>
      <c r="X276" s="123"/>
      <c r="Y276" s="83">
        <v>16.374898999999999</v>
      </c>
      <c r="Z276" s="37" t="s">
        <v>137</v>
      </c>
      <c r="AA276" s="37">
        <v>138</v>
      </c>
      <c r="AB276" s="37" t="s">
        <v>127</v>
      </c>
      <c r="AC276" s="78">
        <v>1.2</v>
      </c>
      <c r="AD276" s="78">
        <v>2166154</v>
      </c>
      <c r="AE276" s="37" t="s">
        <v>1668</v>
      </c>
      <c r="AF276" s="37">
        <v>20136</v>
      </c>
      <c r="AG276" s="37" t="s">
        <v>141</v>
      </c>
      <c r="AH276" s="37" t="b">
        <v>1</v>
      </c>
      <c r="AI276" s="76">
        <v>44033</v>
      </c>
      <c r="AJ276" s="77" t="s">
        <v>142</v>
      </c>
      <c r="AK276" s="37">
        <v>2020</v>
      </c>
      <c r="AL276" s="37" t="s">
        <v>127</v>
      </c>
      <c r="AM276" s="37" t="b">
        <v>0</v>
      </c>
      <c r="AN276" s="37" t="s">
        <v>127</v>
      </c>
      <c r="AO276" s="37" t="s">
        <v>127</v>
      </c>
      <c r="AP276" s="37" t="s">
        <v>137</v>
      </c>
      <c r="AQ276" s="37" t="b">
        <v>0</v>
      </c>
      <c r="AR276" s="37" t="s">
        <v>127</v>
      </c>
      <c r="AS276" s="76" t="s">
        <v>137</v>
      </c>
      <c r="AT276" s="37" t="s">
        <v>389</v>
      </c>
      <c r="AU276" s="37" t="s">
        <v>127</v>
      </c>
      <c r="AV276" s="37" t="s">
        <v>137</v>
      </c>
      <c r="AW276" s="37" t="s">
        <v>137</v>
      </c>
      <c r="AX276" s="37" t="s">
        <v>161</v>
      </c>
      <c r="AY276" s="37" t="s">
        <v>127</v>
      </c>
      <c r="AZ276" s="37" t="s">
        <v>127</v>
      </c>
      <c r="BA276" s="37" t="s">
        <v>127</v>
      </c>
      <c r="BB276" s="37" t="s">
        <v>143</v>
      </c>
      <c r="BC276" s="77" t="s">
        <v>127</v>
      </c>
      <c r="BD276" s="76" t="s">
        <v>768</v>
      </c>
      <c r="BE276" s="76">
        <v>45328</v>
      </c>
      <c r="BF276" s="86" t="s">
        <v>1669</v>
      </c>
      <c r="BG276" s="39" t="s">
        <v>127</v>
      </c>
      <c r="BH276" s="37" t="s">
        <v>127</v>
      </c>
      <c r="BI276" s="40" t="b">
        <v>0</v>
      </c>
      <c r="BJ276" s="40">
        <v>3628.6550000000002</v>
      </c>
      <c r="BK276" s="37" t="s">
        <v>127</v>
      </c>
      <c r="BL276" s="41">
        <v>10667.152028079199</v>
      </c>
      <c r="BM276" s="49">
        <v>0</v>
      </c>
      <c r="BN276" s="49">
        <v>49.766359999999992</v>
      </c>
      <c r="BO276" s="49">
        <v>258.59448000000009</v>
      </c>
      <c r="BP276" s="49">
        <v>322.25552000000005</v>
      </c>
      <c r="BQ276" s="50">
        <v>515.55511999999987</v>
      </c>
      <c r="BR276" s="50">
        <v>9364.199172150069</v>
      </c>
      <c r="BS276" s="50">
        <v>156.78137592912856</v>
      </c>
      <c r="BT276" s="50">
        <v>0</v>
      </c>
      <c r="BU276" s="50">
        <v>0</v>
      </c>
      <c r="BV276" s="50">
        <v>0</v>
      </c>
      <c r="BW276" s="50">
        <v>1448.8555800000001</v>
      </c>
      <c r="BX276" s="37" t="s">
        <v>127</v>
      </c>
      <c r="BY276" s="37" t="s">
        <v>127</v>
      </c>
      <c r="BZ276" s="37" t="s">
        <v>127</v>
      </c>
      <c r="CA276" s="41">
        <v>0</v>
      </c>
      <c r="CB276" s="41">
        <v>0</v>
      </c>
      <c r="CC276" s="41">
        <v>0</v>
      </c>
      <c r="CD276" s="41">
        <v>0</v>
      </c>
      <c r="CE276" s="41">
        <v>0</v>
      </c>
      <c r="CF276" s="41">
        <v>0</v>
      </c>
      <c r="CG276" s="45">
        <v>0</v>
      </c>
      <c r="CH276" s="45" t="s">
        <v>137</v>
      </c>
      <c r="CI276" s="37" t="s">
        <v>1670</v>
      </c>
      <c r="CJ276" s="77" t="s">
        <v>127</v>
      </c>
      <c r="CK276" s="98">
        <v>0</v>
      </c>
      <c r="CL276" s="98">
        <v>1</v>
      </c>
      <c r="CM276" s="100" t="s">
        <v>1589</v>
      </c>
    </row>
    <row r="277" spans="1:91" ht="12.75" customHeight="1" x14ac:dyDescent="0.3">
      <c r="A277" s="37">
        <v>275</v>
      </c>
      <c r="B277" s="37" t="s">
        <v>1671</v>
      </c>
      <c r="C277" s="124"/>
      <c r="D277" s="124"/>
      <c r="E277" s="37" t="s">
        <v>1672</v>
      </c>
      <c r="F277" s="36" t="s">
        <v>1671</v>
      </c>
      <c r="G277" s="75" t="s">
        <v>979</v>
      </c>
      <c r="H277" s="37" t="s">
        <v>131</v>
      </c>
      <c r="I277" s="37" t="s">
        <v>127</v>
      </c>
      <c r="J277" s="37" t="s">
        <v>127</v>
      </c>
      <c r="K277" s="37" t="s">
        <v>132</v>
      </c>
      <c r="L277" s="75" t="s">
        <v>1673</v>
      </c>
      <c r="M277" s="37" t="s">
        <v>127</v>
      </c>
      <c r="N277" s="37" t="s">
        <v>127</v>
      </c>
      <c r="O277" s="76">
        <v>45036</v>
      </c>
      <c r="P277" s="37">
        <v>20</v>
      </c>
      <c r="Q277" s="37" t="s">
        <v>127</v>
      </c>
      <c r="R277" s="37" t="s">
        <v>127</v>
      </c>
      <c r="S277" s="37" t="s">
        <v>127</v>
      </c>
      <c r="T277" s="37" t="s">
        <v>315</v>
      </c>
      <c r="U277" s="37" t="s">
        <v>136</v>
      </c>
      <c r="V277" s="37" t="b">
        <v>0</v>
      </c>
      <c r="W277" s="77" t="s">
        <v>127</v>
      </c>
      <c r="X277" s="123"/>
      <c r="Y277" s="83">
        <v>34.828406000000001</v>
      </c>
      <c r="Z277" s="37" t="s">
        <v>137</v>
      </c>
      <c r="AA277" s="37">
        <v>230</v>
      </c>
      <c r="AB277" s="37" t="s">
        <v>127</v>
      </c>
      <c r="AC277" s="78">
        <v>4.0999999999999996</v>
      </c>
      <c r="AD277" s="78">
        <v>2991118</v>
      </c>
      <c r="AE277" s="37" t="s">
        <v>1674</v>
      </c>
      <c r="AF277" s="37">
        <v>20138</v>
      </c>
      <c r="AG277" s="37" t="s">
        <v>141</v>
      </c>
      <c r="AH277" s="37" t="b">
        <v>1</v>
      </c>
      <c r="AI277" s="76">
        <v>43983</v>
      </c>
      <c r="AJ277" s="77" t="s">
        <v>142</v>
      </c>
      <c r="AK277" s="37">
        <v>2020</v>
      </c>
      <c r="AL277" s="37" t="s">
        <v>127</v>
      </c>
      <c r="AM277" s="37" t="b">
        <v>0</v>
      </c>
      <c r="AN277" s="37" t="s">
        <v>127</v>
      </c>
      <c r="AO277" s="37" t="s">
        <v>127</v>
      </c>
      <c r="AP277" s="37" t="s">
        <v>137</v>
      </c>
      <c r="AQ277" s="37" t="b">
        <v>0</v>
      </c>
      <c r="AR277" s="37" t="s">
        <v>127</v>
      </c>
      <c r="AS277" s="76" t="s">
        <v>137</v>
      </c>
      <c r="AT277" s="37" t="s">
        <v>389</v>
      </c>
      <c r="AU277" s="37" t="s">
        <v>127</v>
      </c>
      <c r="AV277" s="37" t="s">
        <v>127</v>
      </c>
      <c r="AW277" s="37" t="s">
        <v>127</v>
      </c>
      <c r="AX277" s="37" t="s">
        <v>161</v>
      </c>
      <c r="AY277" s="37" t="s">
        <v>127</v>
      </c>
      <c r="AZ277" s="37" t="s">
        <v>127</v>
      </c>
      <c r="BA277" s="37" t="s">
        <v>127</v>
      </c>
      <c r="BB277" s="37" t="s">
        <v>143</v>
      </c>
      <c r="BC277" s="77" t="s">
        <v>127</v>
      </c>
      <c r="BD277" s="76" t="s">
        <v>1675</v>
      </c>
      <c r="BE277" s="76">
        <v>46387</v>
      </c>
      <c r="BF277" s="86" t="s">
        <v>1676</v>
      </c>
      <c r="BG277" s="39" t="s">
        <v>127</v>
      </c>
      <c r="BH277" s="37" t="s">
        <v>127</v>
      </c>
      <c r="BI277" s="40" t="b">
        <v>1</v>
      </c>
      <c r="BJ277" s="40">
        <v>8040.0590000000002</v>
      </c>
      <c r="BK277" s="37" t="s">
        <v>127</v>
      </c>
      <c r="BL277" s="41">
        <v>11325.204782060997</v>
      </c>
      <c r="BM277" s="49">
        <v>0</v>
      </c>
      <c r="BN277" s="49">
        <v>14.815813770000002</v>
      </c>
      <c r="BO277" s="49">
        <v>3606.62282512</v>
      </c>
      <c r="BP277" s="49">
        <v>7469.8812667369994</v>
      </c>
      <c r="BQ277" s="50">
        <v>117.11924044300002</v>
      </c>
      <c r="BR277" s="50">
        <v>116.76563599100001</v>
      </c>
      <c r="BS277" s="50">
        <v>0</v>
      </c>
      <c r="BT277" s="50">
        <v>0</v>
      </c>
      <c r="BU277" s="50">
        <v>0</v>
      </c>
      <c r="BV277" s="50">
        <v>0</v>
      </c>
      <c r="BW277" s="50">
        <v>0</v>
      </c>
      <c r="BX277" s="37" t="s">
        <v>127</v>
      </c>
      <c r="BY277" s="37" t="s">
        <v>127</v>
      </c>
      <c r="BZ277" s="37" t="s">
        <v>162</v>
      </c>
      <c r="CA277" s="41">
        <v>0</v>
      </c>
      <c r="CB277" s="41">
        <v>0</v>
      </c>
      <c r="CC277" s="41">
        <v>10354.575839999996</v>
      </c>
      <c r="CD277" s="41">
        <v>77.973249999999979</v>
      </c>
      <c r="CE277" s="41">
        <v>102.49494000000001</v>
      </c>
      <c r="CF277" s="41">
        <v>104.60131599100001</v>
      </c>
      <c r="CG277" s="45">
        <v>0</v>
      </c>
      <c r="CH277" s="45" t="s">
        <v>137</v>
      </c>
      <c r="CI277" s="37" t="s">
        <v>127</v>
      </c>
      <c r="CJ277" s="77" t="s">
        <v>127</v>
      </c>
      <c r="CK277" s="98">
        <v>1</v>
      </c>
      <c r="CL277" s="98">
        <v>0</v>
      </c>
      <c r="CM277" s="100" t="s">
        <v>1293</v>
      </c>
    </row>
    <row r="278" spans="1:91" ht="12.75" customHeight="1" x14ac:dyDescent="0.3">
      <c r="A278" s="37">
        <v>276</v>
      </c>
      <c r="B278" s="37" t="s">
        <v>1677</v>
      </c>
      <c r="C278" s="124"/>
      <c r="D278" s="124"/>
      <c r="E278" s="37" t="s">
        <v>258</v>
      </c>
      <c r="F278" s="36" t="s">
        <v>1678</v>
      </c>
      <c r="G278" s="75" t="s">
        <v>513</v>
      </c>
      <c r="H278" s="37" t="s">
        <v>130</v>
      </c>
      <c r="I278" s="37" t="s">
        <v>127</v>
      </c>
      <c r="J278" s="37">
        <v>20139</v>
      </c>
      <c r="K278" s="37" t="s">
        <v>609</v>
      </c>
      <c r="L278" s="75" t="s">
        <v>133</v>
      </c>
      <c r="M278" s="37" t="s">
        <v>127</v>
      </c>
      <c r="N278" s="37" t="s">
        <v>127</v>
      </c>
      <c r="O278" s="76">
        <v>44354</v>
      </c>
      <c r="P278" s="37">
        <v>33</v>
      </c>
      <c r="Q278" s="37" t="s">
        <v>127</v>
      </c>
      <c r="R278" s="37" t="s">
        <v>127</v>
      </c>
      <c r="S278" s="37" t="s">
        <v>127</v>
      </c>
      <c r="T278" s="37" t="s">
        <v>315</v>
      </c>
      <c r="U278" s="37" t="s">
        <v>789</v>
      </c>
      <c r="V278" s="37" t="b">
        <v>0</v>
      </c>
      <c r="W278" s="77" t="s">
        <v>1107</v>
      </c>
      <c r="X278" s="123"/>
      <c r="Y278" s="83">
        <v>1.3391040000000001</v>
      </c>
      <c r="Z278" s="37" t="s">
        <v>137</v>
      </c>
      <c r="AA278" s="37">
        <v>69</v>
      </c>
      <c r="AB278" s="37" t="s">
        <v>127</v>
      </c>
      <c r="AC278" s="78">
        <v>1.2</v>
      </c>
      <c r="AD278" s="78">
        <v>2991119</v>
      </c>
      <c r="AE278" s="37" t="s">
        <v>1679</v>
      </c>
      <c r="AF278" s="37">
        <v>20139</v>
      </c>
      <c r="AG278" s="37" t="s">
        <v>141</v>
      </c>
      <c r="AH278" s="37" t="b">
        <v>1</v>
      </c>
      <c r="AI278" s="76">
        <v>43997</v>
      </c>
      <c r="AJ278" s="77" t="s">
        <v>142</v>
      </c>
      <c r="AK278" s="37">
        <v>2020</v>
      </c>
      <c r="AL278" s="37" t="s">
        <v>127</v>
      </c>
      <c r="AM278" s="37" t="b">
        <v>0</v>
      </c>
      <c r="AN278" s="37" t="s">
        <v>127</v>
      </c>
      <c r="AO278" s="37" t="s">
        <v>127</v>
      </c>
      <c r="AP278" s="37" t="s">
        <v>137</v>
      </c>
      <c r="AQ278" s="37" t="b">
        <v>0</v>
      </c>
      <c r="AR278" s="37" t="s">
        <v>127</v>
      </c>
      <c r="AS278" s="76" t="s">
        <v>127</v>
      </c>
      <c r="AT278" s="37" t="s">
        <v>389</v>
      </c>
      <c r="AU278" s="37" t="s">
        <v>127</v>
      </c>
      <c r="AV278" s="37" t="s">
        <v>127</v>
      </c>
      <c r="AW278" s="37" t="s">
        <v>127</v>
      </c>
      <c r="AX278" s="37" t="s">
        <v>161</v>
      </c>
      <c r="AY278" s="37" t="s">
        <v>127</v>
      </c>
      <c r="AZ278" s="37" t="s">
        <v>127</v>
      </c>
      <c r="BA278" s="37" t="s">
        <v>127</v>
      </c>
      <c r="BB278" s="37" t="s">
        <v>143</v>
      </c>
      <c r="BC278" s="77" t="s">
        <v>127</v>
      </c>
      <c r="BD278" s="76" t="s">
        <v>1644</v>
      </c>
      <c r="BE278" s="76">
        <v>46387</v>
      </c>
      <c r="BF278" s="86" t="s">
        <v>1645</v>
      </c>
      <c r="BG278" s="39" t="s">
        <v>127</v>
      </c>
      <c r="BH278" s="37" t="s">
        <v>127</v>
      </c>
      <c r="BI278" s="40" t="b">
        <v>0</v>
      </c>
      <c r="BJ278" s="40">
        <v>1810.588</v>
      </c>
      <c r="BK278" s="37" t="s">
        <v>127</v>
      </c>
      <c r="BL278" s="41">
        <v>9611.6302357737331</v>
      </c>
      <c r="BM278" s="49">
        <v>0</v>
      </c>
      <c r="BN278" s="49">
        <v>13.791349999999998</v>
      </c>
      <c r="BO278" s="49">
        <v>85.268730000000005</v>
      </c>
      <c r="BP278" s="49">
        <v>108.16795999999999</v>
      </c>
      <c r="BQ278" s="50">
        <v>115.83572999999998</v>
      </c>
      <c r="BR278" s="50">
        <v>348.6799516570411</v>
      </c>
      <c r="BS278" s="50">
        <v>8939.8865141166898</v>
      </c>
      <c r="BT278" s="50">
        <v>0</v>
      </c>
      <c r="BU278" s="50">
        <v>0</v>
      </c>
      <c r="BV278" s="50">
        <v>0</v>
      </c>
      <c r="BW278" s="50">
        <v>380.50685000000004</v>
      </c>
      <c r="BX278" s="37" t="s">
        <v>127</v>
      </c>
      <c r="BY278" s="37" t="s">
        <v>127</v>
      </c>
      <c r="BZ278" s="37" t="s">
        <v>127</v>
      </c>
      <c r="CA278" s="41">
        <v>0</v>
      </c>
      <c r="CB278" s="41">
        <v>0</v>
      </c>
      <c r="CC278" s="41">
        <v>0</v>
      </c>
      <c r="CD278" s="41">
        <v>0</v>
      </c>
      <c r="CE278" s="41">
        <v>0</v>
      </c>
      <c r="CF278" s="41">
        <v>0</v>
      </c>
      <c r="CG278" s="45">
        <v>0</v>
      </c>
      <c r="CH278" s="45" t="s">
        <v>137</v>
      </c>
      <c r="CI278" s="37" t="s">
        <v>1680</v>
      </c>
      <c r="CJ278" s="77" t="s">
        <v>127</v>
      </c>
      <c r="CK278" s="98">
        <v>0</v>
      </c>
      <c r="CL278" s="98">
        <v>1</v>
      </c>
      <c r="CM278" s="100" t="s">
        <v>1293</v>
      </c>
    </row>
    <row r="279" spans="1:91" ht="12.75" customHeight="1" x14ac:dyDescent="0.3">
      <c r="A279" s="37">
        <v>277</v>
      </c>
      <c r="B279" s="37" t="s">
        <v>1681</v>
      </c>
      <c r="C279" s="124"/>
      <c r="D279" s="124"/>
      <c r="E279" s="37" t="s">
        <v>258</v>
      </c>
      <c r="F279" s="36" t="s">
        <v>1682</v>
      </c>
      <c r="G279" s="75" t="s">
        <v>513</v>
      </c>
      <c r="H279" s="37" t="s">
        <v>130</v>
      </c>
      <c r="I279" s="37" t="s">
        <v>127</v>
      </c>
      <c r="J279" s="37" t="s">
        <v>127</v>
      </c>
      <c r="K279" s="37" t="s">
        <v>609</v>
      </c>
      <c r="L279" s="75" t="s">
        <v>133</v>
      </c>
      <c r="M279" s="37" t="s">
        <v>127</v>
      </c>
      <c r="N279" s="37" t="s">
        <v>127</v>
      </c>
      <c r="O279" s="76">
        <v>44751</v>
      </c>
      <c r="P279" s="37">
        <v>41</v>
      </c>
      <c r="Q279" s="37" t="s">
        <v>127</v>
      </c>
      <c r="R279" s="37" t="s">
        <v>127</v>
      </c>
      <c r="S279" s="37" t="s">
        <v>127</v>
      </c>
      <c r="T279" s="37" t="s">
        <v>315</v>
      </c>
      <c r="U279" s="37" t="s">
        <v>789</v>
      </c>
      <c r="V279" s="37" t="b">
        <v>0</v>
      </c>
      <c r="W279" s="77" t="s">
        <v>1107</v>
      </c>
      <c r="X279" s="123"/>
      <c r="Y279" s="83">
        <v>1.031264</v>
      </c>
      <c r="Z279" s="37" t="s">
        <v>137</v>
      </c>
      <c r="AA279" s="37">
        <v>69</v>
      </c>
      <c r="AB279" s="37" t="s">
        <v>127</v>
      </c>
      <c r="AC279" s="78">
        <v>1.2</v>
      </c>
      <c r="AD279" s="78">
        <v>2991160</v>
      </c>
      <c r="AE279" s="37" t="s">
        <v>1683</v>
      </c>
      <c r="AF279" s="37">
        <v>20140</v>
      </c>
      <c r="AG279" s="37" t="s">
        <v>141</v>
      </c>
      <c r="AH279" s="37" t="b">
        <v>1</v>
      </c>
      <c r="AI279" s="76">
        <v>43997</v>
      </c>
      <c r="AJ279" s="77" t="s">
        <v>142</v>
      </c>
      <c r="AK279" s="37">
        <v>2020</v>
      </c>
      <c r="AL279" s="37" t="s">
        <v>127</v>
      </c>
      <c r="AM279" s="37" t="b">
        <v>0</v>
      </c>
      <c r="AN279" s="37" t="s">
        <v>127</v>
      </c>
      <c r="AO279" s="37" t="s">
        <v>127</v>
      </c>
      <c r="AP279" s="37" t="s">
        <v>137</v>
      </c>
      <c r="AQ279" s="37" t="b">
        <v>0</v>
      </c>
      <c r="AR279" s="37" t="s">
        <v>127</v>
      </c>
      <c r="AS279" s="76" t="s">
        <v>127</v>
      </c>
      <c r="AT279" s="37" t="s">
        <v>389</v>
      </c>
      <c r="AU279" s="37" t="s">
        <v>127</v>
      </c>
      <c r="AV279" s="37" t="s">
        <v>127</v>
      </c>
      <c r="AW279" s="37" t="s">
        <v>127</v>
      </c>
      <c r="AX279" s="37" t="s">
        <v>1070</v>
      </c>
      <c r="AY279" s="37" t="s">
        <v>1684</v>
      </c>
      <c r="AZ279" s="37" t="s">
        <v>1072</v>
      </c>
      <c r="BA279" s="37">
        <v>2025</v>
      </c>
      <c r="BB279" s="37" t="s">
        <v>143</v>
      </c>
      <c r="BC279" s="77" t="s">
        <v>127</v>
      </c>
      <c r="BD279" s="76" t="s">
        <v>1685</v>
      </c>
      <c r="BE279" s="76">
        <v>46387</v>
      </c>
      <c r="BF279" s="86" t="s">
        <v>1686</v>
      </c>
      <c r="BG279" s="39" t="s">
        <v>127</v>
      </c>
      <c r="BH279" s="37" t="s">
        <v>127</v>
      </c>
      <c r="BI279" s="40" t="b">
        <v>0</v>
      </c>
      <c r="BJ279" s="40">
        <v>1810.588</v>
      </c>
      <c r="BK279" s="37" t="s">
        <v>127</v>
      </c>
      <c r="BL279" s="41">
        <v>64204.35201047286</v>
      </c>
      <c r="BM279" s="49">
        <v>0</v>
      </c>
      <c r="BN279" s="49">
        <v>26.16067</v>
      </c>
      <c r="BO279" s="49">
        <v>150.04261000000002</v>
      </c>
      <c r="BP279" s="49">
        <v>274.80609000000004</v>
      </c>
      <c r="BQ279" s="50">
        <v>558.03511000000015</v>
      </c>
      <c r="BR279" s="50">
        <v>5475.2245594870874</v>
      </c>
      <c r="BS279" s="50">
        <v>8213.1997343214098</v>
      </c>
      <c r="BT279" s="50">
        <v>18690.315890358172</v>
      </c>
      <c r="BU279" s="50">
        <v>17733.446068806254</v>
      </c>
      <c r="BV279" s="50">
        <v>13083.121277500004</v>
      </c>
      <c r="BW279" s="50">
        <v>1118.7780600000001</v>
      </c>
      <c r="BX279" s="37" t="s">
        <v>127</v>
      </c>
      <c r="BY279" s="37" t="s">
        <v>127</v>
      </c>
      <c r="BZ279" s="37" t="s">
        <v>127</v>
      </c>
      <c r="CA279" s="41">
        <v>0</v>
      </c>
      <c r="CB279" s="41">
        <v>0</v>
      </c>
      <c r="CC279" s="41">
        <v>0</v>
      </c>
      <c r="CD279" s="41">
        <v>0</v>
      </c>
      <c r="CE279" s="41">
        <v>0</v>
      </c>
      <c r="CF279" s="41">
        <v>0</v>
      </c>
      <c r="CG279" s="45">
        <v>0</v>
      </c>
      <c r="CH279" s="45" t="s">
        <v>137</v>
      </c>
      <c r="CI279" s="37" t="s">
        <v>1687</v>
      </c>
      <c r="CJ279" s="77" t="s">
        <v>127</v>
      </c>
      <c r="CK279" s="98">
        <v>0</v>
      </c>
      <c r="CL279" s="98">
        <v>1</v>
      </c>
      <c r="CM279" s="100" t="s">
        <v>1293</v>
      </c>
    </row>
    <row r="280" spans="1:91" ht="12.75" customHeight="1" x14ac:dyDescent="0.3">
      <c r="A280" s="37">
        <v>278</v>
      </c>
      <c r="B280" s="37" t="s">
        <v>1688</v>
      </c>
      <c r="C280" s="124"/>
      <c r="D280" s="124"/>
      <c r="E280" s="37" t="s">
        <v>1689</v>
      </c>
      <c r="F280" s="36" t="s">
        <v>1690</v>
      </c>
      <c r="G280" s="75" t="s">
        <v>513</v>
      </c>
      <c r="H280" s="37" t="s">
        <v>130</v>
      </c>
      <c r="I280" s="37" t="s">
        <v>268</v>
      </c>
      <c r="J280" s="37" t="s">
        <v>127</v>
      </c>
      <c r="K280" s="37" t="s">
        <v>609</v>
      </c>
      <c r="L280" s="75" t="s">
        <v>133</v>
      </c>
      <c r="M280" s="37" t="s">
        <v>127</v>
      </c>
      <c r="N280" s="37" t="s">
        <v>127</v>
      </c>
      <c r="O280" s="76">
        <v>44114</v>
      </c>
      <c r="P280" s="37">
        <v>51</v>
      </c>
      <c r="Q280" s="37" t="s">
        <v>127</v>
      </c>
      <c r="R280" s="37" t="s">
        <v>127</v>
      </c>
      <c r="S280" s="37" t="s">
        <v>127</v>
      </c>
      <c r="T280" s="37" t="s">
        <v>315</v>
      </c>
      <c r="U280" s="37" t="s">
        <v>789</v>
      </c>
      <c r="V280" s="37" t="b">
        <v>0</v>
      </c>
      <c r="W280" s="77" t="s">
        <v>127</v>
      </c>
      <c r="X280" s="123"/>
      <c r="Y280" s="83">
        <v>6.1778370000000002</v>
      </c>
      <c r="Z280" s="37" t="s">
        <v>137</v>
      </c>
      <c r="AA280" s="37">
        <v>69</v>
      </c>
      <c r="AB280" s="37" t="s">
        <v>127</v>
      </c>
      <c r="AC280" s="78">
        <v>1.2</v>
      </c>
      <c r="AD280" s="78">
        <v>2991163</v>
      </c>
      <c r="AE280" s="37" t="s">
        <v>1691</v>
      </c>
      <c r="AF280" s="37">
        <v>20141</v>
      </c>
      <c r="AG280" s="37" t="s">
        <v>141</v>
      </c>
      <c r="AH280" s="37" t="b">
        <v>1</v>
      </c>
      <c r="AI280" s="76">
        <v>43922</v>
      </c>
      <c r="AJ280" s="77" t="s">
        <v>142</v>
      </c>
      <c r="AK280" s="37">
        <v>2020</v>
      </c>
      <c r="AL280" s="37" t="s">
        <v>127</v>
      </c>
      <c r="AM280" s="37" t="b">
        <v>0</v>
      </c>
      <c r="AN280" s="37" t="s">
        <v>127</v>
      </c>
      <c r="AO280" s="37" t="s">
        <v>127</v>
      </c>
      <c r="AP280" s="37" t="s">
        <v>137</v>
      </c>
      <c r="AQ280" s="37" t="b">
        <v>0</v>
      </c>
      <c r="AR280" s="37" t="s">
        <v>127</v>
      </c>
      <c r="AS280" s="76" t="s">
        <v>127</v>
      </c>
      <c r="AT280" s="37" t="s">
        <v>389</v>
      </c>
      <c r="AU280" s="37" t="s">
        <v>127</v>
      </c>
      <c r="AV280" s="37" t="s">
        <v>137</v>
      </c>
      <c r="AW280" s="37" t="s">
        <v>127</v>
      </c>
      <c r="AX280" s="37" t="s">
        <v>161</v>
      </c>
      <c r="AY280" s="37" t="s">
        <v>127</v>
      </c>
      <c r="AZ280" s="37" t="s">
        <v>127</v>
      </c>
      <c r="BA280" s="37" t="s">
        <v>127</v>
      </c>
      <c r="BB280" s="37" t="s">
        <v>443</v>
      </c>
      <c r="BC280" s="77" t="s">
        <v>127</v>
      </c>
      <c r="BD280" s="76" t="s">
        <v>1692</v>
      </c>
      <c r="BE280" s="76">
        <v>46387</v>
      </c>
      <c r="BF280" s="86" t="s">
        <v>1693</v>
      </c>
      <c r="BG280" s="39" t="s">
        <v>127</v>
      </c>
      <c r="BH280" s="37" t="s">
        <v>127</v>
      </c>
      <c r="BI280" s="40" t="b">
        <v>1</v>
      </c>
      <c r="BJ280" s="40">
        <v>1979.963</v>
      </c>
      <c r="BK280" s="37" t="s">
        <v>127</v>
      </c>
      <c r="BL280" s="41">
        <v>24136.316772315327</v>
      </c>
      <c r="BM280" s="49">
        <v>0</v>
      </c>
      <c r="BN280" s="49">
        <v>44.594090000000001</v>
      </c>
      <c r="BO280" s="49">
        <v>177.16578000000001</v>
      </c>
      <c r="BP280" s="49">
        <v>521.18691000000001</v>
      </c>
      <c r="BQ280" s="50">
        <v>373.74114000000003</v>
      </c>
      <c r="BR280" s="50">
        <v>330.03087185334334</v>
      </c>
      <c r="BS280" s="50">
        <v>18417.306024138968</v>
      </c>
      <c r="BT280" s="50">
        <v>4272.2919563230234</v>
      </c>
      <c r="BU280" s="50">
        <v>0</v>
      </c>
      <c r="BV280" s="50">
        <v>0</v>
      </c>
      <c r="BW280" s="50">
        <v>1194.2685699999997</v>
      </c>
      <c r="BX280" s="37" t="s">
        <v>127</v>
      </c>
      <c r="BY280" s="37" t="s">
        <v>127</v>
      </c>
      <c r="BZ280" s="37" t="s">
        <v>127</v>
      </c>
      <c r="CA280" s="41">
        <v>0</v>
      </c>
      <c r="CB280" s="41">
        <v>0</v>
      </c>
      <c r="CC280" s="41">
        <v>0</v>
      </c>
      <c r="CD280" s="41">
        <v>0</v>
      </c>
      <c r="CE280" s="41">
        <v>0</v>
      </c>
      <c r="CF280" s="41">
        <v>0</v>
      </c>
      <c r="CG280" s="45">
        <v>0</v>
      </c>
      <c r="CH280" s="45" t="s">
        <v>137</v>
      </c>
      <c r="CI280" s="37" t="s">
        <v>1694</v>
      </c>
      <c r="CJ280" s="77" t="s">
        <v>127</v>
      </c>
      <c r="CK280" s="98">
        <v>0</v>
      </c>
      <c r="CL280" s="98">
        <v>1</v>
      </c>
      <c r="CM280" s="100" t="s">
        <v>1293</v>
      </c>
    </row>
    <row r="281" spans="1:91" ht="12.75" customHeight="1" x14ac:dyDescent="0.3">
      <c r="A281" s="37">
        <v>279</v>
      </c>
      <c r="B281" s="37" t="s">
        <v>1695</v>
      </c>
      <c r="C281" s="124"/>
      <c r="D281" s="124"/>
      <c r="E281" s="37" t="s">
        <v>258</v>
      </c>
      <c r="F281" s="36" t="s">
        <v>1696</v>
      </c>
      <c r="G281" s="75" t="s">
        <v>513</v>
      </c>
      <c r="H281" s="37" t="s">
        <v>130</v>
      </c>
      <c r="I281" s="37" t="s">
        <v>127</v>
      </c>
      <c r="J281" s="37" t="s">
        <v>127</v>
      </c>
      <c r="K281" s="37" t="s">
        <v>609</v>
      </c>
      <c r="L281" s="75" t="s">
        <v>133</v>
      </c>
      <c r="M281" s="37" t="s">
        <v>127</v>
      </c>
      <c r="N281" s="37" t="s">
        <v>127</v>
      </c>
      <c r="O281" s="76">
        <v>44273</v>
      </c>
      <c r="P281" s="37">
        <v>33</v>
      </c>
      <c r="Q281" s="37" t="s">
        <v>127</v>
      </c>
      <c r="R281" s="37" t="s">
        <v>127</v>
      </c>
      <c r="S281" s="37" t="s">
        <v>127</v>
      </c>
      <c r="T281" s="37" t="s">
        <v>315</v>
      </c>
      <c r="U281" s="37" t="s">
        <v>789</v>
      </c>
      <c r="V281" s="37" t="b">
        <v>0</v>
      </c>
      <c r="W281" s="77" t="s">
        <v>1107</v>
      </c>
      <c r="X281" s="123"/>
      <c r="Y281" s="83">
        <v>5.4502920000000001</v>
      </c>
      <c r="Z281" s="37" t="s">
        <v>127</v>
      </c>
      <c r="AA281" s="37">
        <v>69</v>
      </c>
      <c r="AB281" s="37" t="s">
        <v>127</v>
      </c>
      <c r="AC281" s="78">
        <v>1.2</v>
      </c>
      <c r="AD281" s="78">
        <v>2991164</v>
      </c>
      <c r="AE281" s="37" t="s">
        <v>1697</v>
      </c>
      <c r="AF281" s="37">
        <v>20142</v>
      </c>
      <c r="AG281" s="37" t="s">
        <v>141</v>
      </c>
      <c r="AH281" s="37" t="b">
        <v>1</v>
      </c>
      <c r="AI281" s="76">
        <v>43922</v>
      </c>
      <c r="AJ281" s="77" t="s">
        <v>142</v>
      </c>
      <c r="AK281" s="37">
        <v>2020</v>
      </c>
      <c r="AL281" s="37" t="s">
        <v>127</v>
      </c>
      <c r="AM281" s="37" t="b">
        <v>0</v>
      </c>
      <c r="AN281" s="37" t="s">
        <v>127</v>
      </c>
      <c r="AO281" s="37" t="s">
        <v>127</v>
      </c>
      <c r="AP281" s="37" t="s">
        <v>137</v>
      </c>
      <c r="AQ281" s="37" t="b">
        <v>0</v>
      </c>
      <c r="AR281" s="37" t="s">
        <v>127</v>
      </c>
      <c r="AS281" s="76" t="s">
        <v>127</v>
      </c>
      <c r="AT281" s="37" t="s">
        <v>389</v>
      </c>
      <c r="AU281" s="37" t="s">
        <v>127</v>
      </c>
      <c r="AV281" s="37" t="s">
        <v>127</v>
      </c>
      <c r="AW281" s="37" t="s">
        <v>127</v>
      </c>
      <c r="AX281" s="37" t="s">
        <v>161</v>
      </c>
      <c r="AY281" s="37" t="s">
        <v>127</v>
      </c>
      <c r="AZ281" s="37" t="s">
        <v>127</v>
      </c>
      <c r="BA281" s="37" t="s">
        <v>127</v>
      </c>
      <c r="BB281" s="37" t="s">
        <v>219</v>
      </c>
      <c r="BC281" s="77" t="s">
        <v>127</v>
      </c>
      <c r="BD281" s="76" t="s">
        <v>1698</v>
      </c>
      <c r="BE281" s="76">
        <v>46387</v>
      </c>
      <c r="BF281" s="86" t="s">
        <v>1699</v>
      </c>
      <c r="BG281" s="39" t="s">
        <v>127</v>
      </c>
      <c r="BH281" s="37" t="s">
        <v>127</v>
      </c>
      <c r="BI281" s="40" t="b">
        <v>1</v>
      </c>
      <c r="BJ281" s="40">
        <v>1979.963</v>
      </c>
      <c r="BK281" s="37" t="s">
        <v>127</v>
      </c>
      <c r="BL281" s="41">
        <v>28268.997365195384</v>
      </c>
      <c r="BM281" s="49">
        <v>0</v>
      </c>
      <c r="BN281" s="49">
        <v>27.315330000000003</v>
      </c>
      <c r="BO281" s="49">
        <v>257.99223000000006</v>
      </c>
      <c r="BP281" s="49">
        <v>292.59417999999999</v>
      </c>
      <c r="BQ281" s="50">
        <v>545.06208000000004</v>
      </c>
      <c r="BR281" s="50">
        <v>501.61583723162261</v>
      </c>
      <c r="BS281" s="50">
        <v>18741.626305040638</v>
      </c>
      <c r="BT281" s="50">
        <v>7902.7914029231233</v>
      </c>
      <c r="BU281" s="50">
        <v>0</v>
      </c>
      <c r="BV281" s="50">
        <v>0</v>
      </c>
      <c r="BW281" s="50">
        <v>1296.65816</v>
      </c>
      <c r="BX281" s="37" t="s">
        <v>127</v>
      </c>
      <c r="BY281" s="37" t="s">
        <v>127</v>
      </c>
      <c r="BZ281" s="37" t="s">
        <v>127</v>
      </c>
      <c r="CA281" s="41">
        <v>0</v>
      </c>
      <c r="CB281" s="41">
        <v>0</v>
      </c>
      <c r="CC281" s="41">
        <v>0</v>
      </c>
      <c r="CD281" s="41">
        <v>0</v>
      </c>
      <c r="CE281" s="41">
        <v>0</v>
      </c>
      <c r="CF281" s="41">
        <v>0</v>
      </c>
      <c r="CG281" s="45">
        <v>0</v>
      </c>
      <c r="CH281" s="45" t="s">
        <v>137</v>
      </c>
      <c r="CI281" s="37" t="s">
        <v>1700</v>
      </c>
      <c r="CJ281" s="77" t="s">
        <v>127</v>
      </c>
      <c r="CK281" s="98">
        <v>0</v>
      </c>
      <c r="CL281" s="98">
        <v>1</v>
      </c>
      <c r="CM281" s="100" t="s">
        <v>1293</v>
      </c>
    </row>
    <row r="282" spans="1:91" ht="12.75" customHeight="1" x14ac:dyDescent="0.3">
      <c r="A282" s="37">
        <v>280</v>
      </c>
      <c r="B282" s="37" t="s">
        <v>1701</v>
      </c>
      <c r="C282" s="124"/>
      <c r="D282" s="124"/>
      <c r="E282" s="37" t="s">
        <v>258</v>
      </c>
      <c r="F282" s="36" t="s">
        <v>1702</v>
      </c>
      <c r="G282" s="75" t="s">
        <v>152</v>
      </c>
      <c r="H282" s="37" t="s">
        <v>130</v>
      </c>
      <c r="I282" s="37" t="s">
        <v>131</v>
      </c>
      <c r="J282" s="37" t="s">
        <v>127</v>
      </c>
      <c r="K282" s="37" t="s">
        <v>609</v>
      </c>
      <c r="L282" s="75" t="s">
        <v>1703</v>
      </c>
      <c r="M282" s="37" t="s">
        <v>127</v>
      </c>
      <c r="N282" s="37" t="s">
        <v>127</v>
      </c>
      <c r="O282" s="76">
        <v>44385</v>
      </c>
      <c r="P282" s="37">
        <v>19</v>
      </c>
      <c r="Q282" s="37" t="s">
        <v>127</v>
      </c>
      <c r="R282" s="37" t="s">
        <v>127</v>
      </c>
      <c r="S282" s="37" t="s">
        <v>127</v>
      </c>
      <c r="T282" s="37" t="s">
        <v>1459</v>
      </c>
      <c r="U282" s="37" t="s">
        <v>714</v>
      </c>
      <c r="V282" s="37" t="b">
        <v>0</v>
      </c>
      <c r="W282" s="77" t="s">
        <v>127</v>
      </c>
      <c r="X282" s="123"/>
      <c r="Y282" s="83">
        <v>0.9</v>
      </c>
      <c r="Z282" s="37" t="s">
        <v>137</v>
      </c>
      <c r="AA282" s="37">
        <v>69</v>
      </c>
      <c r="AB282" s="37" t="s">
        <v>127</v>
      </c>
      <c r="AC282" s="78">
        <v>1.2</v>
      </c>
      <c r="AD282" s="78">
        <v>2991162</v>
      </c>
      <c r="AE282" s="37" t="s">
        <v>1704</v>
      </c>
      <c r="AF282" s="37">
        <v>20143</v>
      </c>
      <c r="AG282" s="37" t="s">
        <v>141</v>
      </c>
      <c r="AH282" s="37" t="b">
        <v>1</v>
      </c>
      <c r="AI282" s="76">
        <v>43952</v>
      </c>
      <c r="AJ282" s="77" t="s">
        <v>142</v>
      </c>
      <c r="AK282" s="37">
        <v>2020</v>
      </c>
      <c r="AL282" s="37" t="s">
        <v>127</v>
      </c>
      <c r="AM282" s="37" t="b">
        <v>0</v>
      </c>
      <c r="AN282" s="37" t="s">
        <v>127</v>
      </c>
      <c r="AO282" s="37" t="s">
        <v>127</v>
      </c>
      <c r="AP282" s="37" t="s">
        <v>137</v>
      </c>
      <c r="AQ282" s="37" t="b">
        <v>0</v>
      </c>
      <c r="AR282" s="37" t="s">
        <v>127</v>
      </c>
      <c r="AS282" s="76" t="s">
        <v>127</v>
      </c>
      <c r="AT282" s="37" t="s">
        <v>389</v>
      </c>
      <c r="AU282" s="37" t="s">
        <v>127</v>
      </c>
      <c r="AV282" s="37" t="s">
        <v>127</v>
      </c>
      <c r="AW282" s="37" t="s">
        <v>137</v>
      </c>
      <c r="AX282" s="37" t="s">
        <v>127</v>
      </c>
      <c r="AY282" s="76" t="s">
        <v>127</v>
      </c>
      <c r="AZ282" s="77" t="s">
        <v>127</v>
      </c>
      <c r="BA282" s="37" t="s">
        <v>127</v>
      </c>
      <c r="BB282" s="37" t="s">
        <v>443</v>
      </c>
      <c r="BC282" s="77" t="s">
        <v>127</v>
      </c>
      <c r="BD282" s="76" t="s">
        <v>127</v>
      </c>
      <c r="BE282" s="76">
        <v>46387</v>
      </c>
      <c r="BF282" s="80" t="s">
        <v>127</v>
      </c>
      <c r="BG282" s="39" t="s">
        <v>127</v>
      </c>
      <c r="BH282" s="37" t="s">
        <v>127</v>
      </c>
      <c r="BI282" s="40" t="b">
        <v>0</v>
      </c>
      <c r="BJ282" s="40">
        <v>1973</v>
      </c>
      <c r="BK282" s="37" t="s">
        <v>127</v>
      </c>
      <c r="BL282" s="41">
        <v>4670.2908457159165</v>
      </c>
      <c r="BM282" s="49">
        <v>0</v>
      </c>
      <c r="BN282" s="49">
        <v>0</v>
      </c>
      <c r="BO282" s="49">
        <v>56.286279999999998</v>
      </c>
      <c r="BP282" s="49">
        <v>139.36985999999999</v>
      </c>
      <c r="BQ282" s="50">
        <v>257.64591999999993</v>
      </c>
      <c r="BR282" s="50">
        <v>71.17014285313364</v>
      </c>
      <c r="BS282" s="50">
        <v>4127.774964746468</v>
      </c>
      <c r="BT282" s="50">
        <v>18.043678116317871</v>
      </c>
      <c r="BU282" s="50">
        <v>0</v>
      </c>
      <c r="BV282" s="50">
        <v>0</v>
      </c>
      <c r="BW282" s="50">
        <v>487.08265</v>
      </c>
      <c r="BX282" s="37" t="s">
        <v>127</v>
      </c>
      <c r="BY282" s="37" t="s">
        <v>127</v>
      </c>
      <c r="BZ282" s="37" t="s">
        <v>127</v>
      </c>
      <c r="CA282" s="41">
        <v>0</v>
      </c>
      <c r="CB282" s="41">
        <v>0</v>
      </c>
      <c r="CC282" s="41">
        <v>0</v>
      </c>
      <c r="CD282" s="41">
        <v>0</v>
      </c>
      <c r="CE282" s="41">
        <v>0</v>
      </c>
      <c r="CF282" s="41">
        <v>0</v>
      </c>
      <c r="CG282" s="45">
        <v>0</v>
      </c>
      <c r="CH282" s="45" t="s">
        <v>137</v>
      </c>
      <c r="CI282" s="37" t="s">
        <v>1705</v>
      </c>
      <c r="CJ282" s="77" t="s">
        <v>127</v>
      </c>
      <c r="CK282" s="98">
        <v>0</v>
      </c>
      <c r="CL282" s="98">
        <v>1</v>
      </c>
      <c r="CM282" s="100" t="s">
        <v>1293</v>
      </c>
    </row>
    <row r="283" spans="1:91" ht="12.75" customHeight="1" x14ac:dyDescent="0.3">
      <c r="A283" s="37">
        <v>281</v>
      </c>
      <c r="B283" s="37" t="s">
        <v>1706</v>
      </c>
      <c r="C283" s="124"/>
      <c r="D283" s="124"/>
      <c r="E283" s="37" t="s">
        <v>200</v>
      </c>
      <c r="F283" s="36" t="s">
        <v>1707</v>
      </c>
      <c r="G283" s="75" t="s">
        <v>152</v>
      </c>
      <c r="H283" s="37" t="s">
        <v>130</v>
      </c>
      <c r="I283" s="37" t="s">
        <v>131</v>
      </c>
      <c r="J283" s="37" t="s">
        <v>127</v>
      </c>
      <c r="K283" s="37" t="s">
        <v>609</v>
      </c>
      <c r="L283" s="75" t="s">
        <v>1241</v>
      </c>
      <c r="M283" s="37" t="s">
        <v>127</v>
      </c>
      <c r="N283" s="37" t="s">
        <v>127</v>
      </c>
      <c r="O283" s="76">
        <v>44925</v>
      </c>
      <c r="P283" s="37">
        <v>31</v>
      </c>
      <c r="Q283" s="37" t="s">
        <v>127</v>
      </c>
      <c r="R283" s="37" t="s">
        <v>127</v>
      </c>
      <c r="S283" s="37" t="s">
        <v>127</v>
      </c>
      <c r="T283" s="37" t="s">
        <v>315</v>
      </c>
      <c r="U283" s="37" t="s">
        <v>714</v>
      </c>
      <c r="V283" s="37" t="b">
        <v>0</v>
      </c>
      <c r="W283" s="77" t="s">
        <v>127</v>
      </c>
      <c r="X283" s="123"/>
      <c r="Y283" s="83">
        <v>2.8</v>
      </c>
      <c r="Z283" s="37" t="s">
        <v>137</v>
      </c>
      <c r="AA283" s="37">
        <v>69</v>
      </c>
      <c r="AB283" s="37" t="s">
        <v>127</v>
      </c>
      <c r="AC283" s="78">
        <v>1.2</v>
      </c>
      <c r="AD283" s="78">
        <v>2991161</v>
      </c>
      <c r="AE283" s="37" t="s">
        <v>1708</v>
      </c>
      <c r="AF283" s="37">
        <v>20144</v>
      </c>
      <c r="AG283" s="37" t="s">
        <v>141</v>
      </c>
      <c r="AH283" s="37" t="b">
        <v>1</v>
      </c>
      <c r="AI283" s="76">
        <v>43952</v>
      </c>
      <c r="AJ283" s="77" t="s">
        <v>142</v>
      </c>
      <c r="AK283" s="37">
        <v>2020</v>
      </c>
      <c r="AL283" s="37" t="s">
        <v>127</v>
      </c>
      <c r="AM283" s="37" t="b">
        <v>0</v>
      </c>
      <c r="AN283" s="37" t="s">
        <v>127</v>
      </c>
      <c r="AO283" s="37" t="s">
        <v>127</v>
      </c>
      <c r="AP283" s="37" t="s">
        <v>137</v>
      </c>
      <c r="AQ283" s="37" t="b">
        <v>0</v>
      </c>
      <c r="AR283" s="37" t="s">
        <v>127</v>
      </c>
      <c r="AS283" s="76" t="s">
        <v>127</v>
      </c>
      <c r="AT283" s="37" t="s">
        <v>389</v>
      </c>
      <c r="AU283" s="37" t="s">
        <v>127</v>
      </c>
      <c r="AV283" s="37" t="s">
        <v>127</v>
      </c>
      <c r="AW283" s="37" t="s">
        <v>137</v>
      </c>
      <c r="AX283" s="37" t="s">
        <v>532</v>
      </c>
      <c r="AY283" s="37" t="s">
        <v>127</v>
      </c>
      <c r="AZ283" s="37" t="s">
        <v>127</v>
      </c>
      <c r="BA283" s="37" t="s">
        <v>127</v>
      </c>
      <c r="BB283" s="37" t="s">
        <v>443</v>
      </c>
      <c r="BC283" s="77" t="s">
        <v>127</v>
      </c>
      <c r="BD283" s="76" t="s">
        <v>1699</v>
      </c>
      <c r="BE283" s="76">
        <v>46387</v>
      </c>
      <c r="BF283" s="86" t="s">
        <v>1709</v>
      </c>
      <c r="BG283" s="39" t="s">
        <v>127</v>
      </c>
      <c r="BH283" s="37" t="s">
        <v>127</v>
      </c>
      <c r="BI283" s="40" t="b">
        <v>0</v>
      </c>
      <c r="BJ283" s="40">
        <v>1973.076</v>
      </c>
      <c r="BK283" s="37" t="s">
        <v>127</v>
      </c>
      <c r="BL283" s="41">
        <v>5117.7249234599076</v>
      </c>
      <c r="BM283" s="49">
        <v>0</v>
      </c>
      <c r="BN283" s="49">
        <v>0</v>
      </c>
      <c r="BO283" s="49">
        <v>56.619399999999985</v>
      </c>
      <c r="BP283" s="49">
        <v>46.500480000000003</v>
      </c>
      <c r="BQ283" s="50">
        <v>93.741459999999989</v>
      </c>
      <c r="BR283" s="50">
        <v>118.61587967581076</v>
      </c>
      <c r="BS283" s="50">
        <v>4576.1038700959234</v>
      </c>
      <c r="BT283" s="50">
        <v>205.38674324683512</v>
      </c>
      <c r="BU283" s="50">
        <v>20.757090441335631</v>
      </c>
      <c r="BV283" s="50">
        <v>0</v>
      </c>
      <c r="BW283" s="50">
        <v>251.19637</v>
      </c>
      <c r="BX283" s="37" t="s">
        <v>127</v>
      </c>
      <c r="BY283" s="37" t="s">
        <v>127</v>
      </c>
      <c r="BZ283" s="37" t="s">
        <v>127</v>
      </c>
      <c r="CA283" s="41">
        <v>0</v>
      </c>
      <c r="CB283" s="41">
        <v>0</v>
      </c>
      <c r="CC283" s="41">
        <v>0</v>
      </c>
      <c r="CD283" s="41">
        <v>0</v>
      </c>
      <c r="CE283" s="41">
        <v>0</v>
      </c>
      <c r="CF283" s="41">
        <v>0</v>
      </c>
      <c r="CG283" s="45">
        <v>0</v>
      </c>
      <c r="CH283" s="45" t="s">
        <v>137</v>
      </c>
      <c r="CI283" s="37" t="s">
        <v>1710</v>
      </c>
      <c r="CJ283" s="77" t="s">
        <v>127</v>
      </c>
      <c r="CK283" s="98">
        <v>0</v>
      </c>
      <c r="CL283" s="98">
        <v>1</v>
      </c>
      <c r="CM283" s="100" t="s">
        <v>1293</v>
      </c>
    </row>
    <row r="284" spans="1:91" ht="12.75" customHeight="1" x14ac:dyDescent="0.3">
      <c r="A284" s="37">
        <v>282</v>
      </c>
      <c r="B284" s="37" t="s">
        <v>1711</v>
      </c>
      <c r="C284" s="124"/>
      <c r="D284" s="124"/>
      <c r="E284" s="37" t="s">
        <v>1712</v>
      </c>
      <c r="F284" s="36" t="s">
        <v>1713</v>
      </c>
      <c r="G284" s="75" t="s">
        <v>129</v>
      </c>
      <c r="H284" s="37" t="s">
        <v>130</v>
      </c>
      <c r="I284" s="37" t="s">
        <v>268</v>
      </c>
      <c r="J284" s="37" t="s">
        <v>127</v>
      </c>
      <c r="K284" s="37" t="s">
        <v>609</v>
      </c>
      <c r="L284" s="75" t="s">
        <v>133</v>
      </c>
      <c r="M284" s="37" t="s">
        <v>127</v>
      </c>
      <c r="N284" s="37" t="s">
        <v>127</v>
      </c>
      <c r="O284" s="76">
        <v>44291</v>
      </c>
      <c r="P284" s="37">
        <v>62</v>
      </c>
      <c r="Q284" s="37" t="s">
        <v>127</v>
      </c>
      <c r="R284" s="37" t="s">
        <v>127</v>
      </c>
      <c r="S284" s="37" t="s">
        <v>127</v>
      </c>
      <c r="T284" s="37" t="s">
        <v>315</v>
      </c>
      <c r="U284" s="37" t="s">
        <v>789</v>
      </c>
      <c r="V284" s="37" t="b">
        <v>0</v>
      </c>
      <c r="W284" s="77" t="s">
        <v>127</v>
      </c>
      <c r="X284" s="123"/>
      <c r="Y284" s="83">
        <v>13.000332999999999</v>
      </c>
      <c r="Z284" s="37" t="s">
        <v>137</v>
      </c>
      <c r="AA284" s="37">
        <v>138</v>
      </c>
      <c r="AB284" s="37" t="s">
        <v>127</v>
      </c>
      <c r="AC284" s="78">
        <v>1.2</v>
      </c>
      <c r="AD284" s="78">
        <v>2652595</v>
      </c>
      <c r="AE284" s="37" t="s">
        <v>1714</v>
      </c>
      <c r="AF284" s="37">
        <v>20145</v>
      </c>
      <c r="AG284" s="37" t="s">
        <v>141</v>
      </c>
      <c r="AH284" s="37" t="b">
        <v>1</v>
      </c>
      <c r="AI284" s="76">
        <v>43969</v>
      </c>
      <c r="AJ284" s="77" t="s">
        <v>142</v>
      </c>
      <c r="AK284" s="37">
        <v>2020</v>
      </c>
      <c r="AL284" s="37" t="s">
        <v>127</v>
      </c>
      <c r="AM284" s="37" t="b">
        <v>0</v>
      </c>
      <c r="AN284" s="37" t="s">
        <v>127</v>
      </c>
      <c r="AO284" s="37" t="s">
        <v>127</v>
      </c>
      <c r="AP284" s="37" t="s">
        <v>137</v>
      </c>
      <c r="AQ284" s="37" t="b">
        <v>0</v>
      </c>
      <c r="AR284" s="37" t="s">
        <v>127</v>
      </c>
      <c r="AS284" s="76" t="s">
        <v>137</v>
      </c>
      <c r="AT284" s="37" t="s">
        <v>127</v>
      </c>
      <c r="AU284" s="37" t="s">
        <v>127</v>
      </c>
      <c r="AV284" s="37" t="s">
        <v>137</v>
      </c>
      <c r="AW284" s="37" t="s">
        <v>137</v>
      </c>
      <c r="AX284" s="37" t="s">
        <v>161</v>
      </c>
      <c r="AY284" s="37" t="s">
        <v>127</v>
      </c>
      <c r="AZ284" s="37" t="s">
        <v>127</v>
      </c>
      <c r="BA284" s="37" t="s">
        <v>127</v>
      </c>
      <c r="BB284" s="37" t="s">
        <v>143</v>
      </c>
      <c r="BC284" s="77" t="s">
        <v>127</v>
      </c>
      <c r="BD284" s="76" t="s">
        <v>1715</v>
      </c>
      <c r="BE284" s="76">
        <v>46407</v>
      </c>
      <c r="BF284" s="86" t="s">
        <v>1716</v>
      </c>
      <c r="BG284" s="39" t="s">
        <v>127</v>
      </c>
      <c r="BH284" s="37" t="s">
        <v>127</v>
      </c>
      <c r="BI284" s="40" t="b">
        <v>0</v>
      </c>
      <c r="BJ284" s="40">
        <v>88878</v>
      </c>
      <c r="BK284" s="37" t="s">
        <v>127</v>
      </c>
      <c r="BL284" s="41">
        <v>87115.648766024664</v>
      </c>
      <c r="BM284" s="49">
        <v>0</v>
      </c>
      <c r="BN284" s="49">
        <v>189.11095</v>
      </c>
      <c r="BO284" s="49">
        <v>811.97064000000012</v>
      </c>
      <c r="BP284" s="49">
        <v>1536.5406800000001</v>
      </c>
      <c r="BQ284" s="50">
        <v>1218.0530499999991</v>
      </c>
      <c r="BR284" s="50">
        <v>6225.2545476465857</v>
      </c>
      <c r="BS284" s="50">
        <v>39761.8441291462</v>
      </c>
      <c r="BT284" s="50">
        <v>37372.874769231821</v>
      </c>
      <c r="BU284" s="50">
        <v>0</v>
      </c>
      <c r="BV284" s="50">
        <v>0</v>
      </c>
      <c r="BW284" s="50">
        <v>4143.9634700000006</v>
      </c>
      <c r="BX284" s="37" t="s">
        <v>127</v>
      </c>
      <c r="BY284" s="37" t="s">
        <v>127</v>
      </c>
      <c r="BZ284" s="37" t="s">
        <v>127</v>
      </c>
      <c r="CA284" s="41">
        <v>0</v>
      </c>
      <c r="CB284" s="41">
        <v>0</v>
      </c>
      <c r="CC284" s="41">
        <v>0</v>
      </c>
      <c r="CD284" s="41">
        <v>0</v>
      </c>
      <c r="CE284" s="41">
        <v>0</v>
      </c>
      <c r="CF284" s="41">
        <v>0</v>
      </c>
      <c r="CG284" s="45">
        <v>0</v>
      </c>
      <c r="CH284" s="45" t="s">
        <v>137</v>
      </c>
      <c r="CI284" s="37" t="s">
        <v>1653</v>
      </c>
      <c r="CJ284" s="77" t="s">
        <v>127</v>
      </c>
      <c r="CK284" s="98">
        <v>0</v>
      </c>
      <c r="CL284" s="98">
        <v>1</v>
      </c>
      <c r="CM284" s="100" t="s">
        <v>1408</v>
      </c>
    </row>
    <row r="285" spans="1:91" ht="12.75" customHeight="1" x14ac:dyDescent="0.3">
      <c r="A285" s="37">
        <v>283</v>
      </c>
      <c r="B285" s="37" t="s">
        <v>1717</v>
      </c>
      <c r="C285" s="124"/>
      <c r="D285" s="124"/>
      <c r="E285" s="37" t="s">
        <v>309</v>
      </c>
      <c r="F285" s="36" t="s">
        <v>1718</v>
      </c>
      <c r="G285" s="75" t="s">
        <v>1332</v>
      </c>
      <c r="H285" s="37" t="s">
        <v>130</v>
      </c>
      <c r="I285" s="37" t="s">
        <v>127</v>
      </c>
      <c r="J285" s="37" t="s">
        <v>127</v>
      </c>
      <c r="K285" s="37" t="s">
        <v>132</v>
      </c>
      <c r="L285" s="75" t="s">
        <v>1719</v>
      </c>
      <c r="M285" s="37" t="s">
        <v>127</v>
      </c>
      <c r="N285" s="37" t="s">
        <v>127</v>
      </c>
      <c r="O285" s="76">
        <v>45220.541666666657</v>
      </c>
      <c r="P285" s="37" t="s">
        <v>1720</v>
      </c>
      <c r="Q285" s="37" t="s">
        <v>239</v>
      </c>
      <c r="R285" s="37" t="s">
        <v>151</v>
      </c>
      <c r="S285" s="37" t="s">
        <v>127</v>
      </c>
      <c r="T285" s="37" t="s">
        <v>127</v>
      </c>
      <c r="U285" s="37" t="s">
        <v>136</v>
      </c>
      <c r="V285" s="37" t="b">
        <v>0</v>
      </c>
      <c r="W285" s="77" t="s">
        <v>127</v>
      </c>
      <c r="X285" s="123"/>
      <c r="Y285" s="37" t="s">
        <v>137</v>
      </c>
      <c r="Z285" s="83">
        <v>55.477547999999999</v>
      </c>
      <c r="AA285" s="37">
        <v>500</v>
      </c>
      <c r="AB285" s="37" t="s">
        <v>1512</v>
      </c>
      <c r="AC285" s="78">
        <v>4.0999999999999996</v>
      </c>
      <c r="AD285" s="78">
        <v>5983271</v>
      </c>
      <c r="AE285" s="37" t="s">
        <v>1721</v>
      </c>
      <c r="AF285" s="37">
        <v>20148</v>
      </c>
      <c r="AG285" s="37" t="s">
        <v>141</v>
      </c>
      <c r="AH285" s="37" t="b">
        <v>1</v>
      </c>
      <c r="AI285" s="76">
        <v>43997</v>
      </c>
      <c r="AJ285" s="77" t="s">
        <v>142</v>
      </c>
      <c r="AK285" s="37">
        <v>2020</v>
      </c>
      <c r="AL285" s="37" t="s">
        <v>127</v>
      </c>
      <c r="AM285" s="37" t="b">
        <v>0</v>
      </c>
      <c r="AN285" s="37" t="s">
        <v>127</v>
      </c>
      <c r="AO285" s="37" t="s">
        <v>127</v>
      </c>
      <c r="AP285" s="37" t="s">
        <v>137</v>
      </c>
      <c r="AQ285" s="37" t="b">
        <v>0</v>
      </c>
      <c r="AR285" s="37" t="s">
        <v>127</v>
      </c>
      <c r="AS285" s="76" t="s">
        <v>137</v>
      </c>
      <c r="AT285" s="37" t="s">
        <v>127</v>
      </c>
      <c r="AU285" s="37" t="s">
        <v>127</v>
      </c>
      <c r="AV285" s="37" t="s">
        <v>137</v>
      </c>
      <c r="AW285" s="37" t="s">
        <v>137</v>
      </c>
      <c r="AX285" s="37" t="s">
        <v>161</v>
      </c>
      <c r="AY285" s="37" t="s">
        <v>127</v>
      </c>
      <c r="AZ285" s="37" t="s">
        <v>127</v>
      </c>
      <c r="BA285" s="37" t="s">
        <v>127</v>
      </c>
      <c r="BB285" s="37" t="s">
        <v>170</v>
      </c>
      <c r="BC285" s="77" t="s">
        <v>127</v>
      </c>
      <c r="BD285" s="76" t="s">
        <v>1722</v>
      </c>
      <c r="BE285" s="76">
        <v>44823</v>
      </c>
      <c r="BF285" s="86" t="s">
        <v>1723</v>
      </c>
      <c r="BG285" s="39" t="s">
        <v>127</v>
      </c>
      <c r="BH285" s="37" t="s">
        <v>127</v>
      </c>
      <c r="BI285" s="40" t="b">
        <v>1</v>
      </c>
      <c r="BJ285" s="40">
        <v>3742.2550000000001</v>
      </c>
      <c r="BK285" s="37" t="s">
        <v>127</v>
      </c>
      <c r="BL285" s="41">
        <v>4471.527584774185</v>
      </c>
      <c r="BM285" s="49">
        <v>0</v>
      </c>
      <c r="BN285" s="49">
        <v>7.907820000000001</v>
      </c>
      <c r="BO285" s="49">
        <v>1524.2759099999996</v>
      </c>
      <c r="BP285" s="49">
        <v>1067.3371800000002</v>
      </c>
      <c r="BQ285" s="50">
        <v>484.77347000000003</v>
      </c>
      <c r="BR285" s="50">
        <v>1272.9991560689884</v>
      </c>
      <c r="BS285" s="50">
        <v>114.2340487051973</v>
      </c>
      <c r="BT285" s="50">
        <v>0</v>
      </c>
      <c r="BU285" s="50">
        <v>0</v>
      </c>
      <c r="BV285" s="50">
        <v>0</v>
      </c>
      <c r="BW285" s="50">
        <v>3239.8090000000002</v>
      </c>
      <c r="BX285" s="37" t="s">
        <v>127</v>
      </c>
      <c r="BY285" s="37" t="s">
        <v>127</v>
      </c>
      <c r="BZ285" s="37" t="s">
        <v>173</v>
      </c>
      <c r="CA285" s="41">
        <v>0</v>
      </c>
      <c r="CB285" s="41">
        <v>0</v>
      </c>
      <c r="CC285" s="41">
        <v>0</v>
      </c>
      <c r="CD285" s="41">
        <v>0</v>
      </c>
      <c r="CE285" s="41">
        <v>0</v>
      </c>
      <c r="CF285" s="41">
        <v>916.49045499181807</v>
      </c>
      <c r="CG285" s="45">
        <v>0</v>
      </c>
      <c r="CH285" s="45" t="s">
        <v>137</v>
      </c>
      <c r="CI285" s="37" t="s">
        <v>127</v>
      </c>
      <c r="CJ285" s="77" t="s">
        <v>127</v>
      </c>
      <c r="CK285" s="98">
        <v>1</v>
      </c>
      <c r="CL285" s="98">
        <v>0</v>
      </c>
      <c r="CM285" s="100" t="s">
        <v>1724</v>
      </c>
    </row>
    <row r="286" spans="1:91" ht="12.75" customHeight="1" x14ac:dyDescent="0.3">
      <c r="A286" s="37">
        <v>284</v>
      </c>
      <c r="B286" s="37" t="s">
        <v>1725</v>
      </c>
      <c r="C286" s="124"/>
      <c r="D286" s="124"/>
      <c r="E286" s="37" t="s">
        <v>258</v>
      </c>
      <c r="F286" s="36" t="s">
        <v>1726</v>
      </c>
      <c r="G286" s="75" t="s">
        <v>513</v>
      </c>
      <c r="H286" s="37" t="s">
        <v>131</v>
      </c>
      <c r="I286" s="37" t="s">
        <v>127</v>
      </c>
      <c r="J286" s="37" t="s">
        <v>127</v>
      </c>
      <c r="K286" s="37" t="s">
        <v>609</v>
      </c>
      <c r="L286" s="75" t="s">
        <v>133</v>
      </c>
      <c r="M286" s="37" t="s">
        <v>127</v>
      </c>
      <c r="N286" s="37" t="s">
        <v>127</v>
      </c>
      <c r="O286" s="76">
        <v>45017</v>
      </c>
      <c r="P286" s="37">
        <v>28</v>
      </c>
      <c r="Q286" s="37" t="s">
        <v>127</v>
      </c>
      <c r="R286" s="37" t="s">
        <v>127</v>
      </c>
      <c r="S286" s="37" t="s">
        <v>127</v>
      </c>
      <c r="T286" s="37" t="s">
        <v>315</v>
      </c>
      <c r="U286" s="37" t="s">
        <v>789</v>
      </c>
      <c r="V286" s="37" t="b">
        <v>0</v>
      </c>
      <c r="W286" s="77" t="s">
        <v>127</v>
      </c>
      <c r="X286" s="123"/>
      <c r="Y286" s="83">
        <v>0.28630899999999998</v>
      </c>
      <c r="Z286" s="37" t="s">
        <v>137</v>
      </c>
      <c r="AA286" s="37">
        <v>69</v>
      </c>
      <c r="AB286" s="37" t="s">
        <v>127</v>
      </c>
      <c r="AC286" s="78">
        <v>1.2</v>
      </c>
      <c r="AD286" s="78">
        <v>2468788</v>
      </c>
      <c r="AE286" s="37" t="s">
        <v>1727</v>
      </c>
      <c r="AF286" s="37">
        <v>20149</v>
      </c>
      <c r="AG286" s="37" t="s">
        <v>141</v>
      </c>
      <c r="AH286" s="37" t="b">
        <v>1</v>
      </c>
      <c r="AI286" s="76">
        <v>44032</v>
      </c>
      <c r="AJ286" s="77" t="s">
        <v>142</v>
      </c>
      <c r="AK286" s="37">
        <v>2020</v>
      </c>
      <c r="AL286" s="37" t="s">
        <v>127</v>
      </c>
      <c r="AM286" s="37" t="b">
        <v>0</v>
      </c>
      <c r="AN286" s="37" t="s">
        <v>127</v>
      </c>
      <c r="AO286" s="37" t="s">
        <v>127</v>
      </c>
      <c r="AP286" s="37" t="s">
        <v>137</v>
      </c>
      <c r="AQ286" s="37" t="b">
        <v>0</v>
      </c>
      <c r="AR286" s="37" t="s">
        <v>127</v>
      </c>
      <c r="AS286" s="76" t="s">
        <v>127</v>
      </c>
      <c r="AT286" s="37" t="s">
        <v>389</v>
      </c>
      <c r="AU286" s="37" t="s">
        <v>127</v>
      </c>
      <c r="AV286" s="37" t="s">
        <v>137</v>
      </c>
      <c r="AW286" s="37" t="s">
        <v>127</v>
      </c>
      <c r="AX286" s="37" t="s">
        <v>161</v>
      </c>
      <c r="AY286" s="37" t="s">
        <v>127</v>
      </c>
      <c r="AZ286" s="37" t="s">
        <v>973</v>
      </c>
      <c r="BA286" s="37">
        <v>2022</v>
      </c>
      <c r="BB286" s="37" t="s">
        <v>143</v>
      </c>
      <c r="BC286" s="77" t="s">
        <v>127</v>
      </c>
      <c r="BD286" s="76" t="s">
        <v>632</v>
      </c>
      <c r="BE286" s="76">
        <v>46387</v>
      </c>
      <c r="BF286" s="86" t="s">
        <v>1728</v>
      </c>
      <c r="BG286" s="39" t="s">
        <v>127</v>
      </c>
      <c r="BH286" s="37" t="s">
        <v>127</v>
      </c>
      <c r="BI286" s="40" t="b">
        <v>1</v>
      </c>
      <c r="BJ286" s="40">
        <v>1959.396</v>
      </c>
      <c r="BK286" s="37" t="s">
        <v>127</v>
      </c>
      <c r="BL286" s="41">
        <v>4634.6416183076362</v>
      </c>
      <c r="BM286" s="49">
        <v>0</v>
      </c>
      <c r="BN286" s="49">
        <v>0.74709999999999999</v>
      </c>
      <c r="BO286" s="49">
        <v>171.03370000000001</v>
      </c>
      <c r="BP286" s="49">
        <v>300.76484999999997</v>
      </c>
      <c r="BQ286" s="50">
        <v>3984.5818500000009</v>
      </c>
      <c r="BR286" s="50">
        <v>177.51411830763485</v>
      </c>
      <c r="BS286" s="50">
        <v>0</v>
      </c>
      <c r="BT286" s="50">
        <v>0</v>
      </c>
      <c r="BU286" s="50">
        <v>0</v>
      </c>
      <c r="BV286" s="50">
        <v>0</v>
      </c>
      <c r="BW286" s="50">
        <v>0</v>
      </c>
      <c r="BX286" s="37" t="s">
        <v>127</v>
      </c>
      <c r="BY286" s="37" t="s">
        <v>127</v>
      </c>
      <c r="BZ286" s="37" t="s">
        <v>198</v>
      </c>
      <c r="CA286" s="41">
        <v>0</v>
      </c>
      <c r="CB286" s="41">
        <v>0</v>
      </c>
      <c r="CC286" s="41">
        <v>0</v>
      </c>
      <c r="CD286" s="41">
        <v>4155.4414000000006</v>
      </c>
      <c r="CE286" s="41">
        <v>30.667909999999999</v>
      </c>
      <c r="CF286" s="41">
        <v>166.03682753763485</v>
      </c>
      <c r="CG286" s="45">
        <v>0</v>
      </c>
      <c r="CH286" s="45" t="s">
        <v>137</v>
      </c>
      <c r="CI286" s="37" t="s">
        <v>127</v>
      </c>
      <c r="CJ286" s="77" t="s">
        <v>127</v>
      </c>
      <c r="CK286" s="98">
        <v>0</v>
      </c>
      <c r="CL286" s="98">
        <v>1</v>
      </c>
      <c r="CM286" s="100" t="s">
        <v>1729</v>
      </c>
    </row>
    <row r="287" spans="1:91" ht="12.75" customHeight="1" x14ac:dyDescent="0.3">
      <c r="A287" s="37">
        <v>285</v>
      </c>
      <c r="B287" s="37" t="s">
        <v>1730</v>
      </c>
      <c r="C287" s="124"/>
      <c r="D287" s="124"/>
      <c r="E287" s="37" t="s">
        <v>1731</v>
      </c>
      <c r="F287" s="36" t="s">
        <v>1732</v>
      </c>
      <c r="G287" s="75" t="s">
        <v>129</v>
      </c>
      <c r="H287" s="37" t="s">
        <v>130</v>
      </c>
      <c r="I287" s="37" t="s">
        <v>131</v>
      </c>
      <c r="J287" s="37" t="s">
        <v>127</v>
      </c>
      <c r="K287" s="37" t="s">
        <v>609</v>
      </c>
      <c r="L287" s="75" t="s">
        <v>133</v>
      </c>
      <c r="M287" s="37" t="s">
        <v>127</v>
      </c>
      <c r="N287" s="37" t="s">
        <v>127</v>
      </c>
      <c r="O287" s="76">
        <v>44344</v>
      </c>
      <c r="P287" s="37">
        <v>20</v>
      </c>
      <c r="Q287" s="37" t="s">
        <v>127</v>
      </c>
      <c r="R287" s="37" t="s">
        <v>127</v>
      </c>
      <c r="S287" s="37" t="s">
        <v>127</v>
      </c>
      <c r="T287" s="37" t="s">
        <v>315</v>
      </c>
      <c r="U287" s="37" t="s">
        <v>789</v>
      </c>
      <c r="V287" s="37" t="b">
        <v>0</v>
      </c>
      <c r="W287" s="77" t="s">
        <v>127</v>
      </c>
      <c r="X287" s="123"/>
      <c r="Y287" s="83">
        <v>0.49947200000000003</v>
      </c>
      <c r="Z287" s="37" t="s">
        <v>137</v>
      </c>
      <c r="AA287" s="37">
        <v>69</v>
      </c>
      <c r="AB287" s="37" t="s">
        <v>127</v>
      </c>
      <c r="AC287" s="78">
        <v>1.2</v>
      </c>
      <c r="AD287" s="78">
        <v>2639298</v>
      </c>
      <c r="AE287" s="37" t="s">
        <v>1733</v>
      </c>
      <c r="AF287" s="37">
        <v>20152</v>
      </c>
      <c r="AG287" s="37" t="s">
        <v>141</v>
      </c>
      <c r="AH287" s="37" t="b">
        <v>1</v>
      </c>
      <c r="AI287" s="76">
        <v>44137</v>
      </c>
      <c r="AJ287" s="77" t="s">
        <v>142</v>
      </c>
      <c r="AK287" s="37">
        <v>2020</v>
      </c>
      <c r="AL287" s="37" t="s">
        <v>127</v>
      </c>
      <c r="AM287" s="37" t="b">
        <v>0</v>
      </c>
      <c r="AN287" s="37" t="s">
        <v>127</v>
      </c>
      <c r="AO287" s="37" t="s">
        <v>127</v>
      </c>
      <c r="AP287" s="37" t="s">
        <v>137</v>
      </c>
      <c r="AQ287" s="37" t="b">
        <v>0</v>
      </c>
      <c r="AR287" s="37" t="s">
        <v>150</v>
      </c>
      <c r="AS287" s="76" t="s">
        <v>137</v>
      </c>
      <c r="AT287" s="37" t="s">
        <v>389</v>
      </c>
      <c r="AU287" s="37" t="s">
        <v>390</v>
      </c>
      <c r="AV287" s="37" t="s">
        <v>933</v>
      </c>
      <c r="AW287" s="37" t="s">
        <v>1180</v>
      </c>
      <c r="AX287" s="37" t="s">
        <v>161</v>
      </c>
      <c r="AY287" s="37" t="s">
        <v>127</v>
      </c>
      <c r="AZ287" s="37" t="s">
        <v>973</v>
      </c>
      <c r="BA287" s="37">
        <v>2023</v>
      </c>
      <c r="BB287" s="37" t="s">
        <v>219</v>
      </c>
      <c r="BC287" s="77" t="s">
        <v>127</v>
      </c>
      <c r="BD287" s="76" t="s">
        <v>1734</v>
      </c>
      <c r="BE287" s="76">
        <v>45289</v>
      </c>
      <c r="BF287" s="86" t="s">
        <v>1735</v>
      </c>
      <c r="BG287" s="39" t="s">
        <v>127</v>
      </c>
      <c r="BH287" s="37" t="s">
        <v>127</v>
      </c>
      <c r="BI287" s="40" t="b">
        <v>1</v>
      </c>
      <c r="BJ287" s="40">
        <v>3977.80548</v>
      </c>
      <c r="BK287" s="37" t="s">
        <v>127</v>
      </c>
      <c r="BL287" s="41">
        <v>3317.204524148473</v>
      </c>
      <c r="BM287" s="49">
        <v>0</v>
      </c>
      <c r="BN287" s="49">
        <v>0.85440000000000016</v>
      </c>
      <c r="BO287" s="49">
        <v>146.61064603700007</v>
      </c>
      <c r="BP287" s="49">
        <v>229.51465555499993</v>
      </c>
      <c r="BQ287" s="50">
        <v>646.482527731</v>
      </c>
      <c r="BR287" s="50">
        <v>2075.7767160737353</v>
      </c>
      <c r="BS287" s="50">
        <v>217.96557875173929</v>
      </c>
      <c r="BT287" s="50">
        <v>0</v>
      </c>
      <c r="BU287" s="50">
        <v>0</v>
      </c>
      <c r="BV287" s="50">
        <v>0</v>
      </c>
      <c r="BW287" s="50">
        <v>1137.7018999999998</v>
      </c>
      <c r="BX287" s="37" t="s">
        <v>127</v>
      </c>
      <c r="BY287" s="37" t="s">
        <v>127</v>
      </c>
      <c r="BZ287" s="37" t="s">
        <v>198</v>
      </c>
      <c r="CA287" s="41">
        <v>0</v>
      </c>
      <c r="CB287" s="41">
        <v>0</v>
      </c>
      <c r="CC287" s="41">
        <v>0</v>
      </c>
      <c r="CD287" s="41">
        <v>976.42437000000007</v>
      </c>
      <c r="CE287" s="41">
        <v>-977.81511</v>
      </c>
      <c r="CF287" s="41">
        <v>1850.6942408070038</v>
      </c>
      <c r="CG287" s="45">
        <v>0</v>
      </c>
      <c r="CH287" s="45" t="s">
        <v>137</v>
      </c>
      <c r="CI287" s="37" t="s">
        <v>1736</v>
      </c>
      <c r="CJ287" s="77" t="s">
        <v>127</v>
      </c>
      <c r="CK287" s="98">
        <v>0</v>
      </c>
      <c r="CL287" s="98">
        <v>1</v>
      </c>
      <c r="CM287" s="100" t="s">
        <v>1737</v>
      </c>
    </row>
    <row r="288" spans="1:91" ht="12.75" customHeight="1" x14ac:dyDescent="0.3">
      <c r="A288" s="37">
        <v>286</v>
      </c>
      <c r="B288" s="37" t="s">
        <v>1738</v>
      </c>
      <c r="C288" s="124"/>
      <c r="D288" s="124"/>
      <c r="E288" s="37" t="s">
        <v>258</v>
      </c>
      <c r="F288" s="36" t="s">
        <v>1739</v>
      </c>
      <c r="G288" s="75" t="s">
        <v>148</v>
      </c>
      <c r="H288" s="37" t="s">
        <v>131</v>
      </c>
      <c r="I288" s="37" t="s">
        <v>127</v>
      </c>
      <c r="J288" s="37" t="s">
        <v>127</v>
      </c>
      <c r="K288" s="37" t="s">
        <v>132</v>
      </c>
      <c r="L288" s="75" t="s">
        <v>282</v>
      </c>
      <c r="M288" s="37" t="s">
        <v>127</v>
      </c>
      <c r="N288" s="37" t="s">
        <v>127</v>
      </c>
      <c r="O288" s="76">
        <v>45177.411620370367</v>
      </c>
      <c r="P288" s="37" t="s">
        <v>1740</v>
      </c>
      <c r="Q288" s="37" t="s">
        <v>239</v>
      </c>
      <c r="R288" s="37" t="s">
        <v>151</v>
      </c>
      <c r="S288" s="37" t="s">
        <v>127</v>
      </c>
      <c r="T288" s="37" t="s">
        <v>127</v>
      </c>
      <c r="U288" s="37" t="s">
        <v>136</v>
      </c>
      <c r="V288" s="37" t="b">
        <v>0</v>
      </c>
      <c r="W288" s="77" t="s">
        <v>127</v>
      </c>
      <c r="X288" s="123"/>
      <c r="Y288" s="37" t="s">
        <v>137</v>
      </c>
      <c r="Z288" s="83">
        <v>0.79</v>
      </c>
      <c r="AA288" s="37">
        <v>69</v>
      </c>
      <c r="AB288" s="37" t="s">
        <v>306</v>
      </c>
      <c r="AC288" s="78">
        <v>4.0999999999999996</v>
      </c>
      <c r="AD288" s="78">
        <v>5983185</v>
      </c>
      <c r="AE288" s="37" t="s">
        <v>1741</v>
      </c>
      <c r="AF288" s="37">
        <v>20242</v>
      </c>
      <c r="AG288" s="37" t="s">
        <v>141</v>
      </c>
      <c r="AH288" s="37" t="b">
        <v>1</v>
      </c>
      <c r="AI288" s="76">
        <v>43831</v>
      </c>
      <c r="AJ288" s="77" t="s">
        <v>142</v>
      </c>
      <c r="AK288" s="37">
        <v>2020</v>
      </c>
      <c r="AL288" s="37" t="s">
        <v>127</v>
      </c>
      <c r="AM288" s="37" t="b">
        <v>0</v>
      </c>
      <c r="AN288" s="37" t="s">
        <v>127</v>
      </c>
      <c r="AO288" s="37" t="s">
        <v>127</v>
      </c>
      <c r="AP288" s="37" t="s">
        <v>137</v>
      </c>
      <c r="AQ288" s="37" t="b">
        <v>0</v>
      </c>
      <c r="AR288" s="37" t="s">
        <v>127</v>
      </c>
      <c r="AS288" s="76" t="s">
        <v>137</v>
      </c>
      <c r="AT288" s="37" t="s">
        <v>127</v>
      </c>
      <c r="AU288" s="37" t="s">
        <v>127</v>
      </c>
      <c r="AV288" s="37" t="s">
        <v>137</v>
      </c>
      <c r="AW288" s="37" t="s">
        <v>137</v>
      </c>
      <c r="AX288" s="37" t="s">
        <v>161</v>
      </c>
      <c r="AY288" s="37" t="s">
        <v>127</v>
      </c>
      <c r="AZ288" s="37" t="s">
        <v>127</v>
      </c>
      <c r="BA288" s="37" t="s">
        <v>127</v>
      </c>
      <c r="BB288" s="37" t="s">
        <v>143</v>
      </c>
      <c r="BC288" s="77" t="s">
        <v>127</v>
      </c>
      <c r="BD288" s="76" t="s">
        <v>1742</v>
      </c>
      <c r="BE288" s="76">
        <v>44358</v>
      </c>
      <c r="BF288" s="86" t="s">
        <v>1743</v>
      </c>
      <c r="BG288" s="39" t="s">
        <v>127</v>
      </c>
      <c r="BH288" s="37" t="s">
        <v>127</v>
      </c>
      <c r="BI288" s="40" t="b">
        <v>1</v>
      </c>
      <c r="BJ288" s="40">
        <v>992.62079000000006</v>
      </c>
      <c r="BK288" s="37" t="s">
        <v>127</v>
      </c>
      <c r="BL288" s="41">
        <v>1911.1729723511792</v>
      </c>
      <c r="BM288" s="49">
        <v>0</v>
      </c>
      <c r="BN288" s="49">
        <v>0</v>
      </c>
      <c r="BO288" s="49">
        <v>522.28010400299991</v>
      </c>
      <c r="BP288" s="49">
        <v>532.98871000000008</v>
      </c>
      <c r="BQ288" s="50">
        <v>225.62034302800001</v>
      </c>
      <c r="BR288" s="50">
        <v>630.28381532017909</v>
      </c>
      <c r="BS288" s="50">
        <v>0</v>
      </c>
      <c r="BT288" s="50">
        <v>0</v>
      </c>
      <c r="BU288" s="50">
        <v>0</v>
      </c>
      <c r="BV288" s="50">
        <v>0</v>
      </c>
      <c r="BW288" s="50">
        <v>1383.6157200000002</v>
      </c>
      <c r="BX288" s="37" t="s">
        <v>127</v>
      </c>
      <c r="BY288" s="37" t="s">
        <v>127</v>
      </c>
      <c r="BZ288" s="37" t="s">
        <v>173</v>
      </c>
      <c r="CA288" s="41">
        <v>0</v>
      </c>
      <c r="CB288" s="41">
        <v>0</v>
      </c>
      <c r="CC288" s="41">
        <v>0</v>
      </c>
      <c r="CD288" s="41">
        <v>0</v>
      </c>
      <c r="CE288" s="41">
        <v>0</v>
      </c>
      <c r="CF288" s="41">
        <v>1911.1729723511789</v>
      </c>
      <c r="CG288" s="45">
        <v>0</v>
      </c>
      <c r="CH288" s="45" t="s">
        <v>137</v>
      </c>
      <c r="CI288" s="37" t="s">
        <v>127</v>
      </c>
      <c r="CJ288" s="77" t="s">
        <v>127</v>
      </c>
      <c r="CK288" s="98">
        <v>0</v>
      </c>
      <c r="CL288" s="98">
        <v>1</v>
      </c>
      <c r="CM288" s="100" t="s">
        <v>1744</v>
      </c>
    </row>
    <row r="289" spans="1:91" ht="12.75" customHeight="1" x14ac:dyDescent="0.3">
      <c r="A289" s="37">
        <v>287</v>
      </c>
      <c r="B289" s="37" t="s">
        <v>1745</v>
      </c>
      <c r="C289" s="124"/>
      <c r="D289" s="124"/>
      <c r="E289" s="37" t="s">
        <v>1746</v>
      </c>
      <c r="F289" s="36" t="s">
        <v>1747</v>
      </c>
      <c r="G289" s="75" t="s">
        <v>184</v>
      </c>
      <c r="H289" s="37" t="s">
        <v>130</v>
      </c>
      <c r="I289" s="37" t="s">
        <v>131</v>
      </c>
      <c r="J289" s="37" t="s">
        <v>127</v>
      </c>
      <c r="K289" s="37" t="s">
        <v>132</v>
      </c>
      <c r="L289" s="75" t="s">
        <v>330</v>
      </c>
      <c r="M289" s="37" t="s">
        <v>127</v>
      </c>
      <c r="N289" s="37" t="s">
        <v>127</v>
      </c>
      <c r="O289" s="76">
        <v>45180.541666666664</v>
      </c>
      <c r="P289" s="37" t="s">
        <v>127</v>
      </c>
      <c r="Q289" s="37" t="s">
        <v>239</v>
      </c>
      <c r="R289" s="37" t="s">
        <v>426</v>
      </c>
      <c r="S289" s="37" t="s">
        <v>272</v>
      </c>
      <c r="T289" s="37" t="s">
        <v>127</v>
      </c>
      <c r="U289" s="37" t="s">
        <v>136</v>
      </c>
      <c r="V289" s="37" t="b">
        <v>0</v>
      </c>
      <c r="W289" s="77" t="s">
        <v>127</v>
      </c>
      <c r="X289" s="123"/>
      <c r="Y289" s="37" t="s">
        <v>127</v>
      </c>
      <c r="Z289" s="83">
        <v>1.38</v>
      </c>
      <c r="AA289" s="37" t="s">
        <v>1472</v>
      </c>
      <c r="AB289" s="37" t="s">
        <v>1628</v>
      </c>
      <c r="AC289" s="78">
        <v>4.0999999999999996</v>
      </c>
      <c r="AD289" s="78">
        <v>5983207</v>
      </c>
      <c r="AE289" s="37" t="s">
        <v>1748</v>
      </c>
      <c r="AF289" s="37">
        <v>20244</v>
      </c>
      <c r="AG289" s="37" t="s">
        <v>141</v>
      </c>
      <c r="AH289" s="37" t="b">
        <v>1</v>
      </c>
      <c r="AI289" s="76">
        <v>44396</v>
      </c>
      <c r="AJ289" s="77" t="s">
        <v>142</v>
      </c>
      <c r="AK289" s="37">
        <v>2020</v>
      </c>
      <c r="AL289" s="37" t="s">
        <v>127</v>
      </c>
      <c r="AM289" s="37" t="b">
        <v>0</v>
      </c>
      <c r="AN289" s="37" t="s">
        <v>127</v>
      </c>
      <c r="AO289" s="37" t="s">
        <v>127</v>
      </c>
      <c r="AP289" s="37" t="s">
        <v>137</v>
      </c>
      <c r="AQ289" s="37" t="b">
        <v>0</v>
      </c>
      <c r="AR289" s="37" t="s">
        <v>127</v>
      </c>
      <c r="AS289" s="76" t="s">
        <v>137</v>
      </c>
      <c r="AT289" s="37" t="s">
        <v>127</v>
      </c>
      <c r="AU289" s="37" t="s">
        <v>127</v>
      </c>
      <c r="AV289" s="37" t="s">
        <v>137</v>
      </c>
      <c r="AW289" s="37" t="s">
        <v>137</v>
      </c>
      <c r="AX289" s="37" t="s">
        <v>161</v>
      </c>
      <c r="AY289" s="37" t="s">
        <v>127</v>
      </c>
      <c r="AZ289" s="37" t="s">
        <v>127</v>
      </c>
      <c r="BA289" s="37" t="s">
        <v>127</v>
      </c>
      <c r="BB289" s="37" t="s">
        <v>758</v>
      </c>
      <c r="BC289" s="77" t="s">
        <v>127</v>
      </c>
      <c r="BD289" s="76" t="s">
        <v>1749</v>
      </c>
      <c r="BE289" s="76">
        <v>45495</v>
      </c>
      <c r="BF289" s="86" t="s">
        <v>1750</v>
      </c>
      <c r="BG289" s="39" t="s">
        <v>127</v>
      </c>
      <c r="BH289" s="37" t="s">
        <v>127</v>
      </c>
      <c r="BI289" s="40" t="b">
        <v>0</v>
      </c>
      <c r="BJ289" s="40">
        <v>4693.6589400000003</v>
      </c>
      <c r="BK289" s="37" t="s">
        <v>127</v>
      </c>
      <c r="BL289" s="41">
        <v>12395.046049619488</v>
      </c>
      <c r="BM289" s="49">
        <v>286.74402999999995</v>
      </c>
      <c r="BN289" s="49">
        <v>592.96031000000005</v>
      </c>
      <c r="BO289" s="49">
        <v>30.226588912000018</v>
      </c>
      <c r="BP289" s="49">
        <v>440.17862982500009</v>
      </c>
      <c r="BQ289" s="50">
        <v>1135.957317442</v>
      </c>
      <c r="BR289" s="50">
        <v>4596.4417339506344</v>
      </c>
      <c r="BS289" s="50">
        <v>3830.7543358794815</v>
      </c>
      <c r="BT289" s="50">
        <v>1481.7831036103742</v>
      </c>
      <c r="BU289" s="50">
        <v>0</v>
      </c>
      <c r="BV289" s="50">
        <v>0</v>
      </c>
      <c r="BW289" s="50">
        <v>4137.4254899999996</v>
      </c>
      <c r="BX289" s="37" t="s">
        <v>127</v>
      </c>
      <c r="BY289" s="37" t="s">
        <v>127</v>
      </c>
      <c r="BZ289" s="37" t="s">
        <v>127</v>
      </c>
      <c r="CA289" s="41">
        <v>0</v>
      </c>
      <c r="CB289" s="41">
        <v>0</v>
      </c>
      <c r="CC289" s="41">
        <v>0</v>
      </c>
      <c r="CD289" s="41">
        <v>0</v>
      </c>
      <c r="CE289" s="41">
        <v>0</v>
      </c>
      <c r="CF289" s="41">
        <v>0</v>
      </c>
      <c r="CG289" s="45">
        <v>0</v>
      </c>
      <c r="CH289" s="45" t="s">
        <v>127</v>
      </c>
      <c r="CI289" s="37" t="s">
        <v>127</v>
      </c>
      <c r="CJ289" s="77" t="s">
        <v>127</v>
      </c>
      <c r="CK289" s="98">
        <v>0</v>
      </c>
      <c r="CL289" s="98">
        <v>1</v>
      </c>
      <c r="CM289" s="100" t="s">
        <v>1751</v>
      </c>
    </row>
    <row r="290" spans="1:91" ht="12.75" customHeight="1" x14ac:dyDescent="0.3">
      <c r="A290" s="37">
        <v>288</v>
      </c>
      <c r="B290" s="37" t="s">
        <v>1752</v>
      </c>
      <c r="C290" s="124"/>
      <c r="D290" s="124"/>
      <c r="E290" s="37" t="s">
        <v>437</v>
      </c>
      <c r="F290" s="36" t="s">
        <v>528</v>
      </c>
      <c r="G290" s="81" t="s">
        <v>529</v>
      </c>
      <c r="H290" s="37" t="s">
        <v>227</v>
      </c>
      <c r="I290" s="37" t="s">
        <v>127</v>
      </c>
      <c r="J290" s="37" t="s">
        <v>127</v>
      </c>
      <c r="K290" s="37" t="s">
        <v>522</v>
      </c>
      <c r="L290" s="75" t="s">
        <v>523</v>
      </c>
      <c r="M290" s="37" t="s">
        <v>152</v>
      </c>
      <c r="N290" s="37" t="s">
        <v>152</v>
      </c>
      <c r="O290" s="76">
        <v>45425</v>
      </c>
      <c r="P290" s="37" t="s">
        <v>135</v>
      </c>
      <c r="Q290" s="37" t="s">
        <v>127</v>
      </c>
      <c r="R290" s="37" t="s">
        <v>127</v>
      </c>
      <c r="S290" s="37" t="s">
        <v>127</v>
      </c>
      <c r="T290" s="37" t="s">
        <v>127</v>
      </c>
      <c r="U290" s="37" t="s">
        <v>136</v>
      </c>
      <c r="V290" s="37" t="b">
        <v>0</v>
      </c>
      <c r="W290" s="37" t="s">
        <v>127</v>
      </c>
      <c r="X290" s="123"/>
      <c r="Y290" s="37" t="s">
        <v>137</v>
      </c>
      <c r="Z290" s="77">
        <v>7.4</v>
      </c>
      <c r="AA290" s="37" t="s">
        <v>1753</v>
      </c>
      <c r="AB290" s="37" t="s">
        <v>525</v>
      </c>
      <c r="AC290" s="78">
        <v>1.1000000000000001</v>
      </c>
      <c r="AD290" s="78">
        <v>5308632</v>
      </c>
      <c r="AE290" s="37" t="s">
        <v>1754</v>
      </c>
      <c r="AF290" s="37">
        <v>15125</v>
      </c>
      <c r="AG290" s="37" t="s">
        <v>127</v>
      </c>
      <c r="AH290" s="37" t="b">
        <v>1</v>
      </c>
      <c r="AI290" s="76">
        <v>45258</v>
      </c>
      <c r="AJ290" s="77" t="s">
        <v>142</v>
      </c>
      <c r="AK290" s="37" t="s">
        <v>127</v>
      </c>
      <c r="AL290" s="37" t="s">
        <v>127</v>
      </c>
      <c r="AM290" s="37" t="b">
        <v>0</v>
      </c>
      <c r="AN290" s="37" t="s">
        <v>127</v>
      </c>
      <c r="AO290" s="37" t="s">
        <v>127</v>
      </c>
      <c r="AP290" s="37" t="s">
        <v>127</v>
      </c>
      <c r="AQ290" s="37" t="b">
        <v>0</v>
      </c>
      <c r="AR290" s="37" t="s">
        <v>127</v>
      </c>
      <c r="AS290" s="37" t="s">
        <v>127</v>
      </c>
      <c r="AT290" s="37" t="s">
        <v>127</v>
      </c>
      <c r="AU290" s="37" t="s">
        <v>127</v>
      </c>
      <c r="AV290" s="37" t="s">
        <v>127</v>
      </c>
      <c r="AW290" s="37" t="s">
        <v>127</v>
      </c>
      <c r="AX290" s="77" t="s">
        <v>127</v>
      </c>
      <c r="AY290" s="80" t="s">
        <v>127</v>
      </c>
      <c r="AZ290" s="37" t="s">
        <v>127</v>
      </c>
      <c r="BA290" s="37" t="s">
        <v>127</v>
      </c>
      <c r="BB290" s="37" t="s">
        <v>154</v>
      </c>
      <c r="BC290" s="77" t="s">
        <v>127</v>
      </c>
      <c r="BD290" s="76">
        <v>44999</v>
      </c>
      <c r="BE290" s="37" t="s">
        <v>127</v>
      </c>
      <c r="BF290" s="80">
        <v>45408</v>
      </c>
      <c r="BG290" s="39" t="s">
        <v>127</v>
      </c>
      <c r="BH290" s="37" t="s">
        <v>127</v>
      </c>
      <c r="BI290" s="40" t="b">
        <v>0</v>
      </c>
      <c r="BJ290" s="40" t="s">
        <v>137</v>
      </c>
      <c r="BK290" s="37" t="s">
        <v>127</v>
      </c>
      <c r="BL290" s="41">
        <v>24298.029798387233</v>
      </c>
      <c r="BM290" s="41">
        <v>0</v>
      </c>
      <c r="BN290" s="41">
        <v>0</v>
      </c>
      <c r="BO290" s="41">
        <v>0</v>
      </c>
      <c r="BP290" s="41">
        <v>0</v>
      </c>
      <c r="BQ290" s="41">
        <v>0</v>
      </c>
      <c r="BR290" s="41">
        <v>0</v>
      </c>
      <c r="BS290" s="41">
        <v>24298.029798387233</v>
      </c>
      <c r="BT290" s="41">
        <v>0</v>
      </c>
      <c r="BU290" s="41">
        <v>0</v>
      </c>
      <c r="BV290" s="41">
        <v>0</v>
      </c>
      <c r="BW290" s="49">
        <v>1.0085999999999999</v>
      </c>
      <c r="BX290" s="37" t="s">
        <v>127</v>
      </c>
      <c r="BY290" s="37" t="s">
        <v>127</v>
      </c>
      <c r="BZ290" s="37" t="s">
        <v>127</v>
      </c>
      <c r="CA290" s="41">
        <v>0</v>
      </c>
      <c r="CB290" s="41">
        <v>0</v>
      </c>
      <c r="CC290" s="41">
        <v>0</v>
      </c>
      <c r="CD290" s="41">
        <v>0</v>
      </c>
      <c r="CE290" s="41">
        <v>0</v>
      </c>
      <c r="CF290" s="41">
        <v>0</v>
      </c>
      <c r="CG290" s="45">
        <v>0</v>
      </c>
      <c r="CH290" s="45" t="s">
        <v>137</v>
      </c>
      <c r="CI290" s="37" t="s">
        <v>127</v>
      </c>
      <c r="CJ290" s="77" t="s">
        <v>127</v>
      </c>
      <c r="CK290" s="98">
        <v>0.18140000000000001</v>
      </c>
      <c r="CL290" s="98">
        <v>0.81859999999999999</v>
      </c>
      <c r="CM290" s="99" t="s">
        <v>541</v>
      </c>
    </row>
    <row r="291" spans="1:91" ht="12.75" customHeight="1" x14ac:dyDescent="0.3">
      <c r="A291" s="37">
        <v>289</v>
      </c>
      <c r="B291" s="37" t="s">
        <v>1755</v>
      </c>
      <c r="C291" s="124"/>
      <c r="D291" s="124"/>
      <c r="E291" s="37" t="s">
        <v>258</v>
      </c>
      <c r="F291" s="36" t="s">
        <v>1756</v>
      </c>
      <c r="G291" s="75" t="s">
        <v>184</v>
      </c>
      <c r="H291" s="37" t="s">
        <v>130</v>
      </c>
      <c r="I291" s="37" t="s">
        <v>131</v>
      </c>
      <c r="J291" s="37" t="s">
        <v>127</v>
      </c>
      <c r="K291" s="37" t="s">
        <v>132</v>
      </c>
      <c r="L291" s="75" t="s">
        <v>330</v>
      </c>
      <c r="M291" s="37" t="s">
        <v>127</v>
      </c>
      <c r="N291" s="37" t="s">
        <v>127</v>
      </c>
      <c r="O291" s="76">
        <v>45203.416064814817</v>
      </c>
      <c r="P291" s="37" t="s">
        <v>1757</v>
      </c>
      <c r="Q291" s="37" t="s">
        <v>239</v>
      </c>
      <c r="R291" s="37" t="s">
        <v>426</v>
      </c>
      <c r="S291" s="37" t="s">
        <v>272</v>
      </c>
      <c r="T291" s="37" t="s">
        <v>127</v>
      </c>
      <c r="U291" s="37" t="s">
        <v>136</v>
      </c>
      <c r="V291" s="37" t="b">
        <v>0</v>
      </c>
      <c r="W291" s="77" t="s">
        <v>127</v>
      </c>
      <c r="X291" s="123"/>
      <c r="Y291" s="37" t="s">
        <v>127</v>
      </c>
      <c r="Z291" s="83">
        <v>1.73</v>
      </c>
      <c r="AA291" s="37" t="s">
        <v>1472</v>
      </c>
      <c r="AB291" s="37" t="s">
        <v>1628</v>
      </c>
      <c r="AC291" s="78">
        <v>4.0999999999999996</v>
      </c>
      <c r="AD291" s="78">
        <v>5986621</v>
      </c>
      <c r="AE291" s="37" t="s">
        <v>1758</v>
      </c>
      <c r="AF291" s="37">
        <v>20264</v>
      </c>
      <c r="AG291" s="37" t="s">
        <v>141</v>
      </c>
      <c r="AH291" s="37" t="b">
        <v>1</v>
      </c>
      <c r="AI291" s="76">
        <v>44267</v>
      </c>
      <c r="AJ291" s="77" t="s">
        <v>142</v>
      </c>
      <c r="AK291" s="37">
        <v>2020</v>
      </c>
      <c r="AL291" s="37" t="s">
        <v>127</v>
      </c>
      <c r="AM291" s="37" t="b">
        <v>0</v>
      </c>
      <c r="AN291" s="37" t="s">
        <v>127</v>
      </c>
      <c r="AO291" s="37" t="s">
        <v>127</v>
      </c>
      <c r="AP291" s="37" t="s">
        <v>137</v>
      </c>
      <c r="AQ291" s="37" t="b">
        <v>0</v>
      </c>
      <c r="AR291" s="37" t="s">
        <v>127</v>
      </c>
      <c r="AS291" s="76" t="s">
        <v>137</v>
      </c>
      <c r="AT291" s="37" t="s">
        <v>127</v>
      </c>
      <c r="AU291" s="37" t="s">
        <v>127</v>
      </c>
      <c r="AV291" s="37" t="s">
        <v>137</v>
      </c>
      <c r="AW291" s="37" t="s">
        <v>137</v>
      </c>
      <c r="AX291" s="37" t="s">
        <v>161</v>
      </c>
      <c r="AY291" s="37" t="s">
        <v>127</v>
      </c>
      <c r="AZ291" s="37" t="s">
        <v>127</v>
      </c>
      <c r="BA291" s="37" t="s">
        <v>127</v>
      </c>
      <c r="BB291" s="37" t="s">
        <v>154</v>
      </c>
      <c r="BC291" s="77" t="s">
        <v>127</v>
      </c>
      <c r="BD291" s="76" t="s">
        <v>1759</v>
      </c>
      <c r="BE291" s="37" t="s">
        <v>127</v>
      </c>
      <c r="BF291" s="86" t="s">
        <v>1760</v>
      </c>
      <c r="BG291" s="39" t="s">
        <v>127</v>
      </c>
      <c r="BH291" s="37" t="s">
        <v>127</v>
      </c>
      <c r="BI291" s="40" t="b">
        <v>0</v>
      </c>
      <c r="BJ291" s="40">
        <v>3291.3584599999999</v>
      </c>
      <c r="BK291" s="37" t="s">
        <v>127</v>
      </c>
      <c r="BL291" s="41">
        <v>3934.2061626763389</v>
      </c>
      <c r="BM291" s="49">
        <v>232.14687999999995</v>
      </c>
      <c r="BN291" s="49">
        <v>77.034539999999993</v>
      </c>
      <c r="BO291" s="49">
        <v>37.847809999999996</v>
      </c>
      <c r="BP291" s="49">
        <v>24.338030000000003</v>
      </c>
      <c r="BQ291" s="50">
        <v>21.111250000000005</v>
      </c>
      <c r="BR291" s="50">
        <v>0</v>
      </c>
      <c r="BS291" s="50">
        <v>0</v>
      </c>
      <c r="BT291" s="50">
        <v>0</v>
      </c>
      <c r="BU291" s="50">
        <v>2846.3971550828328</v>
      </c>
      <c r="BV291" s="50">
        <v>549.46548863542853</v>
      </c>
      <c r="BW291" s="50">
        <v>392.47851000000003</v>
      </c>
      <c r="BX291" s="37" t="s">
        <v>127</v>
      </c>
      <c r="BY291" s="37" t="s">
        <v>127</v>
      </c>
      <c r="BZ291" s="37" t="s">
        <v>127</v>
      </c>
      <c r="CA291" s="41">
        <v>0</v>
      </c>
      <c r="CB291" s="41">
        <v>0</v>
      </c>
      <c r="CC291" s="41">
        <v>0</v>
      </c>
      <c r="CD291" s="41">
        <v>0</v>
      </c>
      <c r="CE291" s="41">
        <v>0</v>
      </c>
      <c r="CF291" s="41">
        <v>0</v>
      </c>
      <c r="CG291" s="45">
        <v>0</v>
      </c>
      <c r="CH291" s="45" t="s">
        <v>127</v>
      </c>
      <c r="CI291" s="37" t="s">
        <v>127</v>
      </c>
      <c r="CJ291" s="77" t="s">
        <v>127</v>
      </c>
      <c r="CK291" s="98">
        <v>0</v>
      </c>
      <c r="CL291" s="98">
        <v>1</v>
      </c>
      <c r="CM291" s="99" t="s">
        <v>1761</v>
      </c>
    </row>
    <row r="292" spans="1:91" ht="12.75" customHeight="1" x14ac:dyDescent="0.3">
      <c r="A292" s="37">
        <v>290</v>
      </c>
      <c r="B292" s="37" t="s">
        <v>1762</v>
      </c>
      <c r="C292" s="127"/>
      <c r="D292" s="123"/>
      <c r="E292" s="37" t="s">
        <v>800</v>
      </c>
      <c r="F292" s="36" t="s">
        <v>1763</v>
      </c>
      <c r="G292" s="75" t="s">
        <v>226</v>
      </c>
      <c r="H292" s="37" t="s">
        <v>127</v>
      </c>
      <c r="I292" s="37" t="s">
        <v>127</v>
      </c>
      <c r="J292" s="37" t="s">
        <v>127</v>
      </c>
      <c r="K292" s="37" t="s">
        <v>609</v>
      </c>
      <c r="L292" s="75" t="s">
        <v>243</v>
      </c>
      <c r="M292" s="37" t="s">
        <v>127</v>
      </c>
      <c r="N292" s="37" t="s">
        <v>127</v>
      </c>
      <c r="O292" s="76" t="s">
        <v>127</v>
      </c>
      <c r="P292" s="37" t="s">
        <v>135</v>
      </c>
      <c r="Q292" s="37" t="s">
        <v>127</v>
      </c>
      <c r="R292" s="37" t="s">
        <v>127</v>
      </c>
      <c r="S292" s="37" t="s">
        <v>127</v>
      </c>
      <c r="T292" s="37" t="s">
        <v>611</v>
      </c>
      <c r="U292" s="37" t="s">
        <v>789</v>
      </c>
      <c r="V292" s="37" t="b">
        <v>0</v>
      </c>
      <c r="W292" s="77" t="s">
        <v>127</v>
      </c>
      <c r="X292" s="123"/>
      <c r="Y292" s="37" t="s">
        <v>137</v>
      </c>
      <c r="Z292" s="37" t="s">
        <v>137</v>
      </c>
      <c r="AA292" s="37">
        <v>69</v>
      </c>
      <c r="AB292" s="37" t="s">
        <v>127</v>
      </c>
      <c r="AC292" s="78">
        <v>1.2</v>
      </c>
      <c r="AD292" s="78">
        <v>200550981</v>
      </c>
      <c r="AE292" s="37" t="s">
        <v>127</v>
      </c>
      <c r="AF292" s="37">
        <v>20277</v>
      </c>
      <c r="AG292" s="37" t="s">
        <v>141</v>
      </c>
      <c r="AH292" s="37" t="b">
        <v>1</v>
      </c>
      <c r="AI292" s="76" t="s">
        <v>127</v>
      </c>
      <c r="AJ292" s="77" t="s">
        <v>142</v>
      </c>
      <c r="AK292" s="37" t="s">
        <v>127</v>
      </c>
      <c r="AL292" s="37" t="s">
        <v>127</v>
      </c>
      <c r="AM292" s="37" t="b">
        <v>0</v>
      </c>
      <c r="AN292" s="37" t="s">
        <v>127</v>
      </c>
      <c r="AO292" s="37" t="s">
        <v>127</v>
      </c>
      <c r="AP292" s="37" t="s">
        <v>137</v>
      </c>
      <c r="AQ292" s="37" t="b">
        <v>0</v>
      </c>
      <c r="AR292" s="37" t="s">
        <v>127</v>
      </c>
      <c r="AS292" s="76" t="s">
        <v>137</v>
      </c>
      <c r="AT292" s="37" t="s">
        <v>127</v>
      </c>
      <c r="AU292" s="37" t="s">
        <v>127</v>
      </c>
      <c r="AV292" s="37" t="s">
        <v>137</v>
      </c>
      <c r="AW292" s="37" t="s">
        <v>137</v>
      </c>
      <c r="AX292" s="77" t="s">
        <v>127</v>
      </c>
      <c r="AY292" s="76" t="s">
        <v>127</v>
      </c>
      <c r="AZ292" s="77" t="s">
        <v>127</v>
      </c>
      <c r="BA292" s="37" t="s">
        <v>137</v>
      </c>
      <c r="BB292" s="37" t="s">
        <v>143</v>
      </c>
      <c r="BC292" s="77" t="s">
        <v>127</v>
      </c>
      <c r="BD292" s="76">
        <v>44035</v>
      </c>
      <c r="BE292" s="37" t="s">
        <v>137</v>
      </c>
      <c r="BF292" s="80">
        <v>45689</v>
      </c>
      <c r="BG292" s="39" t="s">
        <v>127</v>
      </c>
      <c r="BH292" s="37" t="s">
        <v>127</v>
      </c>
      <c r="BI292" s="40" t="b">
        <v>1</v>
      </c>
      <c r="BJ292" s="40" t="s">
        <v>137</v>
      </c>
      <c r="BK292" s="37" t="s">
        <v>127</v>
      </c>
      <c r="BL292" s="41">
        <v>5169.6754272184744</v>
      </c>
      <c r="BM292" s="49">
        <v>0</v>
      </c>
      <c r="BN292" s="49">
        <v>1254.5796425516803</v>
      </c>
      <c r="BO292" s="49">
        <v>1917.2812403752796</v>
      </c>
      <c r="BP292" s="49">
        <v>376.76743084320003</v>
      </c>
      <c r="BQ292" s="50">
        <v>290.88350573976004</v>
      </c>
      <c r="BR292" s="50">
        <v>543.08456064175357</v>
      </c>
      <c r="BS292" s="50">
        <v>787.07904706680017</v>
      </c>
      <c r="BT292" s="50">
        <v>0</v>
      </c>
      <c r="BU292" s="50">
        <v>0</v>
      </c>
      <c r="BV292" s="50">
        <v>0</v>
      </c>
      <c r="BW292" s="50">
        <v>0</v>
      </c>
      <c r="BX292" s="37" t="s">
        <v>127</v>
      </c>
      <c r="BY292" s="37" t="s">
        <v>127</v>
      </c>
      <c r="BZ292" s="37" t="s">
        <v>173</v>
      </c>
      <c r="CA292" s="41">
        <v>0</v>
      </c>
      <c r="CB292" s="41">
        <v>0</v>
      </c>
      <c r="CC292" s="41">
        <v>0</v>
      </c>
      <c r="CD292" s="41">
        <v>0</v>
      </c>
      <c r="CE292" s="41">
        <v>0</v>
      </c>
      <c r="CF292" s="41">
        <v>51.53174622912961</v>
      </c>
      <c r="CG292" s="45">
        <v>0</v>
      </c>
      <c r="CH292" s="45" t="s">
        <v>137</v>
      </c>
      <c r="CI292" s="37" t="s">
        <v>127</v>
      </c>
      <c r="CJ292" s="77" t="s">
        <v>127</v>
      </c>
      <c r="CK292" s="98">
        <v>0</v>
      </c>
      <c r="CL292" s="98">
        <v>1</v>
      </c>
      <c r="CM292" s="99" t="s">
        <v>1764</v>
      </c>
    </row>
    <row r="293" spans="1:91" ht="12.75" customHeight="1" x14ac:dyDescent="0.3">
      <c r="A293" s="37">
        <v>291</v>
      </c>
      <c r="B293" s="37" t="s">
        <v>1765</v>
      </c>
      <c r="C293" s="124"/>
      <c r="D293" s="124"/>
      <c r="E293" s="37" t="s">
        <v>246</v>
      </c>
      <c r="F293" s="36" t="s">
        <v>1766</v>
      </c>
      <c r="G293" s="75" t="s">
        <v>1332</v>
      </c>
      <c r="H293" s="37" t="s">
        <v>131</v>
      </c>
      <c r="I293" s="37" t="s">
        <v>130</v>
      </c>
      <c r="J293" s="37" t="s">
        <v>127</v>
      </c>
      <c r="K293" s="37" t="s">
        <v>228</v>
      </c>
      <c r="L293" s="75" t="s">
        <v>149</v>
      </c>
      <c r="M293" s="37" t="s">
        <v>127</v>
      </c>
      <c r="N293" s="37" t="s">
        <v>127</v>
      </c>
      <c r="O293" s="76">
        <v>45206.541666666657</v>
      </c>
      <c r="P293" s="37">
        <v>12</v>
      </c>
      <c r="Q293" s="37" t="s">
        <v>239</v>
      </c>
      <c r="R293" s="37" t="s">
        <v>426</v>
      </c>
      <c r="S293" s="37" t="s">
        <v>127</v>
      </c>
      <c r="T293" s="37" t="s">
        <v>248</v>
      </c>
      <c r="U293" s="37" t="s">
        <v>136</v>
      </c>
      <c r="V293" s="37" t="b">
        <v>0</v>
      </c>
      <c r="W293" s="77" t="s">
        <v>127</v>
      </c>
      <c r="X293" s="123"/>
      <c r="Y293" s="37" t="s">
        <v>137</v>
      </c>
      <c r="Z293" s="83">
        <v>40.94</v>
      </c>
      <c r="AA293" s="37">
        <v>500</v>
      </c>
      <c r="AB293" s="37" t="s">
        <v>1767</v>
      </c>
      <c r="AC293" s="78">
        <v>4.0999999999999996</v>
      </c>
      <c r="AD293" s="78">
        <v>5070179</v>
      </c>
      <c r="AE293" s="37" t="s">
        <v>1768</v>
      </c>
      <c r="AF293" s="37">
        <v>21137</v>
      </c>
      <c r="AG293" s="37" t="s">
        <v>141</v>
      </c>
      <c r="AH293" s="37" t="b">
        <v>1</v>
      </c>
      <c r="AI293" s="76">
        <v>44340</v>
      </c>
      <c r="AJ293" s="77" t="s">
        <v>142</v>
      </c>
      <c r="AK293" s="37">
        <v>2021</v>
      </c>
      <c r="AL293" s="37" t="s">
        <v>127</v>
      </c>
      <c r="AM293" s="37" t="b">
        <v>0</v>
      </c>
      <c r="AN293" s="37" t="s">
        <v>127</v>
      </c>
      <c r="AO293" s="37" t="s">
        <v>127</v>
      </c>
      <c r="AP293" s="37" t="s">
        <v>137</v>
      </c>
      <c r="AQ293" s="37" t="b">
        <v>0</v>
      </c>
      <c r="AR293" s="37" t="s">
        <v>127</v>
      </c>
      <c r="AS293" s="76" t="s">
        <v>137</v>
      </c>
      <c r="AT293" s="37" t="s">
        <v>127</v>
      </c>
      <c r="AU293" s="37" t="s">
        <v>127</v>
      </c>
      <c r="AV293" s="37" t="s">
        <v>137</v>
      </c>
      <c r="AW293" s="37" t="s">
        <v>137</v>
      </c>
      <c r="AX293" s="37" t="s">
        <v>161</v>
      </c>
      <c r="AY293" s="37" t="s">
        <v>127</v>
      </c>
      <c r="AZ293" s="37" t="s">
        <v>127</v>
      </c>
      <c r="BA293" s="37" t="s">
        <v>127</v>
      </c>
      <c r="BB293" s="37" t="s">
        <v>143</v>
      </c>
      <c r="BC293" s="77" t="s">
        <v>127</v>
      </c>
      <c r="BD293" s="76" t="s">
        <v>1251</v>
      </c>
      <c r="BE293" s="76">
        <v>44645</v>
      </c>
      <c r="BF293" s="86" t="s">
        <v>1769</v>
      </c>
      <c r="BG293" s="39" t="s">
        <v>127</v>
      </c>
      <c r="BH293" s="37" t="s">
        <v>127</v>
      </c>
      <c r="BI293" s="40" t="b">
        <v>0</v>
      </c>
      <c r="BJ293" s="40">
        <v>2699</v>
      </c>
      <c r="BK293" s="37" t="s">
        <v>127</v>
      </c>
      <c r="BL293" s="41">
        <v>2111.8572999999997</v>
      </c>
      <c r="BM293" s="49">
        <v>0</v>
      </c>
      <c r="BN293" s="49">
        <v>16.73864</v>
      </c>
      <c r="BO293" s="49">
        <v>1905.8540199999991</v>
      </c>
      <c r="BP293" s="49">
        <v>189.26463999999999</v>
      </c>
      <c r="BQ293" s="50">
        <v>0</v>
      </c>
      <c r="BR293" s="50">
        <v>0</v>
      </c>
      <c r="BS293" s="50">
        <v>0</v>
      </c>
      <c r="BT293" s="50">
        <v>0</v>
      </c>
      <c r="BU293" s="50">
        <v>0</v>
      </c>
      <c r="BV293" s="50">
        <v>0</v>
      </c>
      <c r="BW293" s="50">
        <v>0</v>
      </c>
      <c r="BX293" s="37" t="s">
        <v>127</v>
      </c>
      <c r="BY293" s="37" t="s">
        <v>127</v>
      </c>
      <c r="BZ293" s="37" t="s">
        <v>252</v>
      </c>
      <c r="CA293" s="41">
        <v>0</v>
      </c>
      <c r="CB293" s="41">
        <v>0</v>
      </c>
      <c r="CC293" s="41">
        <v>2111.8255099999997</v>
      </c>
      <c r="CD293" s="41">
        <v>0</v>
      </c>
      <c r="CE293" s="41">
        <v>0</v>
      </c>
      <c r="CF293" s="41">
        <v>0</v>
      </c>
      <c r="CG293" s="45">
        <v>0</v>
      </c>
      <c r="CH293" s="45" t="s">
        <v>137</v>
      </c>
      <c r="CI293" s="37" t="s">
        <v>127</v>
      </c>
      <c r="CJ293" s="77" t="s">
        <v>127</v>
      </c>
      <c r="CK293" s="98">
        <v>1</v>
      </c>
      <c r="CL293" s="98">
        <v>0</v>
      </c>
      <c r="CM293" s="99" t="s">
        <v>1770</v>
      </c>
    </row>
    <row r="294" spans="1:91" ht="12.75" customHeight="1" x14ac:dyDescent="0.3">
      <c r="A294" s="37">
        <v>292</v>
      </c>
      <c r="B294" s="37" t="s">
        <v>1771</v>
      </c>
      <c r="C294" s="124"/>
      <c r="D294" s="124"/>
      <c r="E294" s="37" t="s">
        <v>457</v>
      </c>
      <c r="F294" s="36" t="s">
        <v>1772</v>
      </c>
      <c r="G294" s="81" t="s">
        <v>148</v>
      </c>
      <c r="H294" s="38" t="s">
        <v>268</v>
      </c>
      <c r="I294" s="38" t="s">
        <v>127</v>
      </c>
      <c r="J294" s="38" t="s">
        <v>127</v>
      </c>
      <c r="K294" s="38" t="s">
        <v>160</v>
      </c>
      <c r="L294" s="81" t="s">
        <v>270</v>
      </c>
      <c r="M294" s="38" t="s">
        <v>127</v>
      </c>
      <c r="N294" s="38" t="s">
        <v>127</v>
      </c>
      <c r="O294" s="76">
        <v>45397</v>
      </c>
      <c r="P294" s="37" t="s">
        <v>127</v>
      </c>
      <c r="Q294" s="37" t="s">
        <v>127</v>
      </c>
      <c r="R294" s="37" t="s">
        <v>127</v>
      </c>
      <c r="S294" s="37" t="s">
        <v>127</v>
      </c>
      <c r="T294" s="37" t="s">
        <v>127</v>
      </c>
      <c r="U294" s="37" t="s">
        <v>981</v>
      </c>
      <c r="V294" s="37" t="b">
        <v>0</v>
      </c>
      <c r="W294" s="37" t="s">
        <v>127</v>
      </c>
      <c r="X294" s="123"/>
      <c r="Y294" s="37" t="s">
        <v>127</v>
      </c>
      <c r="Z294" s="37">
        <v>6.66</v>
      </c>
      <c r="AA294" s="77">
        <v>138</v>
      </c>
      <c r="AB294" s="77">
        <v>138</v>
      </c>
      <c r="AC294" s="78">
        <v>2.2000000000000002</v>
      </c>
      <c r="AD294" s="78">
        <v>5987246</v>
      </c>
      <c r="AE294" s="37" t="s">
        <v>1773</v>
      </c>
      <c r="AF294" s="37">
        <v>21145</v>
      </c>
      <c r="AG294" s="37" t="s">
        <v>127</v>
      </c>
      <c r="AH294" s="37" t="b">
        <v>0</v>
      </c>
      <c r="AI294" s="76">
        <v>44580</v>
      </c>
      <c r="AJ294" s="77" t="s">
        <v>142</v>
      </c>
      <c r="AK294" s="37">
        <v>2020</v>
      </c>
      <c r="AL294" s="37" t="s">
        <v>127</v>
      </c>
      <c r="AM294" s="37" t="b">
        <v>0</v>
      </c>
      <c r="AN294" s="37" t="s">
        <v>127</v>
      </c>
      <c r="AO294" s="37" t="s">
        <v>127</v>
      </c>
      <c r="AP294" s="37" t="s">
        <v>127</v>
      </c>
      <c r="AQ294" s="37" t="b">
        <v>0</v>
      </c>
      <c r="AR294" s="37" t="s">
        <v>127</v>
      </c>
      <c r="AS294" s="37" t="s">
        <v>127</v>
      </c>
      <c r="AT294" s="37" t="s">
        <v>127</v>
      </c>
      <c r="AU294" s="37" t="s">
        <v>127</v>
      </c>
      <c r="AV294" s="37" t="s">
        <v>127</v>
      </c>
      <c r="AW294" s="37" t="s">
        <v>127</v>
      </c>
      <c r="AX294" s="37" t="s">
        <v>161</v>
      </c>
      <c r="AY294" s="80" t="s">
        <v>127</v>
      </c>
      <c r="AZ294" s="77" t="s">
        <v>127</v>
      </c>
      <c r="BA294" s="37" t="s">
        <v>127</v>
      </c>
      <c r="BB294" s="37" t="s">
        <v>143</v>
      </c>
      <c r="BC294" s="77" t="s">
        <v>127</v>
      </c>
      <c r="BD294" s="37" t="s">
        <v>1774</v>
      </c>
      <c r="BE294" s="37" t="s">
        <v>127</v>
      </c>
      <c r="BF294" s="37" t="s">
        <v>1775</v>
      </c>
      <c r="BG294" s="96" t="s">
        <v>127</v>
      </c>
      <c r="BH294" s="77" t="s">
        <v>127</v>
      </c>
      <c r="BI294" s="40" t="b">
        <v>1</v>
      </c>
      <c r="BJ294" s="40" t="s">
        <v>137</v>
      </c>
      <c r="BK294" s="37" t="s">
        <v>127</v>
      </c>
      <c r="BL294" s="41">
        <v>1008.6492819570003</v>
      </c>
      <c r="BM294" s="41">
        <v>429.58497448800011</v>
      </c>
      <c r="BN294" s="41">
        <v>138.56990787999996</v>
      </c>
      <c r="BO294" s="41">
        <v>233.257682491</v>
      </c>
      <c r="BP294" s="41">
        <v>45.363660198000019</v>
      </c>
      <c r="BQ294" s="41">
        <v>139.97804564800001</v>
      </c>
      <c r="BR294" s="41">
        <v>21.895011252</v>
      </c>
      <c r="BS294" s="41">
        <v>0</v>
      </c>
      <c r="BT294" s="41">
        <v>0</v>
      </c>
      <c r="BU294" s="41">
        <v>0</v>
      </c>
      <c r="BV294" s="41">
        <v>0</v>
      </c>
      <c r="BW294" s="49">
        <v>0</v>
      </c>
      <c r="BX294" s="37" t="s">
        <v>127</v>
      </c>
      <c r="BY294" s="37" t="s">
        <v>127</v>
      </c>
      <c r="BZ294" s="37" t="s">
        <v>1776</v>
      </c>
      <c r="CA294" s="41">
        <v>0</v>
      </c>
      <c r="CB294" s="41">
        <v>502.97627999999997</v>
      </c>
      <c r="CC294" s="41">
        <v>0.59810000000000008</v>
      </c>
      <c r="CD294" s="41">
        <v>0</v>
      </c>
      <c r="CE294" s="41">
        <v>319.94826</v>
      </c>
      <c r="CF294" s="41">
        <v>18.938221252000002</v>
      </c>
      <c r="CG294" s="45">
        <v>0</v>
      </c>
      <c r="CH294" s="45" t="s">
        <v>137</v>
      </c>
      <c r="CI294" s="37" t="s">
        <v>127</v>
      </c>
      <c r="CJ294" s="77" t="s">
        <v>127</v>
      </c>
      <c r="CK294" s="98">
        <v>0</v>
      </c>
      <c r="CL294" s="98">
        <v>1</v>
      </c>
      <c r="CM294" s="100" t="s">
        <v>1777</v>
      </c>
    </row>
    <row r="295" spans="1:91" ht="12.75" customHeight="1" x14ac:dyDescent="0.3">
      <c r="A295" s="37">
        <v>293</v>
      </c>
      <c r="B295" s="37" t="s">
        <v>1778</v>
      </c>
      <c r="C295" s="124"/>
      <c r="D295" s="124"/>
      <c r="E295" s="37" t="s">
        <v>258</v>
      </c>
      <c r="F295" s="36" t="s">
        <v>1779</v>
      </c>
      <c r="G295" s="75" t="s">
        <v>129</v>
      </c>
      <c r="H295" s="37" t="s">
        <v>130</v>
      </c>
      <c r="I295" s="37" t="s">
        <v>127</v>
      </c>
      <c r="J295" s="37" t="s">
        <v>127</v>
      </c>
      <c r="K295" s="37" t="s">
        <v>1165</v>
      </c>
      <c r="L295" s="75" t="s">
        <v>243</v>
      </c>
      <c r="M295" s="37" t="s">
        <v>384</v>
      </c>
      <c r="N295" s="37" t="s">
        <v>127</v>
      </c>
      <c r="O295" s="76">
        <v>45136</v>
      </c>
      <c r="P295" s="37" t="s">
        <v>135</v>
      </c>
      <c r="Q295" s="37" t="s">
        <v>168</v>
      </c>
      <c r="R295" s="37" t="s">
        <v>1123</v>
      </c>
      <c r="S295" s="37" t="s">
        <v>1302</v>
      </c>
      <c r="T295" s="37" t="s">
        <v>315</v>
      </c>
      <c r="U295" s="37" t="s">
        <v>230</v>
      </c>
      <c r="V295" s="37" t="b">
        <v>0</v>
      </c>
      <c r="W295" s="77" t="s">
        <v>127</v>
      </c>
      <c r="X295" s="123"/>
      <c r="Y295" s="83">
        <v>3.62</v>
      </c>
      <c r="Z295" s="37" t="s">
        <v>137</v>
      </c>
      <c r="AA295" s="37">
        <v>69</v>
      </c>
      <c r="AB295" s="37" t="s">
        <v>127</v>
      </c>
      <c r="AC295" s="78">
        <v>2.1</v>
      </c>
      <c r="AD295" s="78">
        <v>2473746</v>
      </c>
      <c r="AE295" s="37" t="s">
        <v>1780</v>
      </c>
      <c r="AF295" s="37">
        <v>21148</v>
      </c>
      <c r="AG295" s="37" t="s">
        <v>141</v>
      </c>
      <c r="AH295" s="37" t="b">
        <v>0</v>
      </c>
      <c r="AI295" s="76" t="s">
        <v>127</v>
      </c>
      <c r="AJ295" s="77" t="s">
        <v>142</v>
      </c>
      <c r="AK295" s="37" t="s">
        <v>127</v>
      </c>
      <c r="AL295" s="37">
        <v>2018</v>
      </c>
      <c r="AM295" s="37" t="b">
        <v>0</v>
      </c>
      <c r="AN295" s="37">
        <v>2018</v>
      </c>
      <c r="AO295" s="37" t="s">
        <v>127</v>
      </c>
      <c r="AP295" s="37" t="s">
        <v>1462</v>
      </c>
      <c r="AQ295" s="37" t="b">
        <v>0</v>
      </c>
      <c r="AR295" s="37" t="s">
        <v>127</v>
      </c>
      <c r="AS295" s="76" t="s">
        <v>137</v>
      </c>
      <c r="AT295" s="37" t="s">
        <v>127</v>
      </c>
      <c r="AU295" s="37" t="s">
        <v>127</v>
      </c>
      <c r="AV295" s="37" t="s">
        <v>137</v>
      </c>
      <c r="AW295" s="37" t="s">
        <v>137</v>
      </c>
      <c r="AX295" s="37" t="s">
        <v>532</v>
      </c>
      <c r="AY295" s="37" t="s">
        <v>1781</v>
      </c>
      <c r="AZ295" s="37" t="s">
        <v>1072</v>
      </c>
      <c r="BA295" s="37">
        <v>2029</v>
      </c>
      <c r="BB295" s="37" t="s">
        <v>443</v>
      </c>
      <c r="BC295" s="77" t="s">
        <v>127</v>
      </c>
      <c r="BD295" s="76" t="s">
        <v>1782</v>
      </c>
      <c r="BE295" s="76">
        <v>2018</v>
      </c>
      <c r="BF295" s="86" t="s">
        <v>1783</v>
      </c>
      <c r="BG295" s="39" t="s">
        <v>127</v>
      </c>
      <c r="BH295" s="37" t="s">
        <v>127</v>
      </c>
      <c r="BI295" s="40" t="b">
        <v>1</v>
      </c>
      <c r="BJ295" s="40" t="s">
        <v>137</v>
      </c>
      <c r="BK295" s="37" t="s">
        <v>127</v>
      </c>
      <c r="BL295" s="41">
        <v>2566.5284792470716</v>
      </c>
      <c r="BM295" s="49">
        <v>0</v>
      </c>
      <c r="BN295" s="49">
        <v>0</v>
      </c>
      <c r="BO295" s="49">
        <v>0</v>
      </c>
      <c r="BP295" s="49">
        <v>0.57733000000000012</v>
      </c>
      <c r="BQ295" s="50">
        <v>33.695170000000005</v>
      </c>
      <c r="BR295" s="50">
        <v>235.05228661707244</v>
      </c>
      <c r="BS295" s="50">
        <v>208.00053959999997</v>
      </c>
      <c r="BT295" s="50">
        <v>2089.2031530300005</v>
      </c>
      <c r="BU295" s="50">
        <v>0</v>
      </c>
      <c r="BV295" s="50">
        <v>0</v>
      </c>
      <c r="BW295" s="50">
        <v>37.71846</v>
      </c>
      <c r="BX295" s="37" t="s">
        <v>127</v>
      </c>
      <c r="BY295" s="37" t="s">
        <v>127</v>
      </c>
      <c r="BZ295" s="37" t="s">
        <v>173</v>
      </c>
      <c r="CA295" s="41">
        <v>0</v>
      </c>
      <c r="CB295" s="41">
        <v>0</v>
      </c>
      <c r="CC295" s="41">
        <v>0</v>
      </c>
      <c r="CD295" s="41">
        <v>0</v>
      </c>
      <c r="CE295" s="41">
        <v>0</v>
      </c>
      <c r="CF295" s="41">
        <v>242.72278327207249</v>
      </c>
      <c r="CG295" s="45">
        <v>0</v>
      </c>
      <c r="CH295" s="45" t="s">
        <v>137</v>
      </c>
      <c r="CI295" s="37" t="s">
        <v>127</v>
      </c>
      <c r="CJ295" s="77" t="s">
        <v>127</v>
      </c>
      <c r="CK295" s="98">
        <v>0</v>
      </c>
      <c r="CL295" s="98">
        <v>1</v>
      </c>
      <c r="CM295" s="100" t="s">
        <v>1784</v>
      </c>
    </row>
    <row r="296" spans="1:91" ht="12.75" customHeight="1" x14ac:dyDescent="0.3">
      <c r="A296" s="37">
        <v>294</v>
      </c>
      <c r="B296" s="37" t="s">
        <v>1785</v>
      </c>
      <c r="C296" s="127"/>
      <c r="D296" s="123"/>
      <c r="E296" s="37" t="s">
        <v>1786</v>
      </c>
      <c r="F296" s="36" t="s">
        <v>1787</v>
      </c>
      <c r="G296" s="75" t="s">
        <v>226</v>
      </c>
      <c r="H296" s="37" t="s">
        <v>227</v>
      </c>
      <c r="I296" s="37" t="s">
        <v>127</v>
      </c>
      <c r="J296" s="37" t="s">
        <v>127</v>
      </c>
      <c r="K296" s="37" t="s">
        <v>212</v>
      </c>
      <c r="L296" s="75" t="s">
        <v>218</v>
      </c>
      <c r="M296" s="37" t="s">
        <v>127</v>
      </c>
      <c r="N296" s="37" t="s">
        <v>127</v>
      </c>
      <c r="O296" s="76" t="s">
        <v>127</v>
      </c>
      <c r="P296" s="37" t="s">
        <v>127</v>
      </c>
      <c r="Q296" s="37" t="s">
        <v>127</v>
      </c>
      <c r="R296" s="37" t="s">
        <v>127</v>
      </c>
      <c r="S296" s="37" t="s">
        <v>127</v>
      </c>
      <c r="T296" s="37" t="s">
        <v>127</v>
      </c>
      <c r="U296" s="37" t="s">
        <v>947</v>
      </c>
      <c r="V296" s="37" t="b">
        <v>0</v>
      </c>
      <c r="W296" s="77" t="s">
        <v>127</v>
      </c>
      <c r="X296" s="123"/>
      <c r="Y296" s="37" t="s">
        <v>137</v>
      </c>
      <c r="Z296" s="37" t="s">
        <v>137</v>
      </c>
      <c r="AA296" s="37" t="s">
        <v>127</v>
      </c>
      <c r="AB296" s="37" t="s">
        <v>127</v>
      </c>
      <c r="AC296" s="78">
        <v>1.2</v>
      </c>
      <c r="AD296" s="78">
        <v>200557822</v>
      </c>
      <c r="AE296" s="37" t="s">
        <v>127</v>
      </c>
      <c r="AF296" s="37">
        <v>21256</v>
      </c>
      <c r="AG296" s="37" t="s">
        <v>141</v>
      </c>
      <c r="AH296" s="37" t="b">
        <v>1</v>
      </c>
      <c r="AI296" s="76">
        <v>45140</v>
      </c>
      <c r="AJ296" s="77" t="s">
        <v>142</v>
      </c>
      <c r="AK296" s="37">
        <v>2021</v>
      </c>
      <c r="AL296" s="37" t="s">
        <v>127</v>
      </c>
      <c r="AM296" s="37" t="b">
        <v>0</v>
      </c>
      <c r="AN296" s="37" t="s">
        <v>127</v>
      </c>
      <c r="AO296" s="37" t="s">
        <v>127</v>
      </c>
      <c r="AP296" s="37" t="s">
        <v>137</v>
      </c>
      <c r="AQ296" s="37" t="b">
        <v>0</v>
      </c>
      <c r="AR296" s="37" t="s">
        <v>127</v>
      </c>
      <c r="AS296" s="76" t="s">
        <v>137</v>
      </c>
      <c r="AT296" s="37" t="s">
        <v>127</v>
      </c>
      <c r="AU296" s="37" t="s">
        <v>127</v>
      </c>
      <c r="AV296" s="37" t="s">
        <v>127</v>
      </c>
      <c r="AW296" s="37" t="s">
        <v>137</v>
      </c>
      <c r="AX296" s="77" t="s">
        <v>127</v>
      </c>
      <c r="AY296" s="76" t="s">
        <v>127</v>
      </c>
      <c r="AZ296" s="77" t="s">
        <v>127</v>
      </c>
      <c r="BA296" s="37" t="s">
        <v>137</v>
      </c>
      <c r="BB296" s="37" t="s">
        <v>143</v>
      </c>
      <c r="BC296" s="77" t="s">
        <v>127</v>
      </c>
      <c r="BD296" s="76">
        <v>42800</v>
      </c>
      <c r="BE296" s="37" t="s">
        <v>137</v>
      </c>
      <c r="BF296" s="80">
        <v>44939</v>
      </c>
      <c r="BG296" s="39" t="s">
        <v>127</v>
      </c>
      <c r="BH296" s="37" t="s">
        <v>127</v>
      </c>
      <c r="BI296" s="40" t="b">
        <v>1</v>
      </c>
      <c r="BJ296" s="40">
        <v>2119.60806</v>
      </c>
      <c r="BK296" s="37" t="s">
        <v>127</v>
      </c>
      <c r="BL296" s="41">
        <v>2363.9868765130645</v>
      </c>
      <c r="BM296" s="49">
        <v>0</v>
      </c>
      <c r="BN296" s="49">
        <v>0</v>
      </c>
      <c r="BO296" s="49">
        <v>368.21720498784003</v>
      </c>
      <c r="BP296" s="49">
        <v>1658.2979669181605</v>
      </c>
      <c r="BQ296" s="50">
        <v>208.64233903424002</v>
      </c>
      <c r="BR296" s="50">
        <v>128.829365572824</v>
      </c>
      <c r="BS296" s="50">
        <v>0</v>
      </c>
      <c r="BT296" s="50">
        <v>0</v>
      </c>
      <c r="BU296" s="50">
        <v>0</v>
      </c>
      <c r="BV296" s="50">
        <v>0</v>
      </c>
      <c r="BW296" s="50">
        <v>0</v>
      </c>
      <c r="BX296" s="37" t="s">
        <v>127</v>
      </c>
      <c r="BY296" s="37" t="s">
        <v>127</v>
      </c>
      <c r="BZ296" s="37" t="s">
        <v>173</v>
      </c>
      <c r="CA296" s="41">
        <v>0</v>
      </c>
      <c r="CB296" s="41">
        <v>0</v>
      </c>
      <c r="CC296" s="41">
        <v>0</v>
      </c>
      <c r="CD296" s="41">
        <v>0</v>
      </c>
      <c r="CE296" s="41">
        <v>0</v>
      </c>
      <c r="CF296" s="41">
        <v>128.829365572824</v>
      </c>
      <c r="CG296" s="45">
        <v>0</v>
      </c>
      <c r="CH296" s="45" t="s">
        <v>137</v>
      </c>
      <c r="CI296" s="37" t="s">
        <v>127</v>
      </c>
      <c r="CJ296" s="77" t="s">
        <v>127</v>
      </c>
      <c r="CK296" s="98" t="s">
        <v>127</v>
      </c>
      <c r="CL296" s="98" t="s">
        <v>127</v>
      </c>
      <c r="CM296" s="100" t="s">
        <v>1788</v>
      </c>
    </row>
    <row r="297" spans="1:91" ht="12.75" customHeight="1" x14ac:dyDescent="0.3">
      <c r="A297" s="37">
        <v>295</v>
      </c>
      <c r="B297" s="37" t="s">
        <v>1789</v>
      </c>
      <c r="C297" s="123"/>
      <c r="D297" s="123"/>
      <c r="E297" s="37" t="s">
        <v>127</v>
      </c>
      <c r="F297" s="36" t="s">
        <v>1790</v>
      </c>
      <c r="G297" s="75" t="s">
        <v>794</v>
      </c>
      <c r="H297" s="37" t="s">
        <v>227</v>
      </c>
      <c r="I297" s="37" t="s">
        <v>127</v>
      </c>
      <c r="J297" s="37" t="s">
        <v>127</v>
      </c>
      <c r="K297" s="37" t="s">
        <v>609</v>
      </c>
      <c r="L297" s="75" t="s">
        <v>229</v>
      </c>
      <c r="M297" s="37" t="s">
        <v>127</v>
      </c>
      <c r="N297" s="37" t="s">
        <v>127</v>
      </c>
      <c r="O297" s="37" t="s">
        <v>127</v>
      </c>
      <c r="P297" s="37">
        <v>1</v>
      </c>
      <c r="Q297" s="37" t="s">
        <v>127</v>
      </c>
      <c r="R297" s="37" t="s">
        <v>127</v>
      </c>
      <c r="S297" s="37" t="s">
        <v>127</v>
      </c>
      <c r="T297" s="37" t="s">
        <v>127</v>
      </c>
      <c r="U297" s="77" t="s">
        <v>714</v>
      </c>
      <c r="V297" s="37" t="b">
        <v>0</v>
      </c>
      <c r="W297" s="37" t="s">
        <v>127</v>
      </c>
      <c r="X297" s="123"/>
      <c r="Y297" s="37" t="s">
        <v>127</v>
      </c>
      <c r="Z297" s="37" t="s">
        <v>127</v>
      </c>
      <c r="AA297" s="37" t="s">
        <v>127</v>
      </c>
      <c r="AB297" s="37" t="s">
        <v>127</v>
      </c>
      <c r="AC297" s="78">
        <v>1.2</v>
      </c>
      <c r="AD297" s="78">
        <v>2885054</v>
      </c>
      <c r="AE297" s="37">
        <v>53030</v>
      </c>
      <c r="AF297" s="37">
        <v>22255</v>
      </c>
      <c r="AG297" s="37" t="s">
        <v>127</v>
      </c>
      <c r="AH297" s="37" t="b">
        <v>1</v>
      </c>
      <c r="AI297" s="76">
        <v>45107</v>
      </c>
      <c r="AJ297" s="77" t="s">
        <v>142</v>
      </c>
      <c r="AK297" s="37">
        <v>2022</v>
      </c>
      <c r="AL297" s="37" t="s">
        <v>127</v>
      </c>
      <c r="AM297" s="37" t="b">
        <v>0</v>
      </c>
      <c r="AN297" s="37" t="s">
        <v>127</v>
      </c>
      <c r="AO297" s="37" t="s">
        <v>127</v>
      </c>
      <c r="AP297" s="37" t="s">
        <v>127</v>
      </c>
      <c r="AQ297" s="37" t="b">
        <v>0</v>
      </c>
      <c r="AR297" s="37" t="s">
        <v>127</v>
      </c>
      <c r="AS297" s="37" t="s">
        <v>127</v>
      </c>
      <c r="AT297" s="37" t="s">
        <v>127</v>
      </c>
      <c r="AU297" s="37" t="s">
        <v>127</v>
      </c>
      <c r="AV297" s="37" t="s">
        <v>127</v>
      </c>
      <c r="AW297" s="37" t="s">
        <v>127</v>
      </c>
      <c r="AX297" s="37" t="s">
        <v>127</v>
      </c>
      <c r="AY297" s="80" t="s">
        <v>127</v>
      </c>
      <c r="AZ297" s="80" t="s">
        <v>127</v>
      </c>
      <c r="BA297" s="80" t="s">
        <v>127</v>
      </c>
      <c r="BB297" s="37" t="s">
        <v>143</v>
      </c>
      <c r="BC297" s="77" t="s">
        <v>127</v>
      </c>
      <c r="BD297" s="76" t="s">
        <v>127</v>
      </c>
      <c r="BE297" s="37" t="s">
        <v>127</v>
      </c>
      <c r="BF297" s="37" t="s">
        <v>127</v>
      </c>
      <c r="BG297" s="39" t="s">
        <v>127</v>
      </c>
      <c r="BH297" s="39" t="s">
        <v>127</v>
      </c>
      <c r="BI297" s="40" t="b">
        <v>1</v>
      </c>
      <c r="BJ297" s="40">
        <v>247.33045000000001</v>
      </c>
      <c r="BK297" s="37" t="s">
        <v>127</v>
      </c>
      <c r="BL297" s="41">
        <v>1163.807666243642</v>
      </c>
      <c r="BM297" s="41">
        <v>0</v>
      </c>
      <c r="BN297" s="41">
        <v>0</v>
      </c>
      <c r="BO297" s="41">
        <v>0</v>
      </c>
      <c r="BP297" s="41">
        <v>381.41641393100002</v>
      </c>
      <c r="BQ297" s="41">
        <v>653.84647289499992</v>
      </c>
      <c r="BR297" s="41">
        <v>89.448701989536985</v>
      </c>
      <c r="BS297" s="41">
        <v>39.096077428104834</v>
      </c>
      <c r="BT297" s="41">
        <v>0</v>
      </c>
      <c r="BU297" s="41">
        <v>0</v>
      </c>
      <c r="BV297" s="41">
        <v>0</v>
      </c>
      <c r="BW297" s="49">
        <v>0</v>
      </c>
      <c r="BX297" s="37" t="s">
        <v>127</v>
      </c>
      <c r="BY297" s="37" t="s">
        <v>127</v>
      </c>
      <c r="BZ297" s="37" t="s">
        <v>173</v>
      </c>
      <c r="CA297" s="41">
        <v>0</v>
      </c>
      <c r="CB297" s="41">
        <v>0</v>
      </c>
      <c r="CC297" s="41">
        <v>0</v>
      </c>
      <c r="CD297" s="41">
        <v>0</v>
      </c>
      <c r="CE297" s="41">
        <v>0</v>
      </c>
      <c r="CF297" s="41">
        <v>1124.7115888155367</v>
      </c>
      <c r="CG297" s="45">
        <v>0</v>
      </c>
      <c r="CH297" s="45" t="s">
        <v>127</v>
      </c>
      <c r="CI297" s="37" t="s">
        <v>127</v>
      </c>
      <c r="CJ297" s="77" t="s">
        <v>127</v>
      </c>
      <c r="CK297" s="98">
        <v>0</v>
      </c>
      <c r="CL297" s="98">
        <v>1</v>
      </c>
      <c r="CM297" s="100" t="s">
        <v>1791</v>
      </c>
    </row>
    <row r="298" spans="1:91" ht="12.75" customHeight="1" x14ac:dyDescent="0.3">
      <c r="A298" s="37">
        <v>296</v>
      </c>
      <c r="B298" s="37" t="s">
        <v>1792</v>
      </c>
      <c r="C298" s="124"/>
      <c r="D298" s="124"/>
      <c r="E298" s="37" t="s">
        <v>246</v>
      </c>
      <c r="F298" s="36" t="s">
        <v>1793</v>
      </c>
      <c r="G298" s="75" t="s">
        <v>148</v>
      </c>
      <c r="H298" s="37" t="s">
        <v>131</v>
      </c>
      <c r="I298" s="37" t="s">
        <v>127</v>
      </c>
      <c r="J298" s="37" t="s">
        <v>127</v>
      </c>
      <c r="K298" s="37" t="s">
        <v>132</v>
      </c>
      <c r="L298" s="75" t="s">
        <v>282</v>
      </c>
      <c r="M298" s="37" t="s">
        <v>127</v>
      </c>
      <c r="N298" s="37" t="s">
        <v>127</v>
      </c>
      <c r="O298" s="76">
        <v>45225.541666666657</v>
      </c>
      <c r="P298" s="37" t="s">
        <v>1794</v>
      </c>
      <c r="Q298" s="37" t="s">
        <v>239</v>
      </c>
      <c r="R298" s="37" t="s">
        <v>426</v>
      </c>
      <c r="S298" s="37" t="s">
        <v>127</v>
      </c>
      <c r="T298" s="37" t="s">
        <v>127</v>
      </c>
      <c r="U298" s="37" t="s">
        <v>136</v>
      </c>
      <c r="V298" s="37" t="b">
        <v>0</v>
      </c>
      <c r="W298" s="77" t="s">
        <v>127</v>
      </c>
      <c r="X298" s="123"/>
      <c r="Y298" s="37" t="s">
        <v>137</v>
      </c>
      <c r="Z298" s="83">
        <v>0.52600000000000002</v>
      </c>
      <c r="AA298" s="37">
        <v>69</v>
      </c>
      <c r="AB298" s="37" t="s">
        <v>306</v>
      </c>
      <c r="AC298" s="78">
        <v>4.0999999999999996</v>
      </c>
      <c r="AD298" s="78" t="s">
        <v>1795</v>
      </c>
      <c r="AE298" s="37" t="s">
        <v>127</v>
      </c>
      <c r="AF298" s="37">
        <v>23126</v>
      </c>
      <c r="AG298" s="37" t="s">
        <v>141</v>
      </c>
      <c r="AH298" s="37" t="b">
        <v>1</v>
      </c>
      <c r="AI298" s="76">
        <v>45259</v>
      </c>
      <c r="AJ298" s="77" t="s">
        <v>142</v>
      </c>
      <c r="AK298" s="37">
        <v>2023</v>
      </c>
      <c r="AL298" s="37" t="s">
        <v>127</v>
      </c>
      <c r="AM298" s="37" t="b">
        <v>0</v>
      </c>
      <c r="AN298" s="37" t="s">
        <v>127</v>
      </c>
      <c r="AO298" s="37" t="s">
        <v>127</v>
      </c>
      <c r="AP298" s="37" t="s">
        <v>137</v>
      </c>
      <c r="AQ298" s="37" t="b">
        <v>0</v>
      </c>
      <c r="AR298" s="37" t="s">
        <v>127</v>
      </c>
      <c r="AS298" s="76" t="s">
        <v>137</v>
      </c>
      <c r="AT298" s="37" t="s">
        <v>127</v>
      </c>
      <c r="AU298" s="37" t="s">
        <v>127</v>
      </c>
      <c r="AV298" s="37" t="s">
        <v>137</v>
      </c>
      <c r="AW298" s="37" t="s">
        <v>137</v>
      </c>
      <c r="AX298" s="37" t="s">
        <v>161</v>
      </c>
      <c r="AY298" s="76" t="s">
        <v>127</v>
      </c>
      <c r="AZ298" s="77" t="s">
        <v>127</v>
      </c>
      <c r="BA298" s="37" t="s">
        <v>127</v>
      </c>
      <c r="BB298" s="37" t="s">
        <v>154</v>
      </c>
      <c r="BC298" s="77" t="s">
        <v>127</v>
      </c>
      <c r="BD298" s="76">
        <v>46510</v>
      </c>
      <c r="BE298" s="76">
        <v>46387</v>
      </c>
      <c r="BF298" s="80">
        <v>46752</v>
      </c>
      <c r="BG298" s="39" t="s">
        <v>127</v>
      </c>
      <c r="BH298" s="37" t="s">
        <v>127</v>
      </c>
      <c r="BI298" s="40" t="b">
        <v>0</v>
      </c>
      <c r="BJ298" s="40">
        <v>3962</v>
      </c>
      <c r="BK298" s="37" t="s">
        <v>127</v>
      </c>
      <c r="BL298" s="41">
        <v>9671.6902418982609</v>
      </c>
      <c r="BM298" s="49">
        <v>0</v>
      </c>
      <c r="BN298" s="49">
        <v>0</v>
      </c>
      <c r="BO298" s="49">
        <v>0</v>
      </c>
      <c r="BP298" s="49">
        <v>0</v>
      </c>
      <c r="BQ298" s="50">
        <v>4.6625759180000008</v>
      </c>
      <c r="BR298" s="50">
        <v>686.83015448416438</v>
      </c>
      <c r="BS298" s="50">
        <v>2927.3015572823861</v>
      </c>
      <c r="BT298" s="50">
        <v>6052.8959542137127</v>
      </c>
      <c r="BU298" s="50">
        <v>0</v>
      </c>
      <c r="BV298" s="50">
        <v>0</v>
      </c>
      <c r="BW298" s="50">
        <v>19.51857</v>
      </c>
      <c r="BX298" s="37" t="s">
        <v>127</v>
      </c>
      <c r="BY298" s="37" t="s">
        <v>127</v>
      </c>
      <c r="BZ298" s="37" t="s">
        <v>127</v>
      </c>
      <c r="CA298" s="41">
        <v>0</v>
      </c>
      <c r="CB298" s="41">
        <v>0</v>
      </c>
      <c r="CC298" s="41">
        <v>0</v>
      </c>
      <c r="CD298" s="41">
        <v>0</v>
      </c>
      <c r="CE298" s="41">
        <v>0</v>
      </c>
      <c r="CF298" s="41">
        <v>0</v>
      </c>
      <c r="CG298" s="45">
        <v>0</v>
      </c>
      <c r="CH298" s="45" t="s">
        <v>137</v>
      </c>
      <c r="CI298" s="37" t="s">
        <v>1796</v>
      </c>
      <c r="CJ298" s="77" t="s">
        <v>127</v>
      </c>
      <c r="CK298" s="98">
        <v>0</v>
      </c>
      <c r="CL298" s="98">
        <v>1</v>
      </c>
      <c r="CM298" s="100" t="s">
        <v>1797</v>
      </c>
    </row>
    <row r="299" spans="1:91" ht="12.75" customHeight="1" x14ac:dyDescent="0.3">
      <c r="A299" s="37">
        <v>297</v>
      </c>
      <c r="B299" s="37" t="s">
        <v>1798</v>
      </c>
      <c r="C299" s="124"/>
      <c r="D299" s="124"/>
      <c r="E299" s="37" t="s">
        <v>1799</v>
      </c>
      <c r="F299" s="36" t="s">
        <v>1798</v>
      </c>
      <c r="G299" s="75" t="s">
        <v>129</v>
      </c>
      <c r="H299" s="37" t="s">
        <v>227</v>
      </c>
      <c r="I299" s="37" t="s">
        <v>131</v>
      </c>
      <c r="J299" s="37" t="s">
        <v>127</v>
      </c>
      <c r="K299" s="37" t="s">
        <v>132</v>
      </c>
      <c r="L299" s="75" t="s">
        <v>133</v>
      </c>
      <c r="M299" s="37" t="s">
        <v>384</v>
      </c>
      <c r="N299" s="37" t="s">
        <v>127</v>
      </c>
      <c r="O299" s="76" t="s">
        <v>127</v>
      </c>
      <c r="P299" s="37" t="s">
        <v>135</v>
      </c>
      <c r="Q299" s="37" t="s">
        <v>168</v>
      </c>
      <c r="R299" s="37" t="s">
        <v>1478</v>
      </c>
      <c r="S299" s="37" t="s">
        <v>127</v>
      </c>
      <c r="T299" s="37" t="s">
        <v>315</v>
      </c>
      <c r="U299" s="37" t="s">
        <v>235</v>
      </c>
      <c r="V299" s="37" t="b">
        <v>0</v>
      </c>
      <c r="W299" s="77" t="s">
        <v>127</v>
      </c>
      <c r="X299" s="123"/>
      <c r="Y299" s="83">
        <v>27.8</v>
      </c>
      <c r="Z299" s="37" t="s">
        <v>127</v>
      </c>
      <c r="AA299" s="37">
        <v>230</v>
      </c>
      <c r="AB299" s="37" t="s">
        <v>127</v>
      </c>
      <c r="AC299" s="78">
        <v>2.1</v>
      </c>
      <c r="AD299" s="78">
        <v>5637915</v>
      </c>
      <c r="AE299" s="37" t="s">
        <v>1800</v>
      </c>
      <c r="AF299" s="37">
        <v>23127</v>
      </c>
      <c r="AG299" s="37" t="s">
        <v>141</v>
      </c>
      <c r="AH299" s="37" t="b">
        <v>1</v>
      </c>
      <c r="AI299" s="76" t="s">
        <v>127</v>
      </c>
      <c r="AJ299" s="77" t="s">
        <v>142</v>
      </c>
      <c r="AK299" s="37">
        <v>2023</v>
      </c>
      <c r="AL299" s="37">
        <v>2023</v>
      </c>
      <c r="AM299" s="37" t="b">
        <v>0</v>
      </c>
      <c r="AN299" s="37" t="s">
        <v>364</v>
      </c>
      <c r="AO299" s="37" t="s">
        <v>127</v>
      </c>
      <c r="AP299" s="37" t="s">
        <v>1801</v>
      </c>
      <c r="AQ299" s="37" t="b">
        <v>0</v>
      </c>
      <c r="AR299" s="37" t="s">
        <v>532</v>
      </c>
      <c r="AS299" s="76" t="s">
        <v>127</v>
      </c>
      <c r="AT299" s="37" t="s">
        <v>127</v>
      </c>
      <c r="AU299" s="37" t="s">
        <v>127</v>
      </c>
      <c r="AV299" s="37" t="s">
        <v>933</v>
      </c>
      <c r="AW299" s="37" t="s">
        <v>127</v>
      </c>
      <c r="AX299" s="37" t="s">
        <v>127</v>
      </c>
      <c r="AY299" s="37" t="s">
        <v>127</v>
      </c>
      <c r="AZ299" s="37" t="s">
        <v>127</v>
      </c>
      <c r="BA299" s="37" t="s">
        <v>127</v>
      </c>
      <c r="BB299" s="37" t="s">
        <v>154</v>
      </c>
      <c r="BC299" s="77" t="s">
        <v>127</v>
      </c>
      <c r="BD299" s="76" t="s">
        <v>127</v>
      </c>
      <c r="BE299" s="76">
        <v>2032</v>
      </c>
      <c r="BF299" s="37" t="s">
        <v>127</v>
      </c>
      <c r="BG299" s="39" t="s">
        <v>127</v>
      </c>
      <c r="BH299" s="37" t="s">
        <v>127</v>
      </c>
      <c r="BI299" s="40" t="b">
        <v>0</v>
      </c>
      <c r="BJ299" s="40">
        <v>35000</v>
      </c>
      <c r="BK299" s="37" t="s">
        <v>127</v>
      </c>
      <c r="BL299" s="41">
        <v>560104.77307017916</v>
      </c>
      <c r="BM299" s="49">
        <v>0</v>
      </c>
      <c r="BN299" s="49">
        <v>0</v>
      </c>
      <c r="BO299" s="49">
        <v>0</v>
      </c>
      <c r="BP299" s="49">
        <v>0</v>
      </c>
      <c r="BQ299" s="50">
        <v>0</v>
      </c>
      <c r="BR299" s="50">
        <v>795.3969215497217</v>
      </c>
      <c r="BS299" s="50">
        <v>2140.2539226612771</v>
      </c>
      <c r="BT299" s="50">
        <v>3339.5286355724247</v>
      </c>
      <c r="BU299" s="50">
        <v>124362.54942503544</v>
      </c>
      <c r="BV299" s="50">
        <v>133552.40906383019</v>
      </c>
      <c r="BW299" s="50">
        <v>31.81945</v>
      </c>
      <c r="BX299" s="37" t="s">
        <v>127</v>
      </c>
      <c r="BY299" s="37" t="s">
        <v>127</v>
      </c>
      <c r="BZ299" s="37" t="s">
        <v>127</v>
      </c>
      <c r="CA299" s="41">
        <v>0</v>
      </c>
      <c r="CB299" s="41">
        <v>0</v>
      </c>
      <c r="CC299" s="41">
        <v>0</v>
      </c>
      <c r="CD299" s="41">
        <v>0</v>
      </c>
      <c r="CE299" s="41">
        <v>0</v>
      </c>
      <c r="CF299" s="41">
        <v>0</v>
      </c>
      <c r="CG299" s="45">
        <v>0</v>
      </c>
      <c r="CH299" s="45" t="s">
        <v>127</v>
      </c>
      <c r="CI299" s="37" t="s">
        <v>127</v>
      </c>
      <c r="CJ299" s="77" t="s">
        <v>127</v>
      </c>
      <c r="CK299" s="98">
        <v>1</v>
      </c>
      <c r="CL299" s="98">
        <v>0</v>
      </c>
      <c r="CM299" s="100" t="s">
        <v>1802</v>
      </c>
    </row>
    <row r="300" spans="1:91" ht="12.75" customHeight="1" x14ac:dyDescent="0.3">
      <c r="A300" s="37">
        <v>298</v>
      </c>
      <c r="B300" s="37" t="s">
        <v>1803</v>
      </c>
      <c r="C300" s="124"/>
      <c r="D300" s="124"/>
      <c r="E300" s="37" t="s">
        <v>800</v>
      </c>
      <c r="F300" s="36" t="s">
        <v>1804</v>
      </c>
      <c r="G300" s="81" t="s">
        <v>1256</v>
      </c>
      <c r="H300" s="37" t="s">
        <v>131</v>
      </c>
      <c r="I300" s="37" t="s">
        <v>127</v>
      </c>
      <c r="J300" s="37" t="s">
        <v>127</v>
      </c>
      <c r="K300" s="37" t="s">
        <v>132</v>
      </c>
      <c r="L300" s="75" t="s">
        <v>282</v>
      </c>
      <c r="M300" s="37" t="s">
        <v>127</v>
      </c>
      <c r="N300" s="37" t="s">
        <v>127</v>
      </c>
      <c r="O300" s="80">
        <v>44237</v>
      </c>
      <c r="P300" s="37" t="s">
        <v>135</v>
      </c>
      <c r="Q300" s="37" t="s">
        <v>127</v>
      </c>
      <c r="R300" s="37" t="s">
        <v>127</v>
      </c>
      <c r="S300" s="37" t="s">
        <v>127</v>
      </c>
      <c r="T300" s="37" t="s">
        <v>127</v>
      </c>
      <c r="U300" s="37" t="s">
        <v>136</v>
      </c>
      <c r="V300" s="37" t="b">
        <v>0</v>
      </c>
      <c r="W300" s="37" t="s">
        <v>127</v>
      </c>
      <c r="X300" s="123"/>
      <c r="Y300" s="37">
        <v>0.63</v>
      </c>
      <c r="Z300" s="37" t="s">
        <v>137</v>
      </c>
      <c r="AA300" s="37">
        <v>69</v>
      </c>
      <c r="AB300" s="37" t="s">
        <v>127</v>
      </c>
      <c r="AC300" s="78">
        <v>4.0999999999999996</v>
      </c>
      <c r="AD300" s="78">
        <v>2657707</v>
      </c>
      <c r="AE300" s="37" t="s">
        <v>1805</v>
      </c>
      <c r="AF300" s="37">
        <v>24125</v>
      </c>
      <c r="AG300" s="37" t="s">
        <v>127</v>
      </c>
      <c r="AH300" s="37" t="b">
        <v>1</v>
      </c>
      <c r="AI300" s="76">
        <v>45307</v>
      </c>
      <c r="AJ300" s="77" t="s">
        <v>142</v>
      </c>
      <c r="AK300" s="37" t="s">
        <v>127</v>
      </c>
      <c r="AL300" s="37" t="s">
        <v>127</v>
      </c>
      <c r="AM300" s="37" t="b">
        <v>0</v>
      </c>
      <c r="AN300" s="37" t="s">
        <v>127</v>
      </c>
      <c r="AO300" s="37" t="s">
        <v>127</v>
      </c>
      <c r="AP300" s="37" t="s">
        <v>127</v>
      </c>
      <c r="AQ300" s="37" t="b">
        <v>0</v>
      </c>
      <c r="AR300" s="37" t="s">
        <v>127</v>
      </c>
      <c r="AS300" s="37" t="s">
        <v>127</v>
      </c>
      <c r="AT300" s="37" t="s">
        <v>127</v>
      </c>
      <c r="AU300" s="37" t="s">
        <v>127</v>
      </c>
      <c r="AV300" s="37" t="s">
        <v>127</v>
      </c>
      <c r="AW300" s="37" t="s">
        <v>127</v>
      </c>
      <c r="AX300" s="37" t="s">
        <v>161</v>
      </c>
      <c r="AY300" s="37" t="s">
        <v>127</v>
      </c>
      <c r="AZ300" s="37" t="s">
        <v>127</v>
      </c>
      <c r="BA300" s="37" t="s">
        <v>127</v>
      </c>
      <c r="BB300" s="37" t="s">
        <v>812</v>
      </c>
      <c r="BC300" s="77" t="s">
        <v>127</v>
      </c>
      <c r="BD300" s="76" t="s">
        <v>1806</v>
      </c>
      <c r="BE300" s="37" t="s">
        <v>127</v>
      </c>
      <c r="BF300" s="86" t="s">
        <v>1807</v>
      </c>
      <c r="BG300" s="39" t="s">
        <v>127</v>
      </c>
      <c r="BH300" s="37" t="s">
        <v>127</v>
      </c>
      <c r="BI300" s="40" t="b">
        <v>1</v>
      </c>
      <c r="BJ300" s="40">
        <v>6625.1660000000002</v>
      </c>
      <c r="BK300" s="37" t="s">
        <v>127</v>
      </c>
      <c r="BL300" s="41">
        <v>6625.166000000002</v>
      </c>
      <c r="BM300" s="41">
        <v>0</v>
      </c>
      <c r="BN300" s="41">
        <v>0</v>
      </c>
      <c r="BO300" s="41">
        <v>0</v>
      </c>
      <c r="BP300" s="41">
        <v>0</v>
      </c>
      <c r="BQ300" s="41">
        <v>0</v>
      </c>
      <c r="BR300" s="41">
        <v>6625.166000000002</v>
      </c>
      <c r="BS300" s="41">
        <v>0</v>
      </c>
      <c r="BT300" s="41">
        <v>0</v>
      </c>
      <c r="BU300" s="41">
        <v>0</v>
      </c>
      <c r="BV300" s="41">
        <v>0</v>
      </c>
      <c r="BW300" s="49">
        <v>0</v>
      </c>
      <c r="BX300" s="37" t="s">
        <v>127</v>
      </c>
      <c r="BY300" s="37" t="s">
        <v>127</v>
      </c>
      <c r="BZ300" s="37" t="s">
        <v>173</v>
      </c>
      <c r="CA300" s="41">
        <v>0</v>
      </c>
      <c r="CB300" s="41">
        <v>0</v>
      </c>
      <c r="CC300" s="41">
        <v>0</v>
      </c>
      <c r="CD300" s="41">
        <v>0</v>
      </c>
      <c r="CE300" s="41">
        <v>0</v>
      </c>
      <c r="CF300" s="41">
        <v>6569.5668500000002</v>
      </c>
      <c r="CG300" s="45">
        <v>0</v>
      </c>
      <c r="CH300" s="45" t="s">
        <v>137</v>
      </c>
      <c r="CI300" s="37" t="s">
        <v>127</v>
      </c>
      <c r="CJ300" s="77" t="s">
        <v>127</v>
      </c>
      <c r="CK300" s="98">
        <v>0</v>
      </c>
      <c r="CL300" s="98">
        <v>1</v>
      </c>
      <c r="CM300" s="100" t="s">
        <v>1808</v>
      </c>
    </row>
    <row r="301" spans="1:91" ht="12.75" customHeight="1" x14ac:dyDescent="0.3">
      <c r="A301" s="37">
        <v>299</v>
      </c>
      <c r="B301" s="37" t="s">
        <v>1809</v>
      </c>
      <c r="C301" s="124"/>
      <c r="D301" s="124"/>
      <c r="E301" s="37" t="s">
        <v>258</v>
      </c>
      <c r="F301" s="36" t="s">
        <v>1810</v>
      </c>
      <c r="G301" s="81" t="s">
        <v>1332</v>
      </c>
      <c r="H301" s="38" t="s">
        <v>227</v>
      </c>
      <c r="I301" s="38" t="s">
        <v>127</v>
      </c>
      <c r="J301" s="38" t="s">
        <v>127</v>
      </c>
      <c r="K301" s="38" t="s">
        <v>1234</v>
      </c>
      <c r="L301" s="81" t="s">
        <v>1333</v>
      </c>
      <c r="M301" s="38" t="s">
        <v>1049</v>
      </c>
      <c r="N301" s="38" t="s">
        <v>127</v>
      </c>
      <c r="O301" s="80">
        <v>44237</v>
      </c>
      <c r="P301" s="37" t="s">
        <v>127</v>
      </c>
      <c r="Q301" s="37" t="s">
        <v>168</v>
      </c>
      <c r="R301" s="37" t="s">
        <v>127</v>
      </c>
      <c r="S301" s="37" t="s">
        <v>1811</v>
      </c>
      <c r="T301" s="37" t="s">
        <v>127</v>
      </c>
      <c r="U301" s="37" t="s">
        <v>981</v>
      </c>
      <c r="V301" s="37" t="b">
        <v>0</v>
      </c>
      <c r="W301" s="37" t="s">
        <v>127</v>
      </c>
      <c r="X301" s="123"/>
      <c r="Y301" s="37" t="s">
        <v>137</v>
      </c>
      <c r="Z301" s="37">
        <v>13.94</v>
      </c>
      <c r="AA301" s="37">
        <v>230</v>
      </c>
      <c r="AB301" s="37">
        <v>230</v>
      </c>
      <c r="AC301" s="78">
        <v>2.1</v>
      </c>
      <c r="AD301" s="78">
        <v>2732247</v>
      </c>
      <c r="AE301" s="37" t="s">
        <v>1812</v>
      </c>
      <c r="AF301" s="37">
        <v>24126</v>
      </c>
      <c r="AG301" s="37" t="s">
        <v>127</v>
      </c>
      <c r="AH301" s="37" t="b">
        <v>1</v>
      </c>
      <c r="AI301" s="76">
        <v>45337</v>
      </c>
      <c r="AJ301" s="77" t="s">
        <v>142</v>
      </c>
      <c r="AK301" s="37" t="s">
        <v>127</v>
      </c>
      <c r="AL301" s="37">
        <v>2023</v>
      </c>
      <c r="AM301" s="37" t="b">
        <v>0</v>
      </c>
      <c r="AN301" s="37" t="s">
        <v>364</v>
      </c>
      <c r="AO301" s="37">
        <v>2023</v>
      </c>
      <c r="AP301" s="37" t="s">
        <v>1801</v>
      </c>
      <c r="AQ301" s="37" t="b">
        <v>1</v>
      </c>
      <c r="AR301" s="37" t="s">
        <v>127</v>
      </c>
      <c r="AS301" s="37" t="s">
        <v>127</v>
      </c>
      <c r="AT301" s="37" t="s">
        <v>127</v>
      </c>
      <c r="AU301" s="37" t="s">
        <v>127</v>
      </c>
      <c r="AV301" s="37" t="s">
        <v>127</v>
      </c>
      <c r="AW301" s="37" t="s">
        <v>127</v>
      </c>
      <c r="AX301" s="37" t="s">
        <v>127</v>
      </c>
      <c r="AY301" s="37" t="s">
        <v>127</v>
      </c>
      <c r="AZ301" s="37" t="s">
        <v>127</v>
      </c>
      <c r="BA301" s="37" t="s">
        <v>127</v>
      </c>
      <c r="BB301" s="37" t="s">
        <v>127</v>
      </c>
      <c r="BC301" s="77" t="s">
        <v>127</v>
      </c>
      <c r="BD301" s="76" t="s">
        <v>127</v>
      </c>
      <c r="BE301" s="76">
        <v>45078</v>
      </c>
      <c r="BF301" s="37" t="s">
        <v>127</v>
      </c>
      <c r="BG301" s="39" t="s">
        <v>127</v>
      </c>
      <c r="BH301" s="39" t="s">
        <v>127</v>
      </c>
      <c r="BI301" s="40" t="b">
        <v>0</v>
      </c>
      <c r="BJ301" s="40">
        <v>7290</v>
      </c>
      <c r="BK301" s="37" t="s">
        <v>127</v>
      </c>
      <c r="BL301" s="41">
        <v>7290.4140068268734</v>
      </c>
      <c r="BM301" s="41">
        <v>0</v>
      </c>
      <c r="BN301" s="41">
        <v>0</v>
      </c>
      <c r="BO301" s="41">
        <v>0</v>
      </c>
      <c r="BP301" s="41">
        <v>0</v>
      </c>
      <c r="BQ301" s="41">
        <v>0</v>
      </c>
      <c r="BR301" s="41">
        <v>178.68422101693182</v>
      </c>
      <c r="BS301" s="41">
        <v>1080.0195221637143</v>
      </c>
      <c r="BT301" s="41">
        <v>1935.4723576044403</v>
      </c>
      <c r="BU301" s="41">
        <v>1258.2282118419128</v>
      </c>
      <c r="BV301" s="41">
        <v>643.24353992865485</v>
      </c>
      <c r="BW301" s="49">
        <v>0</v>
      </c>
      <c r="BX301" s="37" t="s">
        <v>127</v>
      </c>
      <c r="BY301" s="37" t="s">
        <v>127</v>
      </c>
      <c r="BZ301" s="37" t="s">
        <v>127</v>
      </c>
      <c r="CA301" s="41">
        <v>0</v>
      </c>
      <c r="CB301" s="41">
        <v>0</v>
      </c>
      <c r="CC301" s="41">
        <v>0</v>
      </c>
      <c r="CD301" s="41">
        <v>0</v>
      </c>
      <c r="CE301" s="41">
        <v>0</v>
      </c>
      <c r="CF301" s="41">
        <v>0</v>
      </c>
      <c r="CG301" s="45">
        <v>0</v>
      </c>
      <c r="CH301" s="45" t="s">
        <v>137</v>
      </c>
      <c r="CI301" s="37" t="s">
        <v>127</v>
      </c>
      <c r="CJ301" s="77" t="s">
        <v>127</v>
      </c>
      <c r="CK301" s="98">
        <v>1</v>
      </c>
      <c r="CL301" s="98">
        <v>0</v>
      </c>
      <c r="CM301" s="100" t="s">
        <v>1813</v>
      </c>
    </row>
    <row r="302" spans="1:91" ht="12.75" customHeight="1" x14ac:dyDescent="0.3">
      <c r="A302" s="37">
        <v>300</v>
      </c>
      <c r="B302" s="37" t="s">
        <v>1814</v>
      </c>
      <c r="C302" s="124"/>
      <c r="D302" s="124"/>
      <c r="E302" s="37" t="s">
        <v>1815</v>
      </c>
      <c r="F302" s="36" t="s">
        <v>1816</v>
      </c>
      <c r="G302" s="81" t="s">
        <v>129</v>
      </c>
      <c r="H302" s="38" t="s">
        <v>1094</v>
      </c>
      <c r="I302" s="38" t="s">
        <v>127</v>
      </c>
      <c r="J302" s="38" t="s">
        <v>127</v>
      </c>
      <c r="K302" s="38" t="s">
        <v>1234</v>
      </c>
      <c r="L302" s="81" t="s">
        <v>133</v>
      </c>
      <c r="M302" s="38" t="s">
        <v>1049</v>
      </c>
      <c r="N302" s="38" t="s">
        <v>127</v>
      </c>
      <c r="O302" s="80">
        <v>44237</v>
      </c>
      <c r="P302" s="37">
        <v>33</v>
      </c>
      <c r="Q302" s="37" t="s">
        <v>168</v>
      </c>
      <c r="R302" s="37" t="s">
        <v>127</v>
      </c>
      <c r="S302" s="37" t="s">
        <v>1817</v>
      </c>
      <c r="T302" s="37" t="s">
        <v>127</v>
      </c>
      <c r="U302" s="37" t="s">
        <v>981</v>
      </c>
      <c r="V302" s="37" t="b">
        <v>0</v>
      </c>
      <c r="W302" s="37" t="s">
        <v>127</v>
      </c>
      <c r="X302" s="123"/>
      <c r="Y302" s="37">
        <v>2</v>
      </c>
      <c r="Z302" s="37" t="s">
        <v>137</v>
      </c>
      <c r="AA302" s="37" t="s">
        <v>1818</v>
      </c>
      <c r="AB302" s="37" t="s">
        <v>127</v>
      </c>
      <c r="AC302" s="78">
        <v>2.1</v>
      </c>
      <c r="AD302" s="78">
        <v>2642984</v>
      </c>
      <c r="AE302" s="37" t="s">
        <v>1819</v>
      </c>
      <c r="AF302" s="37">
        <v>24127</v>
      </c>
      <c r="AG302" s="37" t="s">
        <v>127</v>
      </c>
      <c r="AH302" s="37" t="b">
        <v>1</v>
      </c>
      <c r="AI302" s="76">
        <v>45337</v>
      </c>
      <c r="AJ302" s="77" t="s">
        <v>142</v>
      </c>
      <c r="AK302" s="37" t="s">
        <v>127</v>
      </c>
      <c r="AL302" s="37">
        <v>2023</v>
      </c>
      <c r="AM302" s="37" t="b">
        <v>0</v>
      </c>
      <c r="AN302" s="37" t="s">
        <v>364</v>
      </c>
      <c r="AO302" s="37">
        <v>2023</v>
      </c>
      <c r="AP302" s="37" t="s">
        <v>1801</v>
      </c>
      <c r="AQ302" s="37" t="b">
        <v>0</v>
      </c>
      <c r="AR302" s="37" t="s">
        <v>127</v>
      </c>
      <c r="AS302" s="37" t="s">
        <v>127</v>
      </c>
      <c r="AT302" s="37" t="s">
        <v>127</v>
      </c>
      <c r="AU302" s="37" t="s">
        <v>127</v>
      </c>
      <c r="AV302" s="37" t="s">
        <v>127</v>
      </c>
      <c r="AW302" s="37" t="s">
        <v>127</v>
      </c>
      <c r="AX302" s="37" t="s">
        <v>127</v>
      </c>
      <c r="AY302" s="37" t="s">
        <v>127</v>
      </c>
      <c r="AZ302" s="37" t="s">
        <v>127</v>
      </c>
      <c r="BA302" s="37" t="s">
        <v>127</v>
      </c>
      <c r="BB302" s="37" t="s">
        <v>127</v>
      </c>
      <c r="BC302" s="77" t="s">
        <v>127</v>
      </c>
      <c r="BD302" s="76" t="s">
        <v>127</v>
      </c>
      <c r="BE302" s="76">
        <v>45078</v>
      </c>
      <c r="BF302" s="37" t="s">
        <v>127</v>
      </c>
      <c r="BG302" s="39" t="s">
        <v>127</v>
      </c>
      <c r="BH302" s="39" t="s">
        <v>127</v>
      </c>
      <c r="BI302" s="40" t="b">
        <v>0</v>
      </c>
      <c r="BJ302" s="40">
        <v>17942</v>
      </c>
      <c r="BK302" s="37" t="s">
        <v>127</v>
      </c>
      <c r="BL302" s="41">
        <v>17941.913709854016</v>
      </c>
      <c r="BM302" s="41">
        <v>0</v>
      </c>
      <c r="BN302" s="41">
        <v>0</v>
      </c>
      <c r="BO302" s="41">
        <v>0</v>
      </c>
      <c r="BP302" s="41">
        <v>0</v>
      </c>
      <c r="BQ302" s="41">
        <v>0</v>
      </c>
      <c r="BR302" s="41">
        <v>412.31447298579371</v>
      </c>
      <c r="BS302" s="41">
        <v>1232.4528650246618</v>
      </c>
      <c r="BT302" s="41">
        <v>1729.3519411457855</v>
      </c>
      <c r="BU302" s="41">
        <v>1880.9775440663493</v>
      </c>
      <c r="BV302" s="41">
        <v>2046.5089168806805</v>
      </c>
      <c r="BW302" s="49">
        <v>0</v>
      </c>
      <c r="BX302" s="37" t="s">
        <v>127</v>
      </c>
      <c r="BY302" s="37" t="s">
        <v>127</v>
      </c>
      <c r="BZ302" s="37" t="s">
        <v>127</v>
      </c>
      <c r="CA302" s="41">
        <v>0</v>
      </c>
      <c r="CB302" s="41">
        <v>0</v>
      </c>
      <c r="CC302" s="41">
        <v>0</v>
      </c>
      <c r="CD302" s="41">
        <v>0</v>
      </c>
      <c r="CE302" s="41">
        <v>0</v>
      </c>
      <c r="CF302" s="41">
        <v>0</v>
      </c>
      <c r="CG302" s="45">
        <v>0</v>
      </c>
      <c r="CH302" s="45" t="s">
        <v>137</v>
      </c>
      <c r="CI302" s="37" t="s">
        <v>127</v>
      </c>
      <c r="CJ302" s="77" t="s">
        <v>127</v>
      </c>
      <c r="CK302" s="98" t="s">
        <v>127</v>
      </c>
      <c r="CL302" s="98" t="s">
        <v>127</v>
      </c>
      <c r="CM302" s="100" t="s">
        <v>1813</v>
      </c>
    </row>
    <row r="303" spans="1:91" ht="12.75" customHeight="1" x14ac:dyDescent="0.3">
      <c r="A303" s="37">
        <v>301</v>
      </c>
      <c r="B303" s="37" t="s">
        <v>1820</v>
      </c>
      <c r="C303" s="123"/>
      <c r="D303" s="123"/>
      <c r="E303" s="37" t="s">
        <v>246</v>
      </c>
      <c r="F303" s="36" t="s">
        <v>1821</v>
      </c>
      <c r="G303" s="81" t="s">
        <v>1256</v>
      </c>
      <c r="H303" s="37" t="s">
        <v>131</v>
      </c>
      <c r="I303" s="37" t="s">
        <v>127</v>
      </c>
      <c r="J303" s="37" t="s">
        <v>127</v>
      </c>
      <c r="K303" s="37" t="s">
        <v>132</v>
      </c>
      <c r="L303" s="75" t="s">
        <v>282</v>
      </c>
      <c r="M303" s="37" t="s">
        <v>127</v>
      </c>
      <c r="N303" s="37" t="s">
        <v>127</v>
      </c>
      <c r="O303" s="80" t="s">
        <v>127</v>
      </c>
      <c r="P303" s="37" t="s">
        <v>135</v>
      </c>
      <c r="Q303" s="37" t="s">
        <v>127</v>
      </c>
      <c r="R303" s="37" t="s">
        <v>127</v>
      </c>
      <c r="S303" s="37" t="s">
        <v>127</v>
      </c>
      <c r="T303" s="37" t="s">
        <v>127</v>
      </c>
      <c r="U303" s="37" t="s">
        <v>136</v>
      </c>
      <c r="V303" s="37" t="b">
        <v>0</v>
      </c>
      <c r="W303" s="37" t="s">
        <v>127</v>
      </c>
      <c r="X303" s="123"/>
      <c r="Y303" s="37">
        <v>23</v>
      </c>
      <c r="Z303" s="37" t="s">
        <v>137</v>
      </c>
      <c r="AA303" s="37">
        <v>69</v>
      </c>
      <c r="AB303" s="37" t="s">
        <v>127</v>
      </c>
      <c r="AC303" s="78">
        <v>4.0999999999999996</v>
      </c>
      <c r="AD303" s="78">
        <v>2478618</v>
      </c>
      <c r="AE303" s="37" t="s">
        <v>1822</v>
      </c>
      <c r="AF303" s="37">
        <v>24129</v>
      </c>
      <c r="AG303" s="37" t="s">
        <v>127</v>
      </c>
      <c r="AH303" s="37" t="b">
        <v>1</v>
      </c>
      <c r="AI303" s="76">
        <v>45441</v>
      </c>
      <c r="AJ303" s="77" t="s">
        <v>142</v>
      </c>
      <c r="AK303" s="37" t="s">
        <v>127</v>
      </c>
      <c r="AL303" s="37" t="s">
        <v>127</v>
      </c>
      <c r="AM303" s="37" t="b">
        <v>0</v>
      </c>
      <c r="AN303" s="37" t="s">
        <v>127</v>
      </c>
      <c r="AO303" s="37" t="s">
        <v>127</v>
      </c>
      <c r="AP303" s="37" t="s">
        <v>127</v>
      </c>
      <c r="AQ303" s="37" t="b">
        <v>0</v>
      </c>
      <c r="AR303" s="37" t="s">
        <v>127</v>
      </c>
      <c r="AS303" s="37" t="s">
        <v>127</v>
      </c>
      <c r="AT303" s="37" t="s">
        <v>127</v>
      </c>
      <c r="AU303" s="37" t="s">
        <v>127</v>
      </c>
      <c r="AV303" s="37" t="s">
        <v>127</v>
      </c>
      <c r="AW303" s="37" t="s">
        <v>127</v>
      </c>
      <c r="AX303" s="37" t="s">
        <v>127</v>
      </c>
      <c r="AY303" s="37" t="s">
        <v>127</v>
      </c>
      <c r="AZ303" s="37" t="s">
        <v>127</v>
      </c>
      <c r="BA303" s="37" t="s">
        <v>127</v>
      </c>
      <c r="BB303" s="37" t="s">
        <v>127</v>
      </c>
      <c r="BC303" s="77" t="s">
        <v>127</v>
      </c>
      <c r="BD303" s="76" t="s">
        <v>127</v>
      </c>
      <c r="BE303" s="37" t="s">
        <v>127</v>
      </c>
      <c r="BF303" s="37" t="s">
        <v>127</v>
      </c>
      <c r="BG303" s="39" t="s">
        <v>127</v>
      </c>
      <c r="BH303" s="37" t="s">
        <v>127</v>
      </c>
      <c r="BI303" s="40" t="b">
        <v>0</v>
      </c>
      <c r="BJ303" s="41">
        <v>134697.32191</v>
      </c>
      <c r="BK303" s="37" t="s">
        <v>137</v>
      </c>
      <c r="BL303" s="41">
        <v>134697.32191006601</v>
      </c>
      <c r="BM303" s="41">
        <v>0</v>
      </c>
      <c r="BN303" s="41">
        <v>0</v>
      </c>
      <c r="BO303" s="41">
        <v>0</v>
      </c>
      <c r="BP303" s="41">
        <v>0</v>
      </c>
      <c r="BQ303" s="41">
        <v>0</v>
      </c>
      <c r="BR303" s="41">
        <v>25103.686470666384</v>
      </c>
      <c r="BS303" s="41">
        <v>20495.609830649151</v>
      </c>
      <c r="BT303" s="41">
        <v>20234.110629199356</v>
      </c>
      <c r="BU303" s="41">
        <v>22089.80571627583</v>
      </c>
      <c r="BV303" s="41">
        <v>24115.688874343192</v>
      </c>
      <c r="BW303" s="49">
        <v>0</v>
      </c>
      <c r="BX303" s="37" t="s">
        <v>127</v>
      </c>
      <c r="BY303" s="37" t="s">
        <v>127</v>
      </c>
      <c r="BZ303" s="37" t="s">
        <v>127</v>
      </c>
      <c r="CA303" s="41">
        <v>0</v>
      </c>
      <c r="CB303" s="41">
        <v>0</v>
      </c>
      <c r="CC303" s="41">
        <v>0</v>
      </c>
      <c r="CD303" s="41">
        <v>0</v>
      </c>
      <c r="CE303" s="41">
        <v>0</v>
      </c>
      <c r="CF303" s="41">
        <v>0</v>
      </c>
      <c r="CG303" s="45">
        <v>0</v>
      </c>
      <c r="CH303" s="45" t="s">
        <v>137</v>
      </c>
      <c r="CI303" s="83" t="s">
        <v>1823</v>
      </c>
      <c r="CJ303" s="77" t="s">
        <v>127</v>
      </c>
      <c r="CK303" s="98" t="s">
        <v>127</v>
      </c>
      <c r="CL303" s="98" t="s">
        <v>127</v>
      </c>
      <c r="CM303" s="100" t="s">
        <v>1824</v>
      </c>
    </row>
    <row r="304" spans="1:91" ht="12.75" customHeight="1" x14ac:dyDescent="0.3">
      <c r="A304" s="37">
        <v>302</v>
      </c>
      <c r="B304" s="37" t="s">
        <v>1825</v>
      </c>
      <c r="C304" s="123"/>
      <c r="D304" s="127"/>
      <c r="E304" s="77" t="s">
        <v>127</v>
      </c>
      <c r="F304" s="36" t="s">
        <v>1826</v>
      </c>
      <c r="G304" s="75" t="s">
        <v>148</v>
      </c>
      <c r="H304" s="37" t="s">
        <v>131</v>
      </c>
      <c r="I304" s="37" t="s">
        <v>127</v>
      </c>
      <c r="J304" s="37" t="s">
        <v>127</v>
      </c>
      <c r="K304" s="37" t="s">
        <v>132</v>
      </c>
      <c r="L304" s="75" t="s">
        <v>149</v>
      </c>
      <c r="M304" s="37" t="s">
        <v>127</v>
      </c>
      <c r="N304" s="37" t="s">
        <v>127</v>
      </c>
      <c r="O304" s="76" t="s">
        <v>127</v>
      </c>
      <c r="P304" s="37" t="s">
        <v>135</v>
      </c>
      <c r="Q304" s="37" t="s">
        <v>239</v>
      </c>
      <c r="R304" s="37" t="s">
        <v>127</v>
      </c>
      <c r="S304" s="37" t="s">
        <v>152</v>
      </c>
      <c r="T304" s="37" t="s">
        <v>127</v>
      </c>
      <c r="U304" s="37" t="s">
        <v>136</v>
      </c>
      <c r="V304" s="37" t="b">
        <v>0</v>
      </c>
      <c r="W304" s="77" t="s">
        <v>127</v>
      </c>
      <c r="X304" s="123"/>
      <c r="Y304" s="37" t="s">
        <v>137</v>
      </c>
      <c r="Z304" s="37" t="s">
        <v>137</v>
      </c>
      <c r="AA304" s="37" t="s">
        <v>153</v>
      </c>
      <c r="AB304" s="37" t="s">
        <v>127</v>
      </c>
      <c r="AC304" s="78">
        <v>4.0999999999999996</v>
      </c>
      <c r="AD304" s="78" t="s">
        <v>127</v>
      </c>
      <c r="AE304" s="37" t="s">
        <v>1436</v>
      </c>
      <c r="AF304" s="37" t="s">
        <v>1827</v>
      </c>
      <c r="AG304" s="37" t="s">
        <v>141</v>
      </c>
      <c r="AH304" s="37" t="b">
        <v>1</v>
      </c>
      <c r="AI304" s="76" t="s">
        <v>127</v>
      </c>
      <c r="AJ304" s="77" t="s">
        <v>142</v>
      </c>
      <c r="AK304" s="37" t="s">
        <v>127</v>
      </c>
      <c r="AL304" s="37" t="s">
        <v>127</v>
      </c>
      <c r="AM304" s="37" t="b">
        <v>0</v>
      </c>
      <c r="AN304" s="37" t="s">
        <v>127</v>
      </c>
      <c r="AO304" s="37" t="s">
        <v>127</v>
      </c>
      <c r="AP304" s="37" t="s">
        <v>137</v>
      </c>
      <c r="AQ304" s="37" t="b">
        <v>0</v>
      </c>
      <c r="AR304" s="37" t="s">
        <v>127</v>
      </c>
      <c r="AS304" s="76" t="s">
        <v>137</v>
      </c>
      <c r="AT304" s="37" t="s">
        <v>127</v>
      </c>
      <c r="AU304" s="37" t="s">
        <v>127</v>
      </c>
      <c r="AV304" s="37" t="s">
        <v>137</v>
      </c>
      <c r="AW304" s="37" t="s">
        <v>137</v>
      </c>
      <c r="AX304" s="37" t="s">
        <v>127</v>
      </c>
      <c r="AY304" s="76" t="s">
        <v>127</v>
      </c>
      <c r="AZ304" s="77" t="s">
        <v>127</v>
      </c>
      <c r="BA304" s="37" t="s">
        <v>127</v>
      </c>
      <c r="BB304" s="37" t="s">
        <v>154</v>
      </c>
      <c r="BC304" s="77" t="s">
        <v>127</v>
      </c>
      <c r="BD304" s="76" t="s">
        <v>127</v>
      </c>
      <c r="BE304" s="37" t="s">
        <v>137</v>
      </c>
      <c r="BF304" s="80" t="s">
        <v>127</v>
      </c>
      <c r="BG304" s="39" t="s">
        <v>127</v>
      </c>
      <c r="BH304" s="37" t="s">
        <v>127</v>
      </c>
      <c r="BI304" s="40" t="b">
        <v>0</v>
      </c>
      <c r="BJ304" s="40" t="s">
        <v>137</v>
      </c>
      <c r="BK304" s="37" t="s">
        <v>127</v>
      </c>
      <c r="BL304" s="41">
        <v>155682.41663374164</v>
      </c>
      <c r="BM304" s="49">
        <v>0</v>
      </c>
      <c r="BN304" s="49">
        <v>0</v>
      </c>
      <c r="BO304" s="51">
        <v>0</v>
      </c>
      <c r="BP304" s="41">
        <v>0</v>
      </c>
      <c r="BQ304" s="44">
        <v>0</v>
      </c>
      <c r="BR304" s="44">
        <v>0</v>
      </c>
      <c r="BS304" s="44">
        <v>11095.134190000001</v>
      </c>
      <c r="BT304" s="44">
        <v>41007.444230000001</v>
      </c>
      <c r="BU304" s="44">
        <v>48415.699769999999</v>
      </c>
      <c r="BV304" s="44">
        <v>26441.237850000001</v>
      </c>
      <c r="BW304" s="50">
        <v>0</v>
      </c>
      <c r="BX304" s="37" t="s">
        <v>127</v>
      </c>
      <c r="BY304" s="37" t="s">
        <v>127</v>
      </c>
      <c r="BZ304" s="37" t="s">
        <v>127</v>
      </c>
      <c r="CA304" s="41">
        <v>0</v>
      </c>
      <c r="CB304" s="41">
        <v>0</v>
      </c>
      <c r="CC304" s="41">
        <v>0</v>
      </c>
      <c r="CD304" s="41">
        <v>0</v>
      </c>
      <c r="CE304" s="41">
        <v>0</v>
      </c>
      <c r="CF304" s="41">
        <v>0</v>
      </c>
      <c r="CG304" s="45">
        <v>0</v>
      </c>
      <c r="CH304" s="45" t="s">
        <v>127</v>
      </c>
      <c r="CI304" s="37" t="s">
        <v>127</v>
      </c>
      <c r="CJ304" s="77" t="s">
        <v>127</v>
      </c>
      <c r="CK304" s="98" t="s">
        <v>127</v>
      </c>
      <c r="CL304" s="98" t="s">
        <v>127</v>
      </c>
      <c r="CM304" s="100" t="s">
        <v>1828</v>
      </c>
    </row>
    <row r="305" spans="1:91" ht="12.75" customHeight="1" x14ac:dyDescent="0.3">
      <c r="A305" s="37">
        <v>303</v>
      </c>
      <c r="B305" s="37" t="s">
        <v>1829</v>
      </c>
      <c r="C305" s="123"/>
      <c r="D305" s="123"/>
      <c r="E305" s="37" t="s">
        <v>127</v>
      </c>
      <c r="F305" s="36" t="s">
        <v>1830</v>
      </c>
      <c r="G305" s="81" t="s">
        <v>1831</v>
      </c>
      <c r="H305" s="38" t="s">
        <v>130</v>
      </c>
      <c r="I305" s="38" t="s">
        <v>127</v>
      </c>
      <c r="J305" s="38" t="s">
        <v>127</v>
      </c>
      <c r="K305" s="38" t="s">
        <v>269</v>
      </c>
      <c r="L305" s="81" t="s">
        <v>282</v>
      </c>
      <c r="M305" s="38" t="s">
        <v>127</v>
      </c>
      <c r="N305" s="38" t="s">
        <v>127</v>
      </c>
      <c r="O305" s="37" t="s">
        <v>127</v>
      </c>
      <c r="P305" s="37">
        <v>24</v>
      </c>
      <c r="Q305" s="37" t="s">
        <v>127</v>
      </c>
      <c r="R305" s="37" t="s">
        <v>127</v>
      </c>
      <c r="S305" s="37" t="s">
        <v>127</v>
      </c>
      <c r="T305" s="37" t="s">
        <v>127</v>
      </c>
      <c r="U305" s="37" t="s">
        <v>1832</v>
      </c>
      <c r="V305" s="37" t="b">
        <v>0</v>
      </c>
      <c r="W305" s="37" t="s">
        <v>127</v>
      </c>
      <c r="X305" s="123"/>
      <c r="Y305" s="37" t="s">
        <v>127</v>
      </c>
      <c r="Z305" s="37" t="s">
        <v>127</v>
      </c>
      <c r="AA305" s="37" t="s">
        <v>127</v>
      </c>
      <c r="AB305" s="37" t="s">
        <v>127</v>
      </c>
      <c r="AC305" s="78" t="s">
        <v>127</v>
      </c>
      <c r="AD305" s="78" t="s">
        <v>127</v>
      </c>
      <c r="AE305" s="37" t="s">
        <v>127</v>
      </c>
      <c r="AF305" s="37" t="s">
        <v>1833</v>
      </c>
      <c r="AG305" s="37" t="s">
        <v>127</v>
      </c>
      <c r="AH305" s="77" t="b">
        <v>1</v>
      </c>
      <c r="AI305" s="37" t="s">
        <v>127</v>
      </c>
      <c r="AJ305" s="77" t="s">
        <v>1834</v>
      </c>
      <c r="AK305" s="77" t="s">
        <v>127</v>
      </c>
      <c r="AL305" s="77" t="s">
        <v>127</v>
      </c>
      <c r="AM305" s="37" t="b">
        <v>0</v>
      </c>
      <c r="AN305" s="77" t="s">
        <v>127</v>
      </c>
      <c r="AO305" s="77" t="s">
        <v>127</v>
      </c>
      <c r="AP305" s="77" t="s">
        <v>127</v>
      </c>
      <c r="AQ305" s="37" t="b">
        <v>0</v>
      </c>
      <c r="AR305" s="37" t="s">
        <v>127</v>
      </c>
      <c r="AS305" s="37" t="s">
        <v>127</v>
      </c>
      <c r="AT305" s="37" t="s">
        <v>127</v>
      </c>
      <c r="AU305" s="37" t="s">
        <v>127</v>
      </c>
      <c r="AV305" s="37" t="s">
        <v>127</v>
      </c>
      <c r="AW305" s="37" t="s">
        <v>127</v>
      </c>
      <c r="AX305" s="77" t="s">
        <v>1835</v>
      </c>
      <c r="AY305" s="131">
        <v>42852</v>
      </c>
      <c r="AZ305" s="37" t="s">
        <v>973</v>
      </c>
      <c r="BA305" s="37">
        <v>2018</v>
      </c>
      <c r="BB305" s="37" t="s">
        <v>143</v>
      </c>
      <c r="BC305" s="77" t="s">
        <v>127</v>
      </c>
      <c r="BD305" s="77" t="s">
        <v>127</v>
      </c>
      <c r="BE305" s="76">
        <v>44197</v>
      </c>
      <c r="BF305" s="88">
        <v>44291</v>
      </c>
      <c r="BG305" s="37" t="s">
        <v>127</v>
      </c>
      <c r="BH305" s="37" t="s">
        <v>127</v>
      </c>
      <c r="BI305" s="40" t="b">
        <v>1</v>
      </c>
      <c r="BJ305" s="40" t="s">
        <v>137</v>
      </c>
      <c r="BK305" s="37" t="s">
        <v>127</v>
      </c>
      <c r="BL305" s="41">
        <v>30551.627442072913</v>
      </c>
      <c r="BM305" s="107">
        <v>8797.7180232495975</v>
      </c>
      <c r="BN305" s="41">
        <v>10359.538488812323</v>
      </c>
      <c r="BO305" s="41">
        <v>7032.2980266214199</v>
      </c>
      <c r="BP305" s="41">
        <v>2.6293739954400013</v>
      </c>
      <c r="BQ305" s="41">
        <v>0</v>
      </c>
      <c r="BR305" s="41">
        <v>283.93507127921566</v>
      </c>
      <c r="BS305" s="41">
        <v>0</v>
      </c>
      <c r="BT305" s="41">
        <v>0</v>
      </c>
      <c r="BU305" s="41">
        <v>0</v>
      </c>
      <c r="BV305" s="41">
        <v>0</v>
      </c>
      <c r="BW305" s="49">
        <v>0</v>
      </c>
      <c r="BX305" s="37" t="s">
        <v>127</v>
      </c>
      <c r="BY305" s="37" t="s">
        <v>127</v>
      </c>
      <c r="BZ305" s="37">
        <v>2024</v>
      </c>
      <c r="CA305" s="41">
        <v>0</v>
      </c>
      <c r="CB305" s="41">
        <v>0</v>
      </c>
      <c r="CC305" s="41">
        <v>0</v>
      </c>
      <c r="CD305" s="41">
        <v>0</v>
      </c>
      <c r="CE305" s="41">
        <v>0</v>
      </c>
      <c r="CF305" s="41">
        <v>283.93507127921566</v>
      </c>
      <c r="CG305" s="45">
        <v>0</v>
      </c>
      <c r="CH305" s="45" t="s">
        <v>127</v>
      </c>
      <c r="CI305" s="37" t="s">
        <v>127</v>
      </c>
      <c r="CJ305" s="77" t="s">
        <v>127</v>
      </c>
      <c r="CK305" s="98" t="s">
        <v>127</v>
      </c>
      <c r="CL305" s="98" t="s">
        <v>127</v>
      </c>
      <c r="CM305" s="99" t="s">
        <v>1836</v>
      </c>
    </row>
    <row r="306" spans="1:91" ht="12.75" customHeight="1" x14ac:dyDescent="0.3">
      <c r="A306" s="37">
        <v>304</v>
      </c>
      <c r="B306" s="37" t="s">
        <v>1837</v>
      </c>
      <c r="C306" s="123"/>
      <c r="D306" s="123"/>
      <c r="E306" s="37" t="s">
        <v>246</v>
      </c>
      <c r="F306" s="97" t="s">
        <v>1837</v>
      </c>
      <c r="G306" s="87" t="s">
        <v>211</v>
      </c>
      <c r="H306" s="38" t="s">
        <v>127</v>
      </c>
      <c r="I306" s="38" t="s">
        <v>127</v>
      </c>
      <c r="J306" s="38" t="s">
        <v>127</v>
      </c>
      <c r="K306" s="38" t="s">
        <v>1838</v>
      </c>
      <c r="L306" s="81" t="s">
        <v>1323</v>
      </c>
      <c r="M306" s="38" t="s">
        <v>127</v>
      </c>
      <c r="N306" s="38" t="s">
        <v>127</v>
      </c>
      <c r="O306" s="76" t="s">
        <v>127</v>
      </c>
      <c r="P306" s="37" t="s">
        <v>135</v>
      </c>
      <c r="Q306" s="37" t="s">
        <v>127</v>
      </c>
      <c r="R306" s="37" t="s">
        <v>127</v>
      </c>
      <c r="S306" s="37" t="s">
        <v>127</v>
      </c>
      <c r="T306" s="37" t="s">
        <v>248</v>
      </c>
      <c r="U306" s="37" t="s">
        <v>718</v>
      </c>
      <c r="V306" s="37" t="b">
        <v>0</v>
      </c>
      <c r="W306" s="37" t="s">
        <v>127</v>
      </c>
      <c r="X306" s="123"/>
      <c r="Y306" s="37">
        <v>27</v>
      </c>
      <c r="Z306" s="37" t="s">
        <v>127</v>
      </c>
      <c r="AA306" s="37">
        <v>69</v>
      </c>
      <c r="AB306" s="37" t="s">
        <v>127</v>
      </c>
      <c r="AC306" s="78">
        <v>1.2</v>
      </c>
      <c r="AD306" s="78">
        <v>2651572</v>
      </c>
      <c r="AE306" s="37" t="s">
        <v>127</v>
      </c>
      <c r="AF306" s="37" t="s">
        <v>1839</v>
      </c>
      <c r="AG306" s="37" t="s">
        <v>127</v>
      </c>
      <c r="AH306" s="37" t="b">
        <v>1</v>
      </c>
      <c r="AI306" s="76">
        <v>44197</v>
      </c>
      <c r="AJ306" s="77" t="s">
        <v>142</v>
      </c>
      <c r="AK306" s="37">
        <v>2013</v>
      </c>
      <c r="AL306" s="37" t="s">
        <v>127</v>
      </c>
      <c r="AM306" s="37" t="b">
        <v>0</v>
      </c>
      <c r="AN306" s="37" t="s">
        <v>127</v>
      </c>
      <c r="AO306" s="37" t="s">
        <v>127</v>
      </c>
      <c r="AP306" s="37" t="s">
        <v>127</v>
      </c>
      <c r="AQ306" s="37" t="b">
        <v>0</v>
      </c>
      <c r="AR306" s="37" t="s">
        <v>127</v>
      </c>
      <c r="AS306" s="37" t="s">
        <v>127</v>
      </c>
      <c r="AT306" s="37" t="s">
        <v>127</v>
      </c>
      <c r="AU306" s="37" t="s">
        <v>127</v>
      </c>
      <c r="AV306" s="37" t="s">
        <v>127</v>
      </c>
      <c r="AW306" s="37" t="s">
        <v>127</v>
      </c>
      <c r="AX306" s="77" t="s">
        <v>1112</v>
      </c>
      <c r="AY306" s="80">
        <v>41199</v>
      </c>
      <c r="AZ306" s="77" t="s">
        <v>973</v>
      </c>
      <c r="BA306" s="37">
        <v>2016</v>
      </c>
      <c r="BB306" s="37" t="s">
        <v>143</v>
      </c>
      <c r="BC306" s="77" t="s">
        <v>127</v>
      </c>
      <c r="BD306" s="78" t="s">
        <v>127</v>
      </c>
      <c r="BE306" s="37" t="s">
        <v>127</v>
      </c>
      <c r="BF306" s="80" t="s">
        <v>127</v>
      </c>
      <c r="BG306" s="39" t="s">
        <v>127</v>
      </c>
      <c r="BH306" s="39" t="s">
        <v>127</v>
      </c>
      <c r="BI306" s="40" t="b">
        <v>1</v>
      </c>
      <c r="BJ306" s="41">
        <v>418776.52653999999</v>
      </c>
      <c r="BK306" s="37" t="s">
        <v>127</v>
      </c>
      <c r="BL306" s="41">
        <v>441717.4340557392</v>
      </c>
      <c r="BM306" s="41">
        <v>112882.3881843744</v>
      </c>
      <c r="BN306" s="41">
        <v>48051.45606663022</v>
      </c>
      <c r="BO306" s="41">
        <v>17562.188416672001</v>
      </c>
      <c r="BP306" s="41">
        <v>783.66945823599985</v>
      </c>
      <c r="BQ306" s="41">
        <v>93.292474313999989</v>
      </c>
      <c r="BR306" s="132">
        <v>7.9622536679999971</v>
      </c>
      <c r="BS306" s="132">
        <v>0</v>
      </c>
      <c r="BT306" s="132">
        <v>0</v>
      </c>
      <c r="BU306" s="132">
        <v>0</v>
      </c>
      <c r="BV306" s="132">
        <v>0</v>
      </c>
      <c r="BW306" s="49">
        <v>0</v>
      </c>
      <c r="BX306" s="37" t="s">
        <v>127</v>
      </c>
      <c r="BY306" s="37" t="s">
        <v>127</v>
      </c>
      <c r="BZ306" s="37" t="s">
        <v>155</v>
      </c>
      <c r="CA306" s="41">
        <v>151423.17571000007</v>
      </c>
      <c r="CB306" s="41">
        <v>14320.699129999994</v>
      </c>
      <c r="CC306" s="41">
        <v>684.16496999999595</v>
      </c>
      <c r="CD306" s="41">
        <v>-10.478090000045187</v>
      </c>
      <c r="CE306" s="41">
        <v>7.7976399999998538</v>
      </c>
      <c r="CF306" s="41">
        <v>8.9897127669999968</v>
      </c>
      <c r="CG306" s="45">
        <v>0</v>
      </c>
      <c r="CH306" s="45" t="s">
        <v>127</v>
      </c>
      <c r="CI306" s="77" t="s">
        <v>127</v>
      </c>
      <c r="CJ306" s="77" t="s">
        <v>127</v>
      </c>
      <c r="CK306" s="98">
        <v>0</v>
      </c>
      <c r="CL306" s="98">
        <v>1</v>
      </c>
      <c r="CM306" s="100" t="s">
        <v>1840</v>
      </c>
    </row>
    <row r="307" spans="1:91" ht="12.75" customHeight="1" x14ac:dyDescent="0.3">
      <c r="A307" s="77">
        <v>305</v>
      </c>
      <c r="B307" s="42" t="s">
        <v>1841</v>
      </c>
      <c r="C307" s="123"/>
      <c r="D307" s="123"/>
      <c r="E307" s="37" t="s">
        <v>140</v>
      </c>
      <c r="F307" s="36" t="s">
        <v>1841</v>
      </c>
      <c r="G307" s="81" t="s">
        <v>1831</v>
      </c>
      <c r="H307" s="38" t="s">
        <v>152</v>
      </c>
      <c r="I307" s="38" t="s">
        <v>152</v>
      </c>
      <c r="J307" s="38" t="s">
        <v>127</v>
      </c>
      <c r="K307" s="38" t="s">
        <v>212</v>
      </c>
      <c r="L307" s="81" t="s">
        <v>127</v>
      </c>
      <c r="M307" s="38" t="s">
        <v>127</v>
      </c>
      <c r="N307" s="38" t="s">
        <v>127</v>
      </c>
      <c r="O307" s="37" t="s">
        <v>127</v>
      </c>
      <c r="P307" s="37" t="s">
        <v>127</v>
      </c>
      <c r="Q307" s="37" t="s">
        <v>127</v>
      </c>
      <c r="R307" s="37" t="s">
        <v>127</v>
      </c>
      <c r="S307" s="37" t="s">
        <v>127</v>
      </c>
      <c r="T307" s="37" t="s">
        <v>127</v>
      </c>
      <c r="U307" s="37" t="s">
        <v>981</v>
      </c>
      <c r="V307" s="37" t="b">
        <v>1</v>
      </c>
      <c r="W307" s="37" t="s">
        <v>127</v>
      </c>
      <c r="X307" s="123"/>
      <c r="Y307" s="37" t="s">
        <v>127</v>
      </c>
      <c r="Z307" s="37" t="s">
        <v>127</v>
      </c>
      <c r="AA307" s="42" t="s">
        <v>127</v>
      </c>
      <c r="AB307" s="37" t="s">
        <v>127</v>
      </c>
      <c r="AC307" s="78" t="s">
        <v>127</v>
      </c>
      <c r="AD307" s="78" t="s">
        <v>139</v>
      </c>
      <c r="AE307" s="37" t="s">
        <v>140</v>
      </c>
      <c r="AF307" s="37">
        <v>925</v>
      </c>
      <c r="AG307" s="37" t="s">
        <v>127</v>
      </c>
      <c r="AH307" s="37" t="s">
        <v>127</v>
      </c>
      <c r="AI307" s="37" t="s">
        <v>127</v>
      </c>
      <c r="AJ307" s="37" t="s">
        <v>127</v>
      </c>
      <c r="AK307" s="37" t="s">
        <v>127</v>
      </c>
      <c r="AL307" s="37" t="s">
        <v>127</v>
      </c>
      <c r="AM307" s="37" t="s">
        <v>127</v>
      </c>
      <c r="AN307" s="37" t="s">
        <v>127</v>
      </c>
      <c r="AO307" s="37" t="s">
        <v>127</v>
      </c>
      <c r="AP307" s="37" t="s">
        <v>127</v>
      </c>
      <c r="AQ307" s="37" t="b">
        <v>0</v>
      </c>
      <c r="AR307" s="37" t="s">
        <v>127</v>
      </c>
      <c r="AS307" s="37" t="s">
        <v>127</v>
      </c>
      <c r="AT307" s="37" t="s">
        <v>127</v>
      </c>
      <c r="AU307" s="37" t="s">
        <v>127</v>
      </c>
      <c r="AV307" s="37" t="s">
        <v>127</v>
      </c>
      <c r="AW307" s="37" t="s">
        <v>127</v>
      </c>
      <c r="AX307" s="37" t="s">
        <v>127</v>
      </c>
      <c r="AY307" s="37" t="s">
        <v>127</v>
      </c>
      <c r="AZ307" s="37" t="s">
        <v>127</v>
      </c>
      <c r="BA307" s="37" t="s">
        <v>127</v>
      </c>
      <c r="BB307" s="37" t="s">
        <v>143</v>
      </c>
      <c r="BC307" s="37" t="s">
        <v>127</v>
      </c>
      <c r="BD307" s="37" t="s">
        <v>127</v>
      </c>
      <c r="BE307" s="88" t="s">
        <v>127</v>
      </c>
      <c r="BF307" s="76" t="s">
        <v>127</v>
      </c>
      <c r="BG307" s="39" t="s">
        <v>127</v>
      </c>
      <c r="BH307" s="37" t="s">
        <v>127</v>
      </c>
      <c r="BI307" s="40" t="s">
        <v>127</v>
      </c>
      <c r="BJ307" s="43" t="s">
        <v>137</v>
      </c>
      <c r="BK307" s="37" t="s">
        <v>127</v>
      </c>
      <c r="BL307" s="41" t="s">
        <v>127</v>
      </c>
      <c r="BM307" s="44">
        <v>404.76837740040014</v>
      </c>
      <c r="BN307" s="44">
        <v>274.75461646535899</v>
      </c>
      <c r="BO307" s="44">
        <v>862.00002494136015</v>
      </c>
      <c r="BP307" s="41">
        <v>1337.7995546581803</v>
      </c>
      <c r="BQ307" s="44">
        <v>1288.95706653556</v>
      </c>
      <c r="BR307" s="44">
        <v>1801.0563289579709</v>
      </c>
      <c r="BS307" s="44">
        <v>2389.7895980136482</v>
      </c>
      <c r="BT307" s="44">
        <v>2750.4817892056144</v>
      </c>
      <c r="BU307" s="44">
        <v>0</v>
      </c>
      <c r="BV307" s="44">
        <v>0</v>
      </c>
      <c r="BW307" s="108" t="s">
        <v>127</v>
      </c>
      <c r="BX307" s="37" t="s">
        <v>127</v>
      </c>
      <c r="BY307" s="37" t="s">
        <v>127</v>
      </c>
      <c r="BZ307" s="37" t="s">
        <v>207</v>
      </c>
      <c r="CA307" s="41">
        <v>1147.09511</v>
      </c>
      <c r="CB307" s="41">
        <v>1.3368899999999999</v>
      </c>
      <c r="CC307" s="41">
        <v>0</v>
      </c>
      <c r="CD307" s="41">
        <v>0</v>
      </c>
      <c r="CE307" s="41">
        <v>0</v>
      </c>
      <c r="CF307" s="41">
        <v>0</v>
      </c>
      <c r="CG307" s="45">
        <v>0</v>
      </c>
      <c r="CH307" s="45">
        <v>0</v>
      </c>
      <c r="CI307" s="37" t="s">
        <v>127</v>
      </c>
      <c r="CJ307" s="37" t="s">
        <v>127</v>
      </c>
      <c r="CK307" s="45" t="s">
        <v>127</v>
      </c>
      <c r="CL307" s="45" t="s">
        <v>127</v>
      </c>
      <c r="CM307" s="102" t="s">
        <v>1842</v>
      </c>
    </row>
    <row r="308" spans="1:91" ht="12.75" customHeight="1" x14ac:dyDescent="0.3">
      <c r="A308" s="77">
        <v>306</v>
      </c>
      <c r="B308" s="37" t="s">
        <v>1843</v>
      </c>
      <c r="C308" s="123"/>
      <c r="D308" s="123"/>
      <c r="E308" s="37" t="s">
        <v>140</v>
      </c>
      <c r="F308" s="36" t="s">
        <v>1844</v>
      </c>
      <c r="G308" s="81" t="s">
        <v>1831</v>
      </c>
      <c r="H308" s="38" t="s">
        <v>130</v>
      </c>
      <c r="I308" s="38" t="s">
        <v>131</v>
      </c>
      <c r="J308" s="38" t="s">
        <v>127</v>
      </c>
      <c r="K308" s="38" t="s">
        <v>269</v>
      </c>
      <c r="L308" s="81" t="s">
        <v>127</v>
      </c>
      <c r="M308" s="38" t="s">
        <v>127</v>
      </c>
      <c r="N308" s="38" t="s">
        <v>127</v>
      </c>
      <c r="O308" s="37" t="s">
        <v>127</v>
      </c>
      <c r="P308" s="37" t="s">
        <v>127</v>
      </c>
      <c r="Q308" s="37" t="s">
        <v>239</v>
      </c>
      <c r="R308" s="37" t="s">
        <v>127</v>
      </c>
      <c r="S308" s="37" t="s">
        <v>127</v>
      </c>
      <c r="T308" s="37" t="s">
        <v>127</v>
      </c>
      <c r="U308" s="37" t="s">
        <v>981</v>
      </c>
      <c r="V308" s="37" t="b">
        <v>1</v>
      </c>
      <c r="W308" s="37" t="s">
        <v>127</v>
      </c>
      <c r="X308" s="123"/>
      <c r="Y308" s="37" t="s">
        <v>127</v>
      </c>
      <c r="Z308" s="37" t="s">
        <v>127</v>
      </c>
      <c r="AA308" s="37" t="s">
        <v>127</v>
      </c>
      <c r="AB308" s="37" t="s">
        <v>127</v>
      </c>
      <c r="AC308" s="78" t="s">
        <v>127</v>
      </c>
      <c r="AD308" s="78" t="s">
        <v>127</v>
      </c>
      <c r="AE308" s="37" t="s">
        <v>1845</v>
      </c>
      <c r="AF308" s="37">
        <v>925</v>
      </c>
      <c r="AG308" s="37" t="s">
        <v>127</v>
      </c>
      <c r="AH308" s="37" t="s">
        <v>127</v>
      </c>
      <c r="AI308" s="76">
        <v>44117</v>
      </c>
      <c r="AJ308" s="37" t="s">
        <v>127</v>
      </c>
      <c r="AK308" s="37" t="s">
        <v>127</v>
      </c>
      <c r="AL308" s="37" t="s">
        <v>127</v>
      </c>
      <c r="AM308" s="37" t="s">
        <v>127</v>
      </c>
      <c r="AN308" s="37" t="s">
        <v>127</v>
      </c>
      <c r="AO308" s="37" t="s">
        <v>127</v>
      </c>
      <c r="AP308" s="37" t="s">
        <v>127</v>
      </c>
      <c r="AQ308" s="37" t="b">
        <v>0</v>
      </c>
      <c r="AR308" s="37" t="s">
        <v>127</v>
      </c>
      <c r="AS308" s="37" t="s">
        <v>127</v>
      </c>
      <c r="AT308" s="37" t="s">
        <v>127</v>
      </c>
      <c r="AU308" s="37" t="s">
        <v>127</v>
      </c>
      <c r="AV308" s="37" t="s">
        <v>127</v>
      </c>
      <c r="AW308" s="37" t="s">
        <v>127</v>
      </c>
      <c r="AX308" s="37" t="s">
        <v>127</v>
      </c>
      <c r="AY308" s="37" t="s">
        <v>127</v>
      </c>
      <c r="AZ308" s="37" t="s">
        <v>127</v>
      </c>
      <c r="BA308" s="37" t="s">
        <v>127</v>
      </c>
      <c r="BB308" s="37" t="s">
        <v>460</v>
      </c>
      <c r="BC308" s="37" t="s">
        <v>127</v>
      </c>
      <c r="BD308" s="76">
        <v>44104</v>
      </c>
      <c r="BE308" s="88" t="s">
        <v>127</v>
      </c>
      <c r="BF308" s="76">
        <v>45473</v>
      </c>
      <c r="BG308" s="39" t="s">
        <v>127</v>
      </c>
      <c r="BH308" s="37" t="s">
        <v>127</v>
      </c>
      <c r="BI308" s="40" t="s">
        <v>127</v>
      </c>
      <c r="BJ308" s="43" t="s">
        <v>137</v>
      </c>
      <c r="BK308" s="37" t="s">
        <v>127</v>
      </c>
      <c r="BL308" s="41" t="s">
        <v>127</v>
      </c>
      <c r="BM308" s="44">
        <v>0</v>
      </c>
      <c r="BN308" s="44">
        <v>1251.8798830250398</v>
      </c>
      <c r="BO308" s="44">
        <v>1179.2322847711807</v>
      </c>
      <c r="BP308" s="41">
        <v>581.62427231129993</v>
      </c>
      <c r="BQ308" s="44">
        <v>415.67460353208003</v>
      </c>
      <c r="BR308" s="44">
        <v>206.51215148885728</v>
      </c>
      <c r="BS308" s="44">
        <v>0</v>
      </c>
      <c r="BT308" s="44">
        <v>0</v>
      </c>
      <c r="BU308" s="44">
        <v>0</v>
      </c>
      <c r="BV308" s="44">
        <v>0</v>
      </c>
      <c r="BW308" s="108" t="s">
        <v>127</v>
      </c>
      <c r="BX308" s="37" t="s">
        <v>127</v>
      </c>
      <c r="BY308" s="37" t="s">
        <v>127</v>
      </c>
      <c r="BZ308" s="37" t="s">
        <v>127</v>
      </c>
      <c r="CA308" s="41">
        <v>0</v>
      </c>
      <c r="CB308" s="41">
        <v>0</v>
      </c>
      <c r="CC308" s="41">
        <v>0</v>
      </c>
      <c r="CD308" s="110">
        <v>957.39</v>
      </c>
      <c r="CE308" s="41">
        <v>0</v>
      </c>
      <c r="CF308" s="110">
        <v>2701.47</v>
      </c>
      <c r="CG308" s="45">
        <v>0</v>
      </c>
      <c r="CH308" s="103" t="s">
        <v>127</v>
      </c>
      <c r="CI308" s="37" t="s">
        <v>127</v>
      </c>
      <c r="CJ308" s="37" t="s">
        <v>127</v>
      </c>
      <c r="CK308" s="104" t="s">
        <v>127</v>
      </c>
      <c r="CL308" s="104" t="s">
        <v>127</v>
      </c>
      <c r="CM308" s="105" t="s">
        <v>1846</v>
      </c>
    </row>
    <row r="309" spans="1:91" ht="12.75" customHeight="1" x14ac:dyDescent="0.3">
      <c r="A309" s="77">
        <v>307</v>
      </c>
      <c r="B309" s="37" t="s">
        <v>1847</v>
      </c>
      <c r="C309" s="123"/>
      <c r="D309" s="123"/>
      <c r="E309" s="37" t="s">
        <v>140</v>
      </c>
      <c r="F309" s="36" t="s">
        <v>1848</v>
      </c>
      <c r="G309" s="81" t="s">
        <v>1831</v>
      </c>
      <c r="H309" s="38" t="s">
        <v>130</v>
      </c>
      <c r="I309" s="38" t="s">
        <v>127</v>
      </c>
      <c r="J309" s="38" t="s">
        <v>127</v>
      </c>
      <c r="K309" s="38" t="s">
        <v>269</v>
      </c>
      <c r="L309" s="81" t="s">
        <v>127</v>
      </c>
      <c r="M309" s="38" t="s">
        <v>127</v>
      </c>
      <c r="N309" s="38" t="s">
        <v>127</v>
      </c>
      <c r="O309" s="37" t="s">
        <v>127</v>
      </c>
      <c r="P309" s="37" t="s">
        <v>127</v>
      </c>
      <c r="Q309" s="37" t="s">
        <v>239</v>
      </c>
      <c r="R309" s="37" t="s">
        <v>127</v>
      </c>
      <c r="S309" s="37" t="s">
        <v>127</v>
      </c>
      <c r="T309" s="37" t="s">
        <v>127</v>
      </c>
      <c r="U309" s="37" t="s">
        <v>981</v>
      </c>
      <c r="V309" s="37" t="b">
        <v>1</v>
      </c>
      <c r="W309" s="37" t="s">
        <v>127</v>
      </c>
      <c r="X309" s="123"/>
      <c r="Y309" s="37" t="s">
        <v>127</v>
      </c>
      <c r="Z309" s="37" t="s">
        <v>127</v>
      </c>
      <c r="AA309" s="37" t="s">
        <v>127</v>
      </c>
      <c r="AB309" s="37" t="s">
        <v>127</v>
      </c>
      <c r="AC309" s="78" t="s">
        <v>127</v>
      </c>
      <c r="AD309" s="78">
        <v>3502679</v>
      </c>
      <c r="AE309" s="37" t="s">
        <v>1849</v>
      </c>
      <c r="AF309" s="37">
        <v>925</v>
      </c>
      <c r="AG309" s="37" t="s">
        <v>127</v>
      </c>
      <c r="AH309" s="76" t="b">
        <v>1</v>
      </c>
      <c r="AI309" s="76">
        <v>43539</v>
      </c>
      <c r="AJ309" s="37" t="s">
        <v>127</v>
      </c>
      <c r="AK309" s="37" t="s">
        <v>127</v>
      </c>
      <c r="AL309" s="37" t="s">
        <v>127</v>
      </c>
      <c r="AM309" s="37" t="s">
        <v>127</v>
      </c>
      <c r="AN309" s="37" t="s">
        <v>127</v>
      </c>
      <c r="AO309" s="37" t="s">
        <v>127</v>
      </c>
      <c r="AP309" s="37" t="s">
        <v>127</v>
      </c>
      <c r="AQ309" s="37" t="b">
        <v>0</v>
      </c>
      <c r="AR309" s="37" t="s">
        <v>127</v>
      </c>
      <c r="AS309" s="37" t="s">
        <v>127</v>
      </c>
      <c r="AT309" s="37" t="s">
        <v>127</v>
      </c>
      <c r="AU309" s="37" t="s">
        <v>127</v>
      </c>
      <c r="AV309" s="37" t="s">
        <v>127</v>
      </c>
      <c r="AW309" s="37" t="s">
        <v>127</v>
      </c>
      <c r="AX309" s="37" t="s">
        <v>127</v>
      </c>
      <c r="AY309" s="37" t="s">
        <v>127</v>
      </c>
      <c r="AZ309" s="37" t="s">
        <v>127</v>
      </c>
      <c r="BA309" s="37" t="s">
        <v>127</v>
      </c>
      <c r="BB309" s="37" t="s">
        <v>143</v>
      </c>
      <c r="BC309" s="37" t="s">
        <v>127</v>
      </c>
      <c r="BD309" s="76">
        <v>44211</v>
      </c>
      <c r="BE309" s="76">
        <v>44926</v>
      </c>
      <c r="BF309" s="76">
        <v>44926</v>
      </c>
      <c r="BG309" s="39" t="s">
        <v>127</v>
      </c>
      <c r="BH309" s="37" t="s">
        <v>127</v>
      </c>
      <c r="BI309" s="40" t="s">
        <v>127</v>
      </c>
      <c r="BJ309" s="43" t="s">
        <v>137</v>
      </c>
      <c r="BK309" s="37" t="s">
        <v>127</v>
      </c>
      <c r="BL309" s="41" t="s">
        <v>127</v>
      </c>
      <c r="BM309" s="44">
        <v>680.05543487860007</v>
      </c>
      <c r="BN309" s="44">
        <v>1804.9318411276001</v>
      </c>
      <c r="BO309" s="44">
        <v>661.62562794737994</v>
      </c>
      <c r="BP309" s="41">
        <v>91.014863524020015</v>
      </c>
      <c r="BQ309" s="44">
        <v>7.4539616862800004</v>
      </c>
      <c r="BR309" s="44">
        <v>0</v>
      </c>
      <c r="BS309" s="44">
        <v>0</v>
      </c>
      <c r="BT309" s="44">
        <v>0</v>
      </c>
      <c r="BU309" s="44">
        <v>0</v>
      </c>
      <c r="BV309" s="44">
        <v>0</v>
      </c>
      <c r="BW309" s="108" t="s">
        <v>127</v>
      </c>
      <c r="BX309" s="37" t="s">
        <v>127</v>
      </c>
      <c r="BY309" s="37" t="s">
        <v>127</v>
      </c>
      <c r="BZ309" s="37" t="s">
        <v>127</v>
      </c>
      <c r="CA309" s="41">
        <v>0</v>
      </c>
      <c r="CB309" s="110">
        <v>3146.61</v>
      </c>
      <c r="CC309" s="110">
        <v>91.01</v>
      </c>
      <c r="CD309" s="110">
        <v>7.45</v>
      </c>
      <c r="CE309" s="41">
        <v>0</v>
      </c>
      <c r="CF309" s="41">
        <v>0</v>
      </c>
      <c r="CG309" s="45">
        <v>0</v>
      </c>
      <c r="CH309" s="45">
        <v>0</v>
      </c>
      <c r="CI309" s="37" t="s">
        <v>127</v>
      </c>
      <c r="CJ309" s="37" t="s">
        <v>127</v>
      </c>
      <c r="CK309" s="104" t="s">
        <v>127</v>
      </c>
      <c r="CL309" s="104" t="s">
        <v>127</v>
      </c>
      <c r="CM309" s="106" t="s">
        <v>1842</v>
      </c>
    </row>
    <row r="310" spans="1:91" ht="12.75" customHeight="1" x14ac:dyDescent="0.3">
      <c r="A310" s="77">
        <v>308</v>
      </c>
      <c r="B310" s="37" t="s">
        <v>1850</v>
      </c>
      <c r="C310" s="123"/>
      <c r="D310" s="123"/>
      <c r="E310" s="37" t="s">
        <v>140</v>
      </c>
      <c r="F310" s="36" t="s">
        <v>1851</v>
      </c>
      <c r="G310" s="81" t="s">
        <v>1831</v>
      </c>
      <c r="H310" s="38" t="s">
        <v>130</v>
      </c>
      <c r="I310" s="38" t="s">
        <v>131</v>
      </c>
      <c r="J310" s="38" t="s">
        <v>127</v>
      </c>
      <c r="K310" s="38" t="s">
        <v>269</v>
      </c>
      <c r="L310" s="81" t="s">
        <v>127</v>
      </c>
      <c r="M310" s="38" t="s">
        <v>127</v>
      </c>
      <c r="N310" s="38" t="s">
        <v>127</v>
      </c>
      <c r="O310" s="76" t="s">
        <v>127</v>
      </c>
      <c r="P310" s="37" t="s">
        <v>127</v>
      </c>
      <c r="Q310" s="37" t="s">
        <v>239</v>
      </c>
      <c r="R310" s="37" t="s">
        <v>127</v>
      </c>
      <c r="S310" s="37" t="s">
        <v>127</v>
      </c>
      <c r="T310" s="37" t="s">
        <v>127</v>
      </c>
      <c r="U310" s="37" t="s">
        <v>981</v>
      </c>
      <c r="V310" s="37" t="b">
        <v>1</v>
      </c>
      <c r="W310" s="37" t="s">
        <v>127</v>
      </c>
      <c r="X310" s="123"/>
      <c r="Y310" s="37" t="s">
        <v>127</v>
      </c>
      <c r="Z310" s="37" t="s">
        <v>127</v>
      </c>
      <c r="AA310" s="37" t="s">
        <v>127</v>
      </c>
      <c r="AB310" s="37" t="s">
        <v>127</v>
      </c>
      <c r="AC310" s="78" t="s">
        <v>127</v>
      </c>
      <c r="AD310" s="78">
        <v>3502775</v>
      </c>
      <c r="AE310" s="37" t="s">
        <v>1852</v>
      </c>
      <c r="AF310" s="37">
        <v>925</v>
      </c>
      <c r="AG310" s="37" t="s">
        <v>127</v>
      </c>
      <c r="AH310" s="76" t="b">
        <v>1</v>
      </c>
      <c r="AI310" s="76">
        <v>43643</v>
      </c>
      <c r="AJ310" s="37" t="s">
        <v>127</v>
      </c>
      <c r="AK310" s="37" t="s">
        <v>127</v>
      </c>
      <c r="AL310" s="37" t="s">
        <v>127</v>
      </c>
      <c r="AM310" s="37" t="s">
        <v>127</v>
      </c>
      <c r="AN310" s="37" t="s">
        <v>127</v>
      </c>
      <c r="AO310" s="37" t="s">
        <v>127</v>
      </c>
      <c r="AP310" s="37" t="s">
        <v>127</v>
      </c>
      <c r="AQ310" s="37" t="b">
        <v>0</v>
      </c>
      <c r="AR310" s="37" t="s">
        <v>127</v>
      </c>
      <c r="AS310" s="37" t="s">
        <v>127</v>
      </c>
      <c r="AT310" s="37" t="s">
        <v>127</v>
      </c>
      <c r="AU310" s="37" t="s">
        <v>127</v>
      </c>
      <c r="AV310" s="37" t="s">
        <v>127</v>
      </c>
      <c r="AW310" s="37" t="s">
        <v>127</v>
      </c>
      <c r="AX310" s="37" t="s">
        <v>127</v>
      </c>
      <c r="AY310" s="37" t="s">
        <v>127</v>
      </c>
      <c r="AZ310" s="37" t="s">
        <v>127</v>
      </c>
      <c r="BA310" s="37" t="s">
        <v>127</v>
      </c>
      <c r="BB310" s="37" t="s">
        <v>143</v>
      </c>
      <c r="BC310" s="37" t="s">
        <v>127</v>
      </c>
      <c r="BD310" s="76">
        <v>44211</v>
      </c>
      <c r="BE310" s="76">
        <v>44926</v>
      </c>
      <c r="BF310" s="76">
        <v>44926</v>
      </c>
      <c r="BG310" s="39" t="s">
        <v>127</v>
      </c>
      <c r="BH310" s="37" t="s">
        <v>127</v>
      </c>
      <c r="BI310" s="40" t="s">
        <v>127</v>
      </c>
      <c r="BJ310" s="43" t="s">
        <v>137</v>
      </c>
      <c r="BK310" s="37" t="s">
        <v>127</v>
      </c>
      <c r="BL310" s="41" t="s">
        <v>127</v>
      </c>
      <c r="BM310" s="44">
        <v>479.95002095019993</v>
      </c>
      <c r="BN310" s="44">
        <v>701.0483364228802</v>
      </c>
      <c r="BO310" s="44">
        <v>634.00384879865999</v>
      </c>
      <c r="BP310" s="41">
        <v>580.17644454599997</v>
      </c>
      <c r="BQ310" s="44">
        <v>21.156012423079996</v>
      </c>
      <c r="BR310" s="44">
        <v>-2.8957040000022972E-4</v>
      </c>
      <c r="BS310" s="44">
        <v>0</v>
      </c>
      <c r="BT310" s="44">
        <v>0</v>
      </c>
      <c r="BU310" s="44">
        <v>0</v>
      </c>
      <c r="BV310" s="44">
        <v>0</v>
      </c>
      <c r="BW310" s="108" t="s">
        <v>127</v>
      </c>
      <c r="BX310" s="37" t="s">
        <v>127</v>
      </c>
      <c r="BY310" s="37" t="s">
        <v>127</v>
      </c>
      <c r="BZ310" s="37" t="s">
        <v>127</v>
      </c>
      <c r="CA310" s="41">
        <v>0</v>
      </c>
      <c r="CB310" s="41">
        <v>0</v>
      </c>
      <c r="CC310" s="110">
        <v>2395.1799999999998</v>
      </c>
      <c r="CD310" s="110">
        <v>21.16</v>
      </c>
      <c r="CE310" s="41">
        <v>0</v>
      </c>
      <c r="CF310" s="41">
        <v>0</v>
      </c>
      <c r="CG310" s="45">
        <v>0</v>
      </c>
      <c r="CH310" s="45">
        <v>0</v>
      </c>
      <c r="CI310" s="37" t="s">
        <v>127</v>
      </c>
      <c r="CJ310" s="37" t="s">
        <v>127</v>
      </c>
      <c r="CK310" s="104" t="s">
        <v>127</v>
      </c>
      <c r="CL310" s="104" t="s">
        <v>127</v>
      </c>
      <c r="CM310" s="106" t="s">
        <v>1842</v>
      </c>
    </row>
    <row r="311" spans="1:91" ht="12.75" customHeight="1" x14ac:dyDescent="0.3">
      <c r="A311" s="77">
        <v>309</v>
      </c>
      <c r="B311" s="37" t="s">
        <v>1853</v>
      </c>
      <c r="C311" s="123"/>
      <c r="D311" s="123"/>
      <c r="E311" s="37" t="s">
        <v>140</v>
      </c>
      <c r="F311" s="36" t="s">
        <v>1854</v>
      </c>
      <c r="G311" s="81" t="s">
        <v>794</v>
      </c>
      <c r="H311" s="38" t="s">
        <v>130</v>
      </c>
      <c r="I311" s="38" t="s">
        <v>268</v>
      </c>
      <c r="J311" s="38" t="s">
        <v>127</v>
      </c>
      <c r="K311" s="38" t="s">
        <v>269</v>
      </c>
      <c r="L311" s="81" t="s">
        <v>229</v>
      </c>
      <c r="M311" s="38" t="s">
        <v>127</v>
      </c>
      <c r="N311" s="38" t="s">
        <v>127</v>
      </c>
      <c r="O311" s="37" t="s">
        <v>127</v>
      </c>
      <c r="P311" s="37" t="s">
        <v>127</v>
      </c>
      <c r="Q311" s="37" t="s">
        <v>127</v>
      </c>
      <c r="R311" s="37" t="s">
        <v>127</v>
      </c>
      <c r="S311" s="37" t="s">
        <v>127</v>
      </c>
      <c r="T311" s="37" t="s">
        <v>127</v>
      </c>
      <c r="U311" s="37" t="s">
        <v>981</v>
      </c>
      <c r="V311" s="37" t="b">
        <v>1</v>
      </c>
      <c r="W311" s="37" t="s">
        <v>127</v>
      </c>
      <c r="X311" s="123"/>
      <c r="Y311" s="37" t="s">
        <v>127</v>
      </c>
      <c r="Z311" s="37" t="s">
        <v>127</v>
      </c>
      <c r="AA311" s="37" t="s">
        <v>127</v>
      </c>
      <c r="AB311" s="37" t="s">
        <v>127</v>
      </c>
      <c r="AC311" s="78" t="s">
        <v>127</v>
      </c>
      <c r="AD311" s="78" t="s">
        <v>127</v>
      </c>
      <c r="AE311" s="37" t="s">
        <v>1855</v>
      </c>
      <c r="AF311" s="37">
        <v>925</v>
      </c>
      <c r="AG311" s="37" t="s">
        <v>127</v>
      </c>
      <c r="AH311" s="37" t="s">
        <v>127</v>
      </c>
      <c r="AI311" s="76">
        <v>43032</v>
      </c>
      <c r="AJ311" s="37" t="s">
        <v>127</v>
      </c>
      <c r="AK311" s="37" t="s">
        <v>127</v>
      </c>
      <c r="AL311" s="37" t="s">
        <v>127</v>
      </c>
      <c r="AM311" s="37" t="s">
        <v>127</v>
      </c>
      <c r="AN311" s="37" t="s">
        <v>127</v>
      </c>
      <c r="AO311" s="37" t="s">
        <v>127</v>
      </c>
      <c r="AP311" s="37" t="s">
        <v>127</v>
      </c>
      <c r="AQ311" s="37" t="b">
        <v>0</v>
      </c>
      <c r="AR311" s="37" t="s">
        <v>127</v>
      </c>
      <c r="AS311" s="37" t="s">
        <v>127</v>
      </c>
      <c r="AT311" s="37" t="s">
        <v>127</v>
      </c>
      <c r="AU311" s="37" t="s">
        <v>127</v>
      </c>
      <c r="AV311" s="37" t="s">
        <v>127</v>
      </c>
      <c r="AW311" s="37" t="s">
        <v>127</v>
      </c>
      <c r="AX311" s="37" t="s">
        <v>127</v>
      </c>
      <c r="AY311" s="37" t="s">
        <v>127</v>
      </c>
      <c r="AZ311" s="37" t="s">
        <v>127</v>
      </c>
      <c r="BA311" s="37" t="s">
        <v>127</v>
      </c>
      <c r="BB311" s="37" t="s">
        <v>143</v>
      </c>
      <c r="BC311" s="37" t="s">
        <v>127</v>
      </c>
      <c r="BD311" s="76" t="s">
        <v>1856</v>
      </c>
      <c r="BE311" s="88" t="s">
        <v>127</v>
      </c>
      <c r="BF311" s="76" t="s">
        <v>1856</v>
      </c>
      <c r="BG311" s="39" t="s">
        <v>127</v>
      </c>
      <c r="BH311" s="37" t="s">
        <v>127</v>
      </c>
      <c r="BI311" s="40" t="s">
        <v>127</v>
      </c>
      <c r="BJ311" s="43" t="s">
        <v>137</v>
      </c>
      <c r="BK311" s="37" t="s">
        <v>127</v>
      </c>
      <c r="BL311" s="41" t="s">
        <v>127</v>
      </c>
      <c r="BM311" s="44">
        <v>797.72162882720011</v>
      </c>
      <c r="BN311" s="44">
        <v>768.63665741372029</v>
      </c>
      <c r="BO311" s="44">
        <v>-0.11698727658000008</v>
      </c>
      <c r="BP311" s="41">
        <v>35.46567134064</v>
      </c>
      <c r="BQ311" s="44">
        <v>0</v>
      </c>
      <c r="BR311" s="44">
        <v>0</v>
      </c>
      <c r="BS311" s="44">
        <v>0</v>
      </c>
      <c r="BT311" s="44">
        <v>0</v>
      </c>
      <c r="BU311" s="44">
        <v>0</v>
      </c>
      <c r="BV311" s="44">
        <v>0</v>
      </c>
      <c r="BW311" s="108" t="s">
        <v>127</v>
      </c>
      <c r="BX311" s="37" t="s">
        <v>127</v>
      </c>
      <c r="BY311" s="37" t="s">
        <v>127</v>
      </c>
      <c r="BZ311" s="37" t="s">
        <v>127</v>
      </c>
      <c r="CA311" s="110">
        <v>2239.19</v>
      </c>
      <c r="CB311" s="110">
        <v>-0.12</v>
      </c>
      <c r="CC311" s="110">
        <v>35.47</v>
      </c>
      <c r="CD311" s="41">
        <v>0</v>
      </c>
      <c r="CE311" s="41">
        <v>0</v>
      </c>
      <c r="CF311" s="41">
        <v>0</v>
      </c>
      <c r="CG311" s="45">
        <v>0</v>
      </c>
      <c r="CH311" s="45">
        <v>0</v>
      </c>
      <c r="CI311" s="37" t="s">
        <v>127</v>
      </c>
      <c r="CJ311" s="37" t="s">
        <v>127</v>
      </c>
      <c r="CK311" s="104" t="s">
        <v>127</v>
      </c>
      <c r="CL311" s="104" t="s">
        <v>127</v>
      </c>
      <c r="CM311" s="105" t="s">
        <v>1846</v>
      </c>
    </row>
    <row r="312" spans="1:91" ht="12.75" customHeight="1" x14ac:dyDescent="0.3">
      <c r="A312" s="77">
        <v>310</v>
      </c>
      <c r="B312" s="37" t="s">
        <v>1857</v>
      </c>
      <c r="C312" s="123"/>
      <c r="D312" s="123"/>
      <c r="E312" s="37" t="s">
        <v>140</v>
      </c>
      <c r="F312" s="36" t="s">
        <v>1858</v>
      </c>
      <c r="G312" s="81" t="s">
        <v>794</v>
      </c>
      <c r="H312" s="38" t="s">
        <v>227</v>
      </c>
      <c r="I312" s="38" t="s">
        <v>131</v>
      </c>
      <c r="J312" s="38" t="s">
        <v>127</v>
      </c>
      <c r="K312" s="38" t="s">
        <v>132</v>
      </c>
      <c r="L312" s="81" t="s">
        <v>213</v>
      </c>
      <c r="M312" s="38" t="s">
        <v>127</v>
      </c>
      <c r="N312" s="38" t="s">
        <v>127</v>
      </c>
      <c r="O312" s="37" t="s">
        <v>127</v>
      </c>
      <c r="P312" s="37" t="s">
        <v>127</v>
      </c>
      <c r="Q312" s="37" t="s">
        <v>127</v>
      </c>
      <c r="R312" s="37" t="s">
        <v>127</v>
      </c>
      <c r="S312" s="37" t="s">
        <v>127</v>
      </c>
      <c r="T312" s="37" t="s">
        <v>611</v>
      </c>
      <c r="U312" s="37" t="s">
        <v>981</v>
      </c>
      <c r="V312" s="37" t="b">
        <v>1</v>
      </c>
      <c r="W312" s="37" t="s">
        <v>127</v>
      </c>
      <c r="X312" s="123"/>
      <c r="Y312" s="37" t="s">
        <v>127</v>
      </c>
      <c r="Z312" s="37" t="s">
        <v>127</v>
      </c>
      <c r="AA312" s="37" t="s">
        <v>127</v>
      </c>
      <c r="AB312" s="37" t="s">
        <v>127</v>
      </c>
      <c r="AC312" s="78" t="s">
        <v>127</v>
      </c>
      <c r="AD312" s="78" t="s">
        <v>127</v>
      </c>
      <c r="AE312" s="37" t="s">
        <v>1859</v>
      </c>
      <c r="AF312" s="37">
        <v>925</v>
      </c>
      <c r="AG312" s="37" t="s">
        <v>127</v>
      </c>
      <c r="AH312" s="37" t="s">
        <v>127</v>
      </c>
      <c r="AI312" s="76">
        <v>43326</v>
      </c>
      <c r="AJ312" s="37" t="s">
        <v>127</v>
      </c>
      <c r="AK312" s="37" t="s">
        <v>127</v>
      </c>
      <c r="AL312" s="37" t="s">
        <v>127</v>
      </c>
      <c r="AM312" s="37" t="s">
        <v>127</v>
      </c>
      <c r="AN312" s="37" t="s">
        <v>127</v>
      </c>
      <c r="AO312" s="37" t="s">
        <v>127</v>
      </c>
      <c r="AP312" s="37" t="s">
        <v>127</v>
      </c>
      <c r="AQ312" s="37" t="b">
        <v>0</v>
      </c>
      <c r="AR312" s="37" t="s">
        <v>127</v>
      </c>
      <c r="AS312" s="37" t="s">
        <v>127</v>
      </c>
      <c r="AT312" s="37" t="s">
        <v>127</v>
      </c>
      <c r="AU312" s="37" t="s">
        <v>127</v>
      </c>
      <c r="AV312" s="37" t="s">
        <v>127</v>
      </c>
      <c r="AW312" s="37" t="s">
        <v>127</v>
      </c>
      <c r="AX312" s="37" t="s">
        <v>127</v>
      </c>
      <c r="AY312" s="37" t="s">
        <v>127</v>
      </c>
      <c r="AZ312" s="37" t="s">
        <v>127</v>
      </c>
      <c r="BA312" s="37" t="s">
        <v>127</v>
      </c>
      <c r="BB312" s="37" t="s">
        <v>143</v>
      </c>
      <c r="BC312" s="37" t="s">
        <v>127</v>
      </c>
      <c r="BD312" s="76" t="s">
        <v>1856</v>
      </c>
      <c r="BE312" s="88" t="s">
        <v>127</v>
      </c>
      <c r="BF312" s="76" t="s">
        <v>1856</v>
      </c>
      <c r="BG312" s="39" t="s">
        <v>127</v>
      </c>
      <c r="BH312" s="37" t="s">
        <v>127</v>
      </c>
      <c r="BI312" s="40" t="s">
        <v>127</v>
      </c>
      <c r="BJ312" s="43" t="s">
        <v>137</v>
      </c>
      <c r="BK312" s="37" t="s">
        <v>127</v>
      </c>
      <c r="BL312" s="41" t="s">
        <v>127</v>
      </c>
      <c r="BM312" s="44">
        <v>951.89533182299999</v>
      </c>
      <c r="BN312" s="44">
        <v>151.81582149768008</v>
      </c>
      <c r="BO312" s="44">
        <v>99.221090573879934</v>
      </c>
      <c r="BP312" s="41">
        <v>4.0466098473300001</v>
      </c>
      <c r="BQ312" s="44">
        <v>0</v>
      </c>
      <c r="BR312" s="44">
        <v>0</v>
      </c>
      <c r="BS312" s="44">
        <v>0</v>
      </c>
      <c r="BT312" s="44">
        <v>0</v>
      </c>
      <c r="BU312" s="44">
        <v>0</v>
      </c>
      <c r="BV312" s="44">
        <v>0</v>
      </c>
      <c r="BW312" s="108" t="s">
        <v>127</v>
      </c>
      <c r="BX312" s="37" t="s">
        <v>127</v>
      </c>
      <c r="BY312" s="37" t="s">
        <v>127</v>
      </c>
      <c r="BZ312" s="37" t="s">
        <v>127</v>
      </c>
      <c r="CA312" s="41">
        <v>0</v>
      </c>
      <c r="CB312" s="41">
        <v>0</v>
      </c>
      <c r="CC312" s="41">
        <v>0</v>
      </c>
      <c r="CD312" s="41">
        <v>0</v>
      </c>
      <c r="CE312" s="41">
        <v>0</v>
      </c>
      <c r="CF312" s="41">
        <v>0</v>
      </c>
      <c r="CG312" s="45">
        <v>0</v>
      </c>
      <c r="CH312" s="45">
        <v>1</v>
      </c>
      <c r="CI312" s="37" t="s">
        <v>127</v>
      </c>
      <c r="CJ312" s="37" t="s">
        <v>127</v>
      </c>
      <c r="CK312" s="104" t="s">
        <v>127</v>
      </c>
      <c r="CL312" s="104" t="s">
        <v>127</v>
      </c>
      <c r="CM312" s="106" t="s">
        <v>1860</v>
      </c>
    </row>
    <row r="313" spans="1:91" ht="12.75" customHeight="1" x14ac:dyDescent="0.3">
      <c r="A313" s="77">
        <v>311</v>
      </c>
      <c r="B313" s="37" t="s">
        <v>1861</v>
      </c>
      <c r="C313" s="123"/>
      <c r="D313" s="123"/>
      <c r="E313" s="37" t="s">
        <v>140</v>
      </c>
      <c r="F313" s="36" t="s">
        <v>1848</v>
      </c>
      <c r="G313" s="81" t="s">
        <v>1831</v>
      </c>
      <c r="H313" s="38" t="s">
        <v>130</v>
      </c>
      <c r="I313" s="38" t="s">
        <v>127</v>
      </c>
      <c r="J313" s="38" t="s">
        <v>127</v>
      </c>
      <c r="K313" s="38" t="s">
        <v>269</v>
      </c>
      <c r="L313" s="81" t="s">
        <v>127</v>
      </c>
      <c r="M313" s="38" t="s">
        <v>127</v>
      </c>
      <c r="N313" s="38" t="s">
        <v>127</v>
      </c>
      <c r="O313" s="37" t="s">
        <v>127</v>
      </c>
      <c r="P313" s="37" t="s">
        <v>127</v>
      </c>
      <c r="Q313" s="37" t="s">
        <v>239</v>
      </c>
      <c r="R313" s="37" t="s">
        <v>127</v>
      </c>
      <c r="S313" s="37" t="s">
        <v>127</v>
      </c>
      <c r="T313" s="37" t="s">
        <v>127</v>
      </c>
      <c r="U313" s="37" t="s">
        <v>981</v>
      </c>
      <c r="V313" s="37" t="b">
        <v>1</v>
      </c>
      <c r="W313" s="37" t="s">
        <v>127</v>
      </c>
      <c r="X313" s="123"/>
      <c r="Y313" s="37" t="s">
        <v>127</v>
      </c>
      <c r="Z313" s="37" t="s">
        <v>127</v>
      </c>
      <c r="AA313" s="37" t="s">
        <v>127</v>
      </c>
      <c r="AB313" s="37" t="s">
        <v>127</v>
      </c>
      <c r="AC313" s="78" t="s">
        <v>127</v>
      </c>
      <c r="AD313" s="78" t="s">
        <v>127</v>
      </c>
      <c r="AE313" s="37" t="s">
        <v>1862</v>
      </c>
      <c r="AF313" s="37">
        <v>925</v>
      </c>
      <c r="AG313" s="37" t="s">
        <v>127</v>
      </c>
      <c r="AH313" s="37" t="s">
        <v>127</v>
      </c>
      <c r="AI313" s="37" t="s">
        <v>532</v>
      </c>
      <c r="AJ313" s="37" t="s">
        <v>127</v>
      </c>
      <c r="AK313" s="37" t="s">
        <v>127</v>
      </c>
      <c r="AL313" s="37" t="s">
        <v>127</v>
      </c>
      <c r="AM313" s="37" t="s">
        <v>127</v>
      </c>
      <c r="AN313" s="37" t="s">
        <v>127</v>
      </c>
      <c r="AO313" s="37" t="s">
        <v>127</v>
      </c>
      <c r="AP313" s="37" t="s">
        <v>127</v>
      </c>
      <c r="AQ313" s="37" t="b">
        <v>0</v>
      </c>
      <c r="AR313" s="37" t="s">
        <v>127</v>
      </c>
      <c r="AS313" s="37" t="s">
        <v>127</v>
      </c>
      <c r="AT313" s="37" t="s">
        <v>127</v>
      </c>
      <c r="AU313" s="37" t="s">
        <v>127</v>
      </c>
      <c r="AV313" s="37" t="s">
        <v>127</v>
      </c>
      <c r="AW313" s="37" t="s">
        <v>127</v>
      </c>
      <c r="AX313" s="37" t="s">
        <v>127</v>
      </c>
      <c r="AY313" s="37" t="s">
        <v>127</v>
      </c>
      <c r="AZ313" s="37" t="s">
        <v>127</v>
      </c>
      <c r="BA313" s="37" t="s">
        <v>127</v>
      </c>
      <c r="BB313" s="37" t="s">
        <v>154</v>
      </c>
      <c r="BC313" s="37" t="s">
        <v>127</v>
      </c>
      <c r="BD313" s="76">
        <v>46037</v>
      </c>
      <c r="BE313" s="76">
        <v>46387</v>
      </c>
      <c r="BF313" s="76">
        <v>46387</v>
      </c>
      <c r="BG313" s="39" t="s">
        <v>127</v>
      </c>
      <c r="BH313" s="37" t="s">
        <v>127</v>
      </c>
      <c r="BI313" s="40" t="s">
        <v>127</v>
      </c>
      <c r="BJ313" s="43" t="s">
        <v>137</v>
      </c>
      <c r="BK313" s="37" t="s">
        <v>127</v>
      </c>
      <c r="BL313" s="41" t="s">
        <v>127</v>
      </c>
      <c r="BM313" s="44">
        <v>0</v>
      </c>
      <c r="BN313" s="44">
        <v>0</v>
      </c>
      <c r="BO313" s="44">
        <v>0</v>
      </c>
      <c r="BP313" s="41">
        <v>0</v>
      </c>
      <c r="BQ313" s="44">
        <v>0</v>
      </c>
      <c r="BR313" s="44">
        <v>0</v>
      </c>
      <c r="BS313" s="44">
        <v>0</v>
      </c>
      <c r="BT313" s="44">
        <v>1182.0803504067965</v>
      </c>
      <c r="BU313" s="44">
        <v>0</v>
      </c>
      <c r="BV313" s="44">
        <v>0</v>
      </c>
      <c r="BW313" s="108" t="s">
        <v>127</v>
      </c>
      <c r="BX313" s="37" t="s">
        <v>127</v>
      </c>
      <c r="BY313" s="37" t="s">
        <v>127</v>
      </c>
      <c r="BZ313" s="37" t="s">
        <v>127</v>
      </c>
      <c r="CA313" s="41">
        <v>0</v>
      </c>
      <c r="CB313" s="41">
        <v>0</v>
      </c>
      <c r="CC313" s="41">
        <v>0</v>
      </c>
      <c r="CD313" s="41">
        <v>0</v>
      </c>
      <c r="CE313" s="41">
        <v>0</v>
      </c>
      <c r="CF313" s="41">
        <v>0</v>
      </c>
      <c r="CG313" s="45">
        <v>0</v>
      </c>
      <c r="CH313" s="45">
        <v>0</v>
      </c>
      <c r="CI313" s="37" t="s">
        <v>127</v>
      </c>
      <c r="CJ313" s="37" t="s">
        <v>127</v>
      </c>
      <c r="CK313" s="104" t="s">
        <v>127</v>
      </c>
      <c r="CL313" s="104" t="s">
        <v>127</v>
      </c>
      <c r="CM313" s="105" t="s">
        <v>1863</v>
      </c>
    </row>
    <row r="314" spans="1:91" ht="12.75" customHeight="1" x14ac:dyDescent="0.3">
      <c r="CA314" s="72"/>
    </row>
  </sheetData>
  <sheetProtection autoFilter="0"/>
  <phoneticPr fontId="35" type="noConversion"/>
  <dataValidations count="5">
    <dataValidation type="list" allowBlank="1" showInputMessage="1" showErrorMessage="1" sqref="G3:G5 G199:G313" xr:uid="{1841480D-CDD8-4125-A20F-D7DD584F34F8}">
      <formula1>$A$1:$A$28</formula1>
    </dataValidation>
    <dataValidation type="list" allowBlank="1" showInputMessage="1" showErrorMessage="1" sqref="L3:L4 L306:L313" xr:uid="{EF48C7E9-4C69-4FE0-BBED-0C94D0BEC952}">
      <formula1>$D$1:$D$75</formula1>
    </dataValidation>
    <dataValidation type="list" allowBlank="1" showInputMessage="1" showErrorMessage="1" sqref="Q3:Q313" xr:uid="{44B8B731-787B-474A-A94E-C513FCA33899}">
      <formula1>$F$1:$F$8</formula1>
    </dataValidation>
    <dataValidation type="list" allowBlank="1" showInputMessage="1" showErrorMessage="1" sqref="S3:S313" xr:uid="{31318B3C-320A-4E6F-AD9C-613830CC61A6}">
      <formula1>$H$1:$H$23</formula1>
    </dataValidation>
    <dataValidation type="list" allowBlank="1" showInputMessage="1" showErrorMessage="1" sqref="BC3:BC313" xr:uid="{2FD292E7-EA08-45CC-8270-7518EFA1A3F7}">
      <formula1>$O$1:$O$5</formula1>
    </dataValidation>
  </dataValidations>
  <hyperlinks>
    <hyperlink ref="AP246" r:id="rId1" xr:uid="{60F08D66-BD4D-4648-8D2D-743D36D70D01}"/>
    <hyperlink ref="AP275" r:id="rId2" xr:uid="{B8610A8C-9F92-4A67-A3F8-543E8F5158A5}"/>
  </hyperlinks>
  <pageMargins left="0.7" right="0.7" top="0.75" bottom="0.75" header="0.3" footer="0.3"/>
  <pageSetup orientation="portrait" r:id="rId3"/>
  <tableParts count="1">
    <tablePart r:id="rId4"/>
  </tableParts>
  <extLst>
    <ext xmlns:x14="http://schemas.microsoft.com/office/spreadsheetml/2009/9/main" uri="{CCE6A557-97BC-4b89-ADB6-D9C93CAAB3DF}">
      <x14:dataValidations xmlns:xm="http://schemas.microsoft.com/office/excel/2006/main" count="12">
        <x14:dataValidation type="list" allowBlank="1" showInputMessage="1" showErrorMessage="1" xr:uid="{D413448C-C8CC-4715-8C32-0DD3CB2F9EE8}">
          <x14:formula1>
            <xm:f>'Options Lists'!$B$2:$B$8</xm:f>
          </x14:formula1>
          <xm:sqref>H3:I313</xm:sqref>
        </x14:dataValidation>
        <x14:dataValidation type="list" allowBlank="1" showInputMessage="1" showErrorMessage="1" xr:uid="{05DE39D9-A584-451B-AA27-E7D7C2B17EA7}">
          <x14:formula1>
            <xm:f>'Options Lists'!$C$2:$C$20</xm:f>
          </x14:formula1>
          <xm:sqref>K3:K313</xm:sqref>
        </x14:dataValidation>
        <x14:dataValidation type="list" allowBlank="1" showInputMessage="1" showErrorMessage="1" xr:uid="{6A470DAD-4F7B-4A26-83B4-B62E46E780C3}">
          <x14:formula1>
            <xm:f>'Options Lists'!$E$2:$E$11</xm:f>
          </x14:formula1>
          <xm:sqref>M3:N313</xm:sqref>
        </x14:dataValidation>
        <x14:dataValidation type="list" allowBlank="1" showInputMessage="1" showErrorMessage="1" xr:uid="{4896A1B1-2080-41CE-BC40-0A1725C9D7DB}">
          <x14:formula1>
            <xm:f>'Options Lists'!$G$2:$G$16</xm:f>
          </x14:formula1>
          <xm:sqref>R3:R313</xm:sqref>
        </x14:dataValidation>
        <x14:dataValidation type="list" allowBlank="1" showInputMessage="1" showErrorMessage="1" xr:uid="{017C5B2D-E50A-486C-8CB8-85F23B8878F6}">
          <x14:formula1>
            <xm:f>'Options Lists'!$I$2:$I$9</xm:f>
          </x14:formula1>
          <xm:sqref>AR3:AR313</xm:sqref>
        </x14:dataValidation>
        <x14:dataValidation type="list" allowBlank="1" showInputMessage="1" showErrorMessage="1" xr:uid="{BD2B70D0-0DF3-487A-8D52-FA4B6E947E5A}">
          <x14:formula1>
            <xm:f>'Options Lists'!$J$2:$J$7</xm:f>
          </x14:formula1>
          <xm:sqref>AT3:AT313</xm:sqref>
        </x14:dataValidation>
        <x14:dataValidation type="list" allowBlank="1" showInputMessage="1" showErrorMessage="1" xr:uid="{ED2B72A4-700F-437D-8C8A-C5918315DA7A}">
          <x14:formula1>
            <xm:f>'Options Lists'!$K$2:$K$6</xm:f>
          </x14:formula1>
          <xm:sqref>AU3:AU313</xm:sqref>
        </x14:dataValidation>
        <x14:dataValidation type="list" allowBlank="1" showInputMessage="1" showErrorMessage="1" xr:uid="{C3E1267A-057B-499A-B519-5CCC24CEB7C6}">
          <x14:formula1>
            <xm:f>'Options Lists'!$L$2:$L$9</xm:f>
          </x14:formula1>
          <xm:sqref>AZ3:AZ313</xm:sqref>
        </x14:dataValidation>
        <x14:dataValidation type="list" allowBlank="1" showInputMessage="1" showErrorMessage="1" xr:uid="{595D88A5-7BA9-4539-B3CE-13F85AD1467C}">
          <x14:formula1>
            <xm:f>'Options Lists'!$M$2:$M$14</xm:f>
          </x14:formula1>
          <xm:sqref>BB3:BB313</xm:sqref>
        </x14:dataValidation>
        <x14:dataValidation type="list" allowBlank="1" showInputMessage="1" showErrorMessage="1" xr:uid="{8501C611-9986-4220-9A58-329335F9D6DE}">
          <x14:formula1>
            <xm:f>'Options Lists'!$O$2:$O$21</xm:f>
          </x14:formula1>
          <xm:sqref>BG3:BH313</xm:sqref>
        </x14:dataValidation>
        <x14:dataValidation type="list" allowBlank="1" showInputMessage="1" showErrorMessage="1" xr:uid="{A90E3184-5470-453A-ABDE-EF1E603168F2}">
          <x14:formula1>
            <xm:f>'Options Lists'!$A$1:$A$30</xm:f>
          </x14:formula1>
          <xm:sqref>G6:G198</xm:sqref>
        </x14:dataValidation>
        <x14:dataValidation type="list" allowBlank="1" showInputMessage="1" showErrorMessage="1" xr:uid="{D7F5B9AB-280C-40B3-9AEA-418FF9D37B31}">
          <x14:formula1>
            <xm:f>'Options Lists'!$D:$D</xm:f>
          </x14:formula1>
          <xm:sqref>L5:L305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110" zoomScaleNormal="110" workbookViewId="0"/>
  </sheetViews>
  <sheetFormatPr defaultColWidth="56.796875" defaultRowHeight="11.5" x14ac:dyDescent="0.3"/>
  <cols>
    <col min="1" max="1" width="11.5" style="28" customWidth="1"/>
    <col min="2" max="2" width="11.5" style="14" customWidth="1"/>
    <col min="3" max="3" width="15.19921875" style="14" customWidth="1"/>
    <col min="4" max="4" width="19.19921875" style="14" customWidth="1"/>
    <col min="5" max="5" width="62" style="14" customWidth="1"/>
    <col min="6" max="6" width="32.69921875" style="14" customWidth="1"/>
    <col min="7" max="7" width="62.19921875" style="20" customWidth="1"/>
    <col min="8" max="8" width="33.796875" style="14" bestFit="1" customWidth="1"/>
    <col min="9" max="9" width="16.19921875" style="14" customWidth="1"/>
    <col min="10" max="10" width="14.5" style="14" customWidth="1"/>
    <col min="11" max="11" width="25.19921875" style="14" customWidth="1"/>
    <col min="12" max="12" width="18.796875" style="14" customWidth="1"/>
    <col min="13" max="13" width="36" style="14" customWidth="1"/>
    <col min="14" max="14" width="14" style="14" bestFit="1" customWidth="1"/>
    <col min="15" max="15" width="12" style="14" customWidth="1"/>
    <col min="16" max="16" width="12.19921875" style="17" customWidth="1"/>
    <col min="17" max="16384" width="56.796875" style="14"/>
  </cols>
  <sheetData>
    <row r="1" spans="1:16" s="22" customFormat="1" ht="46.5" x14ac:dyDescent="0.3">
      <c r="A1" s="27" t="s">
        <v>1864</v>
      </c>
      <c r="B1" s="24" t="s">
        <v>1865</v>
      </c>
      <c r="C1" s="24" t="s">
        <v>1866</v>
      </c>
      <c r="D1" s="26" t="s">
        <v>1867</v>
      </c>
      <c r="E1" s="24" t="s">
        <v>1868</v>
      </c>
      <c r="F1" s="31" t="s">
        <v>1869</v>
      </c>
      <c r="G1" s="25" t="s">
        <v>1870</v>
      </c>
    </row>
    <row r="2" spans="1:16" ht="138" x14ac:dyDescent="0.3">
      <c r="A2" s="28" t="s">
        <v>1871</v>
      </c>
      <c r="B2" s="14">
        <v>1</v>
      </c>
      <c r="C2" s="15">
        <v>1</v>
      </c>
      <c r="D2" s="30" t="s">
        <v>1872</v>
      </c>
      <c r="E2" s="16" t="s">
        <v>1873</v>
      </c>
      <c r="F2" s="15">
        <v>4</v>
      </c>
      <c r="G2" s="20" t="s">
        <v>1874</v>
      </c>
      <c r="P2" s="14"/>
    </row>
    <row r="3" spans="1:16" ht="34.5" x14ac:dyDescent="0.3">
      <c r="A3" s="28" t="s">
        <v>1871</v>
      </c>
      <c r="B3" s="14">
        <v>2</v>
      </c>
      <c r="C3" s="15">
        <v>2</v>
      </c>
      <c r="D3" s="30" t="s">
        <v>1875</v>
      </c>
      <c r="E3" s="16" t="s">
        <v>1876</v>
      </c>
      <c r="F3" s="16" t="s">
        <v>1877</v>
      </c>
      <c r="G3" s="20" t="s">
        <v>1878</v>
      </c>
      <c r="P3" s="14"/>
    </row>
    <row r="4" spans="1:16" ht="23" x14ac:dyDescent="0.3">
      <c r="A4" s="28" t="s">
        <v>1871</v>
      </c>
      <c r="B4" s="14">
        <v>3</v>
      </c>
      <c r="C4" s="16" t="s">
        <v>25</v>
      </c>
      <c r="D4" s="30" t="s">
        <v>1879</v>
      </c>
      <c r="E4" s="16" t="s">
        <v>1880</v>
      </c>
      <c r="F4" s="16" t="s">
        <v>1881</v>
      </c>
      <c r="G4" s="20" t="s">
        <v>1882</v>
      </c>
      <c r="P4" s="14"/>
    </row>
    <row r="5" spans="1:16" ht="23" x14ac:dyDescent="0.3">
      <c r="A5" s="28" t="s">
        <v>1871</v>
      </c>
      <c r="B5" s="14">
        <v>4</v>
      </c>
      <c r="C5" s="16" t="s">
        <v>26</v>
      </c>
      <c r="D5" s="30" t="s">
        <v>1883</v>
      </c>
      <c r="E5" s="16" t="s">
        <v>1880</v>
      </c>
      <c r="F5" s="16" t="s">
        <v>1884</v>
      </c>
      <c r="G5" s="20" t="s">
        <v>1885</v>
      </c>
      <c r="P5" s="14"/>
    </row>
    <row r="6" spans="1:16" ht="23" x14ac:dyDescent="0.3">
      <c r="A6" s="28" t="s">
        <v>1871</v>
      </c>
      <c r="B6" s="14">
        <v>5</v>
      </c>
      <c r="C6" s="15">
        <v>4</v>
      </c>
      <c r="D6" s="30" t="s">
        <v>1886</v>
      </c>
      <c r="E6" s="16" t="s">
        <v>1887</v>
      </c>
      <c r="F6" s="16" t="s">
        <v>1888</v>
      </c>
      <c r="G6" s="20" t="s">
        <v>1889</v>
      </c>
      <c r="P6" s="14"/>
    </row>
    <row r="7" spans="1:16" ht="23" x14ac:dyDescent="0.3">
      <c r="A7" s="28" t="s">
        <v>1871</v>
      </c>
      <c r="B7" s="14">
        <v>6</v>
      </c>
      <c r="C7" s="15">
        <v>5</v>
      </c>
      <c r="D7" s="30" t="s">
        <v>1871</v>
      </c>
      <c r="E7" s="16" t="s">
        <v>1890</v>
      </c>
      <c r="F7" s="16" t="s">
        <v>1891</v>
      </c>
      <c r="G7" s="20" t="s">
        <v>1892</v>
      </c>
      <c r="P7" s="14"/>
    </row>
    <row r="8" spans="1:16" ht="23" x14ac:dyDescent="0.3">
      <c r="A8" s="28" t="s">
        <v>1871</v>
      </c>
      <c r="B8" s="14">
        <v>7</v>
      </c>
      <c r="C8" s="15">
        <v>6</v>
      </c>
      <c r="D8" s="30" t="s">
        <v>1893</v>
      </c>
      <c r="E8" s="16" t="s">
        <v>1894</v>
      </c>
      <c r="F8" s="16" t="s">
        <v>184</v>
      </c>
      <c r="G8" s="20" t="s">
        <v>1895</v>
      </c>
      <c r="P8" s="14"/>
    </row>
    <row r="9" spans="1:16" ht="57.5" x14ac:dyDescent="0.3">
      <c r="A9" s="28" t="s">
        <v>1871</v>
      </c>
      <c r="B9" s="14">
        <v>8</v>
      </c>
      <c r="C9" s="15">
        <v>7</v>
      </c>
      <c r="D9" s="30" t="s">
        <v>1896</v>
      </c>
      <c r="E9" s="16" t="s">
        <v>1897</v>
      </c>
      <c r="F9" s="16" t="s">
        <v>131</v>
      </c>
      <c r="G9" s="20" t="s">
        <v>1898</v>
      </c>
      <c r="P9" s="14"/>
    </row>
    <row r="10" spans="1:16" ht="57.5" x14ac:dyDescent="0.3">
      <c r="A10" s="28" t="s">
        <v>1871</v>
      </c>
      <c r="B10" s="14">
        <v>9</v>
      </c>
      <c r="C10" s="15">
        <v>7</v>
      </c>
      <c r="D10" s="30" t="s">
        <v>1899</v>
      </c>
      <c r="E10" s="16" t="s">
        <v>1897</v>
      </c>
      <c r="F10" s="16" t="s">
        <v>131</v>
      </c>
      <c r="G10" s="20" t="s">
        <v>1898</v>
      </c>
      <c r="P10" s="14"/>
    </row>
    <row r="11" spans="1:16" ht="23" x14ac:dyDescent="0.3">
      <c r="A11" s="28" t="s">
        <v>1871</v>
      </c>
      <c r="B11" s="14">
        <v>10</v>
      </c>
      <c r="C11" s="15">
        <v>8</v>
      </c>
      <c r="D11" s="30" t="s">
        <v>1900</v>
      </c>
      <c r="E11" s="16" t="s">
        <v>1901</v>
      </c>
      <c r="F11" s="16" t="s">
        <v>1902</v>
      </c>
      <c r="G11" s="20" t="s">
        <v>1903</v>
      </c>
      <c r="P11" s="14"/>
    </row>
    <row r="12" spans="1:16" ht="103.5" x14ac:dyDescent="0.3">
      <c r="A12" s="28" t="s">
        <v>1871</v>
      </c>
      <c r="B12" s="14">
        <v>11</v>
      </c>
      <c r="C12" s="15">
        <v>9</v>
      </c>
      <c r="D12" s="30" t="s">
        <v>1904</v>
      </c>
      <c r="E12" s="16" t="s">
        <v>1894</v>
      </c>
      <c r="F12" s="16" t="s">
        <v>132</v>
      </c>
      <c r="G12" s="20" t="s">
        <v>1905</v>
      </c>
      <c r="P12" s="14"/>
    </row>
    <row r="13" spans="1:16" ht="409.5" x14ac:dyDescent="0.3">
      <c r="A13" s="28" t="s">
        <v>1871</v>
      </c>
      <c r="B13" s="14">
        <v>12</v>
      </c>
      <c r="C13" s="15">
        <v>10</v>
      </c>
      <c r="D13" s="30" t="s">
        <v>1906</v>
      </c>
      <c r="E13" s="16" t="s">
        <v>1894</v>
      </c>
      <c r="F13" s="16" t="s">
        <v>1907</v>
      </c>
      <c r="G13" s="20" t="s">
        <v>1908</v>
      </c>
      <c r="P13" s="14"/>
    </row>
    <row r="14" spans="1:16" ht="69" x14ac:dyDescent="0.3">
      <c r="A14" s="28" t="s">
        <v>1871</v>
      </c>
      <c r="B14" s="14">
        <v>13</v>
      </c>
      <c r="C14" s="15">
        <v>11</v>
      </c>
      <c r="D14" s="30" t="s">
        <v>1909</v>
      </c>
      <c r="E14" s="16" t="s">
        <v>1897</v>
      </c>
      <c r="F14" s="16" t="s">
        <v>1910</v>
      </c>
      <c r="G14" s="20" t="s">
        <v>1911</v>
      </c>
      <c r="P14" s="14"/>
    </row>
    <row r="15" spans="1:16" ht="69" x14ac:dyDescent="0.3">
      <c r="A15" s="28" t="s">
        <v>1871</v>
      </c>
      <c r="B15" s="14">
        <v>14</v>
      </c>
      <c r="C15" s="15">
        <v>11</v>
      </c>
      <c r="D15" s="28" t="s">
        <v>1912</v>
      </c>
      <c r="E15" s="16" t="s">
        <v>1897</v>
      </c>
      <c r="F15" s="16" t="s">
        <v>1910</v>
      </c>
      <c r="G15" s="20" t="s">
        <v>1911</v>
      </c>
      <c r="P15" s="14"/>
    </row>
    <row r="16" spans="1:16" ht="23" x14ac:dyDescent="0.3">
      <c r="A16" s="28" t="s">
        <v>1871</v>
      </c>
      <c r="B16" s="14">
        <v>15</v>
      </c>
      <c r="C16" s="15">
        <v>12</v>
      </c>
      <c r="D16" s="30" t="s">
        <v>1913</v>
      </c>
      <c r="E16" s="16" t="s">
        <v>1914</v>
      </c>
      <c r="F16" s="16" t="s">
        <v>1915</v>
      </c>
      <c r="G16" s="20" t="s">
        <v>1916</v>
      </c>
      <c r="P16" s="14"/>
    </row>
    <row r="17" spans="1:16" ht="23" x14ac:dyDescent="0.3">
      <c r="A17" s="28" t="s">
        <v>1871</v>
      </c>
      <c r="B17" s="14">
        <v>16</v>
      </c>
      <c r="C17" s="15">
        <v>13</v>
      </c>
      <c r="D17" s="30" t="s">
        <v>1917</v>
      </c>
      <c r="E17" s="16" t="s">
        <v>1873</v>
      </c>
      <c r="F17" s="16">
        <v>12</v>
      </c>
      <c r="G17" s="20" t="s">
        <v>1918</v>
      </c>
      <c r="P17" s="14"/>
    </row>
    <row r="18" spans="1:16" ht="46" x14ac:dyDescent="0.3">
      <c r="A18" s="28" t="s">
        <v>1871</v>
      </c>
      <c r="B18" s="14">
        <v>17</v>
      </c>
      <c r="C18" s="15">
        <v>14</v>
      </c>
      <c r="D18" s="30" t="s">
        <v>1919</v>
      </c>
      <c r="E18" s="16" t="s">
        <v>1894</v>
      </c>
      <c r="F18" s="16" t="s">
        <v>1920</v>
      </c>
      <c r="G18" s="20" t="s">
        <v>1921</v>
      </c>
      <c r="P18" s="14"/>
    </row>
    <row r="19" spans="1:16" ht="46" x14ac:dyDescent="0.3">
      <c r="A19" s="28" t="s">
        <v>1871</v>
      </c>
      <c r="B19" s="14">
        <v>18</v>
      </c>
      <c r="C19" s="15" t="s">
        <v>27</v>
      </c>
      <c r="D19" s="30" t="s">
        <v>1922</v>
      </c>
      <c r="E19" s="16" t="s">
        <v>1897</v>
      </c>
      <c r="F19" s="16" t="s">
        <v>1335</v>
      </c>
      <c r="G19" s="20" t="s">
        <v>1923</v>
      </c>
      <c r="P19" s="14"/>
    </row>
    <row r="20" spans="1:16" ht="46" x14ac:dyDescent="0.3">
      <c r="A20" s="28" t="s">
        <v>1871</v>
      </c>
      <c r="B20" s="14">
        <v>19</v>
      </c>
      <c r="C20" s="15" t="s">
        <v>28</v>
      </c>
      <c r="D20" s="30" t="s">
        <v>1924</v>
      </c>
      <c r="E20" s="16" t="s">
        <v>1897</v>
      </c>
      <c r="F20" s="16" t="s">
        <v>1811</v>
      </c>
      <c r="G20" s="20" t="s">
        <v>1925</v>
      </c>
      <c r="P20" s="14"/>
    </row>
    <row r="21" spans="1:16" ht="34.5" x14ac:dyDescent="0.3">
      <c r="A21" s="28" t="s">
        <v>1871</v>
      </c>
      <c r="B21" s="14">
        <v>20</v>
      </c>
      <c r="C21" s="15">
        <v>16</v>
      </c>
      <c r="D21" s="28" t="s">
        <v>1926</v>
      </c>
      <c r="E21" s="16" t="s">
        <v>1927</v>
      </c>
      <c r="F21" s="16" t="s">
        <v>315</v>
      </c>
      <c r="G21" s="20" t="s">
        <v>1928</v>
      </c>
      <c r="P21" s="14"/>
    </row>
    <row r="22" spans="1:16" ht="34.5" x14ac:dyDescent="0.3">
      <c r="A22" s="28" t="s">
        <v>1871</v>
      </c>
      <c r="B22" s="14">
        <v>21</v>
      </c>
      <c r="C22" s="15">
        <v>17</v>
      </c>
      <c r="D22" s="30" t="s">
        <v>1929</v>
      </c>
      <c r="E22" s="16" t="s">
        <v>1930</v>
      </c>
      <c r="F22" s="16" t="s">
        <v>1931</v>
      </c>
      <c r="G22" s="20" t="s">
        <v>1932</v>
      </c>
      <c r="P22" s="14"/>
    </row>
    <row r="23" spans="1:16" ht="23" x14ac:dyDescent="0.3">
      <c r="A23" s="28" t="s">
        <v>1871</v>
      </c>
      <c r="B23" s="14">
        <v>22</v>
      </c>
      <c r="C23" s="15">
        <v>18</v>
      </c>
      <c r="D23" s="30" t="s">
        <v>1933</v>
      </c>
      <c r="E23" s="16" t="s">
        <v>1934</v>
      </c>
      <c r="F23" s="16" t="b">
        <v>1</v>
      </c>
      <c r="G23" s="20" t="s">
        <v>1935</v>
      </c>
      <c r="P23" s="14"/>
    </row>
    <row r="24" spans="1:16" ht="23" x14ac:dyDescent="0.3">
      <c r="A24" s="28" t="s">
        <v>1871</v>
      </c>
      <c r="B24" s="14">
        <v>23</v>
      </c>
      <c r="C24" s="15">
        <v>19</v>
      </c>
      <c r="D24" s="30" t="s">
        <v>1936</v>
      </c>
      <c r="E24" s="16" t="s">
        <v>1937</v>
      </c>
      <c r="F24" s="16" t="s">
        <v>1938</v>
      </c>
      <c r="G24" s="20" t="s">
        <v>1939</v>
      </c>
      <c r="P24" s="14"/>
    </row>
    <row r="25" spans="1:16" ht="23" x14ac:dyDescent="0.3">
      <c r="A25" s="28" t="s">
        <v>1871</v>
      </c>
      <c r="B25" s="14">
        <v>24</v>
      </c>
      <c r="C25" s="15">
        <v>20</v>
      </c>
      <c r="D25" s="30" t="s">
        <v>1940</v>
      </c>
      <c r="E25" s="16" t="s">
        <v>1941</v>
      </c>
      <c r="F25" s="16" t="s">
        <v>1942</v>
      </c>
      <c r="G25" s="20" t="s">
        <v>1943</v>
      </c>
      <c r="P25" s="14"/>
    </row>
    <row r="26" spans="1:16" ht="34.5" x14ac:dyDescent="0.3">
      <c r="A26" s="28" t="s">
        <v>1871</v>
      </c>
      <c r="B26" s="14">
        <v>25</v>
      </c>
      <c r="C26" s="15">
        <v>21</v>
      </c>
      <c r="D26" s="28" t="s">
        <v>1944</v>
      </c>
      <c r="E26" s="16" t="s">
        <v>1945</v>
      </c>
      <c r="F26" s="16">
        <v>42.66</v>
      </c>
      <c r="G26" s="20" t="s">
        <v>1946</v>
      </c>
      <c r="P26" s="14"/>
    </row>
    <row r="27" spans="1:16" ht="23" x14ac:dyDescent="0.3">
      <c r="A27" s="28" t="s">
        <v>1871</v>
      </c>
      <c r="B27" s="14">
        <v>26</v>
      </c>
      <c r="C27" s="15">
        <v>22</v>
      </c>
      <c r="D27" s="28" t="s">
        <v>1947</v>
      </c>
      <c r="E27" s="16" t="s">
        <v>1945</v>
      </c>
      <c r="F27" s="16">
        <v>12.25</v>
      </c>
      <c r="G27" s="20" t="s">
        <v>1948</v>
      </c>
      <c r="P27" s="14"/>
    </row>
    <row r="28" spans="1:16" ht="23" x14ac:dyDescent="0.3">
      <c r="A28" s="28" t="s">
        <v>1871</v>
      </c>
      <c r="B28" s="14">
        <v>27</v>
      </c>
      <c r="C28" s="15">
        <v>23</v>
      </c>
      <c r="D28" s="28" t="s">
        <v>1949</v>
      </c>
      <c r="E28" s="16" t="s">
        <v>1950</v>
      </c>
      <c r="F28" s="16">
        <v>230</v>
      </c>
      <c r="G28" s="20" t="s">
        <v>1951</v>
      </c>
      <c r="P28" s="14"/>
    </row>
    <row r="29" spans="1:16" ht="34.5" x14ac:dyDescent="0.3">
      <c r="A29" s="28" t="s">
        <v>1871</v>
      </c>
      <c r="B29" s="14">
        <v>28</v>
      </c>
      <c r="C29" s="15">
        <v>24</v>
      </c>
      <c r="D29" s="30" t="s">
        <v>1952</v>
      </c>
      <c r="E29" s="16" t="s">
        <v>1953</v>
      </c>
      <c r="F29" s="16" t="s">
        <v>1954</v>
      </c>
      <c r="G29" s="20" t="s">
        <v>1955</v>
      </c>
      <c r="P29" s="14"/>
    </row>
    <row r="30" spans="1:16" ht="34.5" x14ac:dyDescent="0.3">
      <c r="A30" s="28" t="s">
        <v>1871</v>
      </c>
      <c r="B30" s="14">
        <v>29</v>
      </c>
      <c r="C30" s="15">
        <v>25</v>
      </c>
      <c r="D30" s="30" t="s">
        <v>1956</v>
      </c>
      <c r="E30" s="16" t="s">
        <v>1957</v>
      </c>
      <c r="F30" s="16">
        <v>1</v>
      </c>
      <c r="G30" s="20" t="s">
        <v>1958</v>
      </c>
      <c r="J30" s="18"/>
      <c r="P30" s="14"/>
    </row>
    <row r="31" spans="1:16" ht="23" x14ac:dyDescent="0.3">
      <c r="A31" s="28" t="s">
        <v>1871</v>
      </c>
      <c r="B31" s="14">
        <v>30</v>
      </c>
      <c r="C31" s="15">
        <v>26</v>
      </c>
      <c r="D31" s="30" t="s">
        <v>1959</v>
      </c>
      <c r="E31" s="16" t="s">
        <v>1960</v>
      </c>
      <c r="F31" s="16">
        <v>78493</v>
      </c>
      <c r="G31" s="20" t="s">
        <v>1961</v>
      </c>
      <c r="J31" s="18"/>
      <c r="P31" s="14"/>
    </row>
    <row r="32" spans="1:16" ht="23" x14ac:dyDescent="0.3">
      <c r="A32" s="28" t="s">
        <v>1871</v>
      </c>
      <c r="B32" s="14">
        <v>31</v>
      </c>
      <c r="C32" s="15">
        <v>27</v>
      </c>
      <c r="D32" s="30" t="s">
        <v>1962</v>
      </c>
      <c r="E32" s="16" t="s">
        <v>1960</v>
      </c>
      <c r="F32" s="16">
        <v>432</v>
      </c>
      <c r="G32" s="20" t="s">
        <v>1963</v>
      </c>
      <c r="J32" s="18"/>
      <c r="P32" s="14"/>
    </row>
    <row r="33" spans="1:16" ht="23" x14ac:dyDescent="0.3">
      <c r="A33" s="28" t="s">
        <v>1871</v>
      </c>
      <c r="B33" s="14">
        <v>32</v>
      </c>
      <c r="C33" s="15">
        <v>28</v>
      </c>
      <c r="D33" s="30" t="s">
        <v>1964</v>
      </c>
      <c r="E33" s="16" t="s">
        <v>1960</v>
      </c>
      <c r="F33" s="16">
        <v>92</v>
      </c>
      <c r="G33" s="20" t="s">
        <v>1965</v>
      </c>
      <c r="P33" s="14"/>
    </row>
    <row r="34" spans="1:16" ht="23" x14ac:dyDescent="0.3">
      <c r="A34" s="28" t="s">
        <v>1871</v>
      </c>
      <c r="B34" s="14">
        <v>33</v>
      </c>
      <c r="C34" s="15">
        <v>29</v>
      </c>
      <c r="D34" s="30" t="s">
        <v>1966</v>
      </c>
      <c r="E34" s="16" t="s">
        <v>1967</v>
      </c>
      <c r="F34" s="16" t="s">
        <v>1968</v>
      </c>
      <c r="G34" s="20" t="s">
        <v>1969</v>
      </c>
      <c r="P34" s="14"/>
    </row>
    <row r="35" spans="1:16" ht="46" x14ac:dyDescent="0.3">
      <c r="A35" s="29" t="s">
        <v>1970</v>
      </c>
      <c r="B35" s="14">
        <v>34</v>
      </c>
      <c r="C35" s="15">
        <v>30</v>
      </c>
      <c r="D35" s="30" t="s">
        <v>1971</v>
      </c>
      <c r="E35" s="16" t="s">
        <v>1972</v>
      </c>
      <c r="F35" s="16" t="b">
        <v>1</v>
      </c>
      <c r="G35" s="21" t="s">
        <v>1973</v>
      </c>
      <c r="P35" s="14"/>
    </row>
    <row r="36" spans="1:16" ht="46" x14ac:dyDescent="0.3">
      <c r="A36" s="29" t="s">
        <v>1970</v>
      </c>
      <c r="B36" s="14">
        <v>35</v>
      </c>
      <c r="C36" s="15">
        <v>31</v>
      </c>
      <c r="D36" s="28" t="s">
        <v>1974</v>
      </c>
      <c r="E36" s="16" t="s">
        <v>1975</v>
      </c>
      <c r="F36" s="16" t="s">
        <v>1976</v>
      </c>
      <c r="G36" s="21" t="s">
        <v>1977</v>
      </c>
      <c r="P36" s="14"/>
    </row>
    <row r="37" spans="1:16" ht="46" x14ac:dyDescent="0.3">
      <c r="A37" s="29" t="s">
        <v>1970</v>
      </c>
      <c r="B37" s="14">
        <v>36</v>
      </c>
      <c r="C37" s="15">
        <v>32</v>
      </c>
      <c r="D37" s="30" t="s">
        <v>1978</v>
      </c>
      <c r="E37" s="16" t="s">
        <v>1937</v>
      </c>
      <c r="F37" s="16" t="s">
        <v>1979</v>
      </c>
      <c r="G37" s="21" t="s">
        <v>1980</v>
      </c>
      <c r="P37" s="14"/>
    </row>
    <row r="38" spans="1:16" ht="46" x14ac:dyDescent="0.3">
      <c r="A38" s="29" t="s">
        <v>1970</v>
      </c>
      <c r="B38" s="14">
        <v>37</v>
      </c>
      <c r="C38" s="15">
        <v>33</v>
      </c>
      <c r="D38" s="30" t="s">
        <v>1981</v>
      </c>
      <c r="E38" s="16" t="s">
        <v>1982</v>
      </c>
      <c r="F38" s="16">
        <v>2022</v>
      </c>
      <c r="G38" s="21" t="s">
        <v>1983</v>
      </c>
      <c r="P38" s="14"/>
    </row>
    <row r="39" spans="1:16" ht="46" x14ac:dyDescent="0.3">
      <c r="A39" s="29" t="s">
        <v>1970</v>
      </c>
      <c r="B39" s="14">
        <v>38</v>
      </c>
      <c r="C39" s="15">
        <v>34</v>
      </c>
      <c r="D39" s="30" t="s">
        <v>1984</v>
      </c>
      <c r="E39" s="16" t="s">
        <v>1985</v>
      </c>
      <c r="F39" s="16">
        <v>2019</v>
      </c>
      <c r="G39" s="21" t="s">
        <v>1986</v>
      </c>
      <c r="P39" s="14"/>
    </row>
    <row r="40" spans="1:16" ht="46" x14ac:dyDescent="0.3">
      <c r="A40" s="29" t="s">
        <v>1970</v>
      </c>
      <c r="B40" s="14">
        <v>39</v>
      </c>
      <c r="C40" s="15">
        <v>35</v>
      </c>
      <c r="D40" s="30" t="s">
        <v>1987</v>
      </c>
      <c r="E40" s="16" t="s">
        <v>1972</v>
      </c>
      <c r="F40" s="16" t="b">
        <v>0</v>
      </c>
      <c r="G40" s="21" t="s">
        <v>1988</v>
      </c>
      <c r="P40" s="14"/>
    </row>
    <row r="41" spans="1:16" ht="46" x14ac:dyDescent="0.3">
      <c r="A41" s="29" t="s">
        <v>1970</v>
      </c>
      <c r="B41" s="14">
        <v>40</v>
      </c>
      <c r="C41" s="15">
        <v>36</v>
      </c>
      <c r="D41" s="30" t="s">
        <v>1989</v>
      </c>
      <c r="E41" s="16" t="s">
        <v>1990</v>
      </c>
      <c r="F41" s="16" t="s">
        <v>207</v>
      </c>
      <c r="G41" s="21" t="s">
        <v>1991</v>
      </c>
      <c r="P41" s="14"/>
    </row>
    <row r="42" spans="1:16" ht="46" x14ac:dyDescent="0.3">
      <c r="A42" s="29" t="s">
        <v>1970</v>
      </c>
      <c r="B42" s="14">
        <v>41</v>
      </c>
      <c r="C42" s="15">
        <v>37</v>
      </c>
      <c r="D42" s="30" t="s">
        <v>1992</v>
      </c>
      <c r="E42" s="16" t="s">
        <v>1990</v>
      </c>
      <c r="F42" s="16">
        <v>2025</v>
      </c>
      <c r="G42" s="21" t="s">
        <v>1993</v>
      </c>
      <c r="P42" s="14"/>
    </row>
    <row r="43" spans="1:16" ht="69" x14ac:dyDescent="0.3">
      <c r="A43" s="29" t="s">
        <v>1970</v>
      </c>
      <c r="B43" s="14">
        <v>42</v>
      </c>
      <c r="C43" s="15">
        <v>38</v>
      </c>
      <c r="D43" s="28" t="s">
        <v>1994</v>
      </c>
      <c r="E43" s="16" t="s">
        <v>1995</v>
      </c>
      <c r="F43" s="16" t="s">
        <v>1996</v>
      </c>
      <c r="G43" s="21" t="s">
        <v>1997</v>
      </c>
      <c r="P43" s="14"/>
    </row>
    <row r="44" spans="1:16" ht="57.5" x14ac:dyDescent="0.3">
      <c r="A44" s="29" t="s">
        <v>1970</v>
      </c>
      <c r="B44" s="14">
        <v>43</v>
      </c>
      <c r="C44" s="15">
        <v>39</v>
      </c>
      <c r="D44" s="30" t="s">
        <v>1998</v>
      </c>
      <c r="E44" s="16" t="s">
        <v>1972</v>
      </c>
      <c r="F44" s="16" t="b">
        <v>1</v>
      </c>
      <c r="G44" s="21" t="s">
        <v>1999</v>
      </c>
      <c r="P44" s="14"/>
    </row>
    <row r="45" spans="1:16" ht="34.5" x14ac:dyDescent="0.3">
      <c r="A45" s="29" t="s">
        <v>2000</v>
      </c>
      <c r="B45" s="14">
        <v>44</v>
      </c>
      <c r="C45" s="15" t="s">
        <v>29</v>
      </c>
      <c r="D45" s="30" t="s">
        <v>2001</v>
      </c>
      <c r="E45" s="16" t="s">
        <v>1894</v>
      </c>
      <c r="F45" s="16" t="s">
        <v>1110</v>
      </c>
      <c r="G45" s="20" t="s">
        <v>2002</v>
      </c>
      <c r="P45" s="14"/>
    </row>
    <row r="46" spans="1:16" ht="23" x14ac:dyDescent="0.3">
      <c r="A46" s="29" t="s">
        <v>2000</v>
      </c>
      <c r="B46" s="14">
        <v>45</v>
      </c>
      <c r="C46" s="15" t="s">
        <v>30</v>
      </c>
      <c r="D46" s="30" t="s">
        <v>2003</v>
      </c>
      <c r="E46" s="16" t="s">
        <v>1975</v>
      </c>
      <c r="F46" s="16" t="s">
        <v>2004</v>
      </c>
      <c r="G46" s="20" t="s">
        <v>2005</v>
      </c>
      <c r="P46" s="14"/>
    </row>
    <row r="47" spans="1:16" ht="23" x14ac:dyDescent="0.3">
      <c r="A47" s="29" t="s">
        <v>2000</v>
      </c>
      <c r="B47" s="14">
        <v>46</v>
      </c>
      <c r="C47" s="15" t="s">
        <v>31</v>
      </c>
      <c r="D47" s="30" t="s">
        <v>2006</v>
      </c>
      <c r="E47" s="16" t="s">
        <v>1894</v>
      </c>
      <c r="F47" s="16" t="s">
        <v>1130</v>
      </c>
      <c r="G47" s="20" t="s">
        <v>2007</v>
      </c>
      <c r="P47" s="14"/>
    </row>
    <row r="48" spans="1:16" ht="23" x14ac:dyDescent="0.3">
      <c r="A48" s="29" t="s">
        <v>2000</v>
      </c>
      <c r="B48" s="14">
        <v>47</v>
      </c>
      <c r="C48" s="15" t="s">
        <v>32</v>
      </c>
      <c r="D48" s="28" t="s">
        <v>2008</v>
      </c>
      <c r="E48" s="16" t="s">
        <v>1894</v>
      </c>
      <c r="F48" s="16" t="s">
        <v>2009</v>
      </c>
      <c r="G48" s="20" t="s">
        <v>2010</v>
      </c>
      <c r="P48" s="14"/>
    </row>
    <row r="49" spans="1:16" ht="23" x14ac:dyDescent="0.3">
      <c r="A49" s="29" t="s">
        <v>2000</v>
      </c>
      <c r="B49" s="14">
        <v>48</v>
      </c>
      <c r="C49" s="15" t="s">
        <v>33</v>
      </c>
      <c r="D49" s="30" t="s">
        <v>2011</v>
      </c>
      <c r="E49" s="16" t="s">
        <v>1927</v>
      </c>
      <c r="F49" s="16" t="s">
        <v>2012</v>
      </c>
      <c r="G49" s="20" t="s">
        <v>2013</v>
      </c>
      <c r="P49" s="14"/>
    </row>
    <row r="50" spans="1:16" ht="23" x14ac:dyDescent="0.3">
      <c r="A50" s="29" t="s">
        <v>2000</v>
      </c>
      <c r="B50" s="14">
        <v>49</v>
      </c>
      <c r="C50" s="15" t="s">
        <v>34</v>
      </c>
      <c r="D50" s="30" t="s">
        <v>2014</v>
      </c>
      <c r="E50" s="16" t="s">
        <v>1927</v>
      </c>
      <c r="F50" s="16" t="s">
        <v>2015</v>
      </c>
      <c r="G50" s="20" t="s">
        <v>2016</v>
      </c>
      <c r="P50" s="14"/>
    </row>
    <row r="51" spans="1:16" ht="23" x14ac:dyDescent="0.3">
      <c r="A51" s="29" t="s">
        <v>2000</v>
      </c>
      <c r="B51" s="14">
        <v>50</v>
      </c>
      <c r="C51" s="15">
        <v>43</v>
      </c>
      <c r="D51" s="30" t="s">
        <v>2017</v>
      </c>
      <c r="E51" s="16" t="s">
        <v>1937</v>
      </c>
      <c r="F51" s="16" t="s">
        <v>2018</v>
      </c>
      <c r="G51" s="20" t="s">
        <v>2019</v>
      </c>
      <c r="P51" s="14"/>
    </row>
    <row r="52" spans="1:16" ht="23" x14ac:dyDescent="0.3">
      <c r="A52" s="29" t="s">
        <v>2000</v>
      </c>
      <c r="B52" s="14">
        <v>51</v>
      </c>
      <c r="C52" s="15">
        <v>44</v>
      </c>
      <c r="D52" s="30" t="s">
        <v>2020</v>
      </c>
      <c r="E52" s="16" t="s">
        <v>1975</v>
      </c>
      <c r="F52" s="16" t="s">
        <v>2021</v>
      </c>
      <c r="G52" s="20" t="s">
        <v>2022</v>
      </c>
      <c r="P52" s="14"/>
    </row>
    <row r="53" spans="1:16" ht="34.5" x14ac:dyDescent="0.3">
      <c r="A53" s="29" t="s">
        <v>2000</v>
      </c>
      <c r="B53" s="14">
        <v>52</v>
      </c>
      <c r="C53" s="15">
        <v>45</v>
      </c>
      <c r="D53" s="30" t="s">
        <v>2023</v>
      </c>
      <c r="E53" s="16" t="s">
        <v>1894</v>
      </c>
      <c r="F53" s="16" t="s">
        <v>973</v>
      </c>
      <c r="G53" s="20" t="s">
        <v>2024</v>
      </c>
      <c r="P53" s="14"/>
    </row>
    <row r="54" spans="1:16" ht="23" x14ac:dyDescent="0.3">
      <c r="A54" s="29" t="s">
        <v>2000</v>
      </c>
      <c r="B54" s="14">
        <v>53</v>
      </c>
      <c r="C54" s="15">
        <v>46</v>
      </c>
      <c r="D54" s="30" t="s">
        <v>2025</v>
      </c>
      <c r="E54" s="16" t="s">
        <v>1985</v>
      </c>
      <c r="F54" s="16">
        <v>2019</v>
      </c>
      <c r="G54" s="20" t="s">
        <v>2026</v>
      </c>
      <c r="P54" s="14"/>
    </row>
    <row r="55" spans="1:16" ht="69" x14ac:dyDescent="0.3">
      <c r="A55" s="29" t="s">
        <v>2027</v>
      </c>
      <c r="B55" s="14">
        <v>54</v>
      </c>
      <c r="C55" s="15">
        <v>47</v>
      </c>
      <c r="D55" s="30" t="s">
        <v>2028</v>
      </c>
      <c r="E55" s="16" t="s">
        <v>1894</v>
      </c>
      <c r="F55" s="16" t="s">
        <v>1451</v>
      </c>
      <c r="G55" s="20" t="s">
        <v>2029</v>
      </c>
      <c r="P55" s="14"/>
    </row>
    <row r="56" spans="1:16" ht="23" x14ac:dyDescent="0.3">
      <c r="A56" s="29" t="s">
        <v>2027</v>
      </c>
      <c r="B56" s="14">
        <v>55</v>
      </c>
      <c r="C56" s="15">
        <v>48</v>
      </c>
      <c r="D56" s="30" t="s">
        <v>2030</v>
      </c>
      <c r="E56" s="16" t="s">
        <v>1894</v>
      </c>
      <c r="F56" s="16">
        <v>3</v>
      </c>
      <c r="G56" s="20" t="s">
        <v>2031</v>
      </c>
      <c r="P56" s="14"/>
    </row>
    <row r="57" spans="1:16" ht="31.9" customHeight="1" x14ac:dyDescent="0.3">
      <c r="A57" s="29" t="s">
        <v>2027</v>
      </c>
      <c r="B57" s="14">
        <v>56</v>
      </c>
      <c r="C57" s="15">
        <v>49</v>
      </c>
      <c r="D57" s="30" t="s">
        <v>2032</v>
      </c>
      <c r="E57" s="16" t="s">
        <v>1975</v>
      </c>
      <c r="F57" s="23">
        <v>45809</v>
      </c>
      <c r="G57" s="20" t="s">
        <v>2033</v>
      </c>
      <c r="P57" s="14"/>
    </row>
    <row r="58" spans="1:16" ht="34.5" x14ac:dyDescent="0.3">
      <c r="A58" s="29" t="s">
        <v>2027</v>
      </c>
      <c r="B58" s="14">
        <v>57</v>
      </c>
      <c r="C58" s="15">
        <v>50</v>
      </c>
      <c r="D58" s="30" t="s">
        <v>2034</v>
      </c>
      <c r="E58" s="16" t="s">
        <v>2035</v>
      </c>
      <c r="F58" s="23">
        <v>45809</v>
      </c>
      <c r="G58" s="20" t="s">
        <v>2036</v>
      </c>
      <c r="P58" s="14"/>
    </row>
    <row r="59" spans="1:16" ht="46" x14ac:dyDescent="0.3">
      <c r="A59" s="29" t="s">
        <v>2027</v>
      </c>
      <c r="B59" s="14">
        <v>58</v>
      </c>
      <c r="C59" s="15">
        <v>51</v>
      </c>
      <c r="D59" s="28" t="s">
        <v>2037</v>
      </c>
      <c r="E59" s="16" t="s">
        <v>2038</v>
      </c>
      <c r="F59" s="16" t="s">
        <v>2039</v>
      </c>
      <c r="G59" s="20" t="s">
        <v>2040</v>
      </c>
      <c r="P59" s="14"/>
    </row>
    <row r="60" spans="1:16" ht="57.5" x14ac:dyDescent="0.3">
      <c r="A60" s="29" t="s">
        <v>2027</v>
      </c>
      <c r="B60" s="14">
        <v>59</v>
      </c>
      <c r="C60" s="15">
        <v>52</v>
      </c>
      <c r="D60" s="28" t="s">
        <v>2041</v>
      </c>
      <c r="E60" s="16" t="s">
        <v>1897</v>
      </c>
      <c r="F60" s="16" t="s">
        <v>1063</v>
      </c>
      <c r="G60" s="20" t="s">
        <v>2042</v>
      </c>
      <c r="P60" s="14"/>
    </row>
    <row r="61" spans="1:16" ht="57.5" x14ac:dyDescent="0.3">
      <c r="A61" s="29" t="s">
        <v>2027</v>
      </c>
      <c r="B61" s="14">
        <v>60</v>
      </c>
      <c r="C61" s="15">
        <v>52</v>
      </c>
      <c r="D61" s="28" t="s">
        <v>94</v>
      </c>
      <c r="E61" s="16" t="s">
        <v>1897</v>
      </c>
      <c r="F61" s="16" t="s">
        <v>1063</v>
      </c>
      <c r="G61" s="20" t="s">
        <v>2042</v>
      </c>
      <c r="P61" s="14"/>
    </row>
    <row r="62" spans="1:16" ht="34.5" x14ac:dyDescent="0.3">
      <c r="A62" s="29" t="s">
        <v>2027</v>
      </c>
      <c r="B62" s="14">
        <v>61</v>
      </c>
      <c r="C62" s="15">
        <v>53</v>
      </c>
      <c r="D62" s="30" t="s">
        <v>2043</v>
      </c>
      <c r="E62" s="16" t="s">
        <v>1972</v>
      </c>
      <c r="F62" s="16" t="b">
        <v>1</v>
      </c>
      <c r="G62" s="20" t="s">
        <v>2044</v>
      </c>
      <c r="P62" s="14"/>
    </row>
    <row r="63" spans="1:16" ht="34.5" x14ac:dyDescent="0.3">
      <c r="A63" s="29" t="s">
        <v>2045</v>
      </c>
      <c r="B63" s="14">
        <v>62</v>
      </c>
      <c r="C63" s="15">
        <v>54</v>
      </c>
      <c r="D63" s="28" t="s">
        <v>2046</v>
      </c>
      <c r="E63" s="14" t="s">
        <v>2047</v>
      </c>
      <c r="F63" s="16" t="s">
        <v>2048</v>
      </c>
      <c r="G63" s="21" t="s">
        <v>2049</v>
      </c>
      <c r="P63" s="14"/>
    </row>
    <row r="64" spans="1:16" ht="57.5" x14ac:dyDescent="0.3">
      <c r="A64" s="29" t="s">
        <v>2045</v>
      </c>
      <c r="B64" s="14">
        <v>63</v>
      </c>
      <c r="C64" s="15">
        <v>55</v>
      </c>
      <c r="D64" s="30" t="s">
        <v>2050</v>
      </c>
      <c r="E64" s="14" t="s">
        <v>2051</v>
      </c>
      <c r="F64" s="16" t="s">
        <v>2052</v>
      </c>
      <c r="G64" s="20" t="s">
        <v>2053</v>
      </c>
      <c r="P64" s="14"/>
    </row>
    <row r="65" spans="1:16" ht="69" x14ac:dyDescent="0.3">
      <c r="A65" s="29" t="s">
        <v>2045</v>
      </c>
      <c r="B65" s="14">
        <v>64</v>
      </c>
      <c r="C65" s="15">
        <v>56</v>
      </c>
      <c r="D65" s="30" t="s">
        <v>2054</v>
      </c>
      <c r="E65" s="14" t="s">
        <v>2055</v>
      </c>
      <c r="F65" s="16">
        <v>78</v>
      </c>
      <c r="G65" s="20" t="s">
        <v>2056</v>
      </c>
      <c r="P65" s="14"/>
    </row>
    <row r="66" spans="1:16" ht="46" x14ac:dyDescent="0.3">
      <c r="A66" s="29" t="s">
        <v>2045</v>
      </c>
      <c r="B66" s="14">
        <v>65</v>
      </c>
      <c r="C66" s="15">
        <v>57</v>
      </c>
      <c r="D66" s="30" t="s">
        <v>2057</v>
      </c>
      <c r="E66" s="14" t="s">
        <v>2055</v>
      </c>
      <c r="F66" s="16">
        <v>12</v>
      </c>
      <c r="G66" s="20" t="s">
        <v>2058</v>
      </c>
      <c r="P66" s="14"/>
    </row>
    <row r="67" spans="1:16" ht="46" x14ac:dyDescent="0.3">
      <c r="A67" s="29" t="s">
        <v>2045</v>
      </c>
      <c r="B67" s="14">
        <v>66</v>
      </c>
      <c r="C67" s="15" t="s">
        <v>2059</v>
      </c>
      <c r="D67" s="30" t="s">
        <v>2060</v>
      </c>
      <c r="E67" s="14" t="s">
        <v>2055</v>
      </c>
      <c r="F67" s="16">
        <v>12</v>
      </c>
      <c r="G67" s="20" t="s">
        <v>2058</v>
      </c>
      <c r="P67" s="14"/>
    </row>
    <row r="68" spans="1:16" ht="46" x14ac:dyDescent="0.3">
      <c r="A68" s="29" t="s">
        <v>2045</v>
      </c>
      <c r="B68" s="14">
        <v>67</v>
      </c>
      <c r="C68" s="15" t="s">
        <v>2061</v>
      </c>
      <c r="D68" s="30" t="s">
        <v>2062</v>
      </c>
      <c r="E68" s="14" t="s">
        <v>2055</v>
      </c>
      <c r="F68" s="16">
        <v>12</v>
      </c>
      <c r="G68" s="20" t="s">
        <v>2058</v>
      </c>
      <c r="P68" s="14"/>
    </row>
    <row r="69" spans="1:16" ht="46" x14ac:dyDescent="0.3">
      <c r="A69" s="29" t="s">
        <v>2045</v>
      </c>
      <c r="B69" s="14">
        <v>68</v>
      </c>
      <c r="C69" s="15" t="s">
        <v>2063</v>
      </c>
      <c r="D69" s="30" t="s">
        <v>2064</v>
      </c>
      <c r="E69" s="14" t="s">
        <v>2055</v>
      </c>
      <c r="F69" s="16">
        <v>12</v>
      </c>
      <c r="G69" s="20" t="s">
        <v>2058</v>
      </c>
      <c r="P69" s="14"/>
    </row>
    <row r="70" spans="1:16" ht="46" x14ac:dyDescent="0.3">
      <c r="A70" s="29" t="s">
        <v>2045</v>
      </c>
      <c r="B70" s="14">
        <v>69</v>
      </c>
      <c r="C70" s="15" t="s">
        <v>2065</v>
      </c>
      <c r="D70" s="30" t="s">
        <v>2066</v>
      </c>
      <c r="E70" s="14" t="s">
        <v>2055</v>
      </c>
      <c r="F70" s="16">
        <v>12</v>
      </c>
      <c r="G70" s="20" t="s">
        <v>2058</v>
      </c>
      <c r="P70" s="14"/>
    </row>
    <row r="71" spans="1:16" ht="57.5" x14ac:dyDescent="0.3">
      <c r="A71" s="29" t="s">
        <v>2045</v>
      </c>
      <c r="B71" s="14">
        <v>70</v>
      </c>
      <c r="C71" s="15">
        <v>58</v>
      </c>
      <c r="D71" s="28" t="s">
        <v>2067</v>
      </c>
      <c r="E71" s="14" t="s">
        <v>2055</v>
      </c>
      <c r="F71" s="16">
        <v>4650</v>
      </c>
      <c r="G71" s="20" t="s">
        <v>2068</v>
      </c>
      <c r="P71" s="14"/>
    </row>
    <row r="72" spans="1:16" ht="57.5" x14ac:dyDescent="0.3">
      <c r="A72" s="29" t="s">
        <v>2045</v>
      </c>
      <c r="B72" s="14">
        <v>71</v>
      </c>
      <c r="C72" s="15" t="s">
        <v>2069</v>
      </c>
      <c r="D72" s="28" t="s">
        <v>2070</v>
      </c>
      <c r="E72" s="14" t="s">
        <v>2055</v>
      </c>
      <c r="F72" s="16">
        <v>4650</v>
      </c>
      <c r="G72" s="20" t="s">
        <v>2068</v>
      </c>
      <c r="P72" s="14"/>
    </row>
    <row r="73" spans="1:16" ht="57.5" x14ac:dyDescent="0.3">
      <c r="A73" s="29" t="s">
        <v>2045</v>
      </c>
      <c r="B73" s="14">
        <v>72</v>
      </c>
      <c r="C73" s="15" t="s">
        <v>2071</v>
      </c>
      <c r="D73" s="28" t="s">
        <v>2072</v>
      </c>
      <c r="E73" s="14" t="s">
        <v>2055</v>
      </c>
      <c r="F73" s="16">
        <v>4650</v>
      </c>
      <c r="G73" s="20" t="s">
        <v>2068</v>
      </c>
      <c r="P73" s="14"/>
    </row>
    <row r="74" spans="1:16" ht="57.5" x14ac:dyDescent="0.3">
      <c r="A74" s="29" t="s">
        <v>2045</v>
      </c>
      <c r="B74" s="14">
        <v>73</v>
      </c>
      <c r="C74" s="15" t="s">
        <v>2073</v>
      </c>
      <c r="D74" s="28" t="s">
        <v>2074</v>
      </c>
      <c r="E74" s="14" t="s">
        <v>2055</v>
      </c>
      <c r="F74" s="16">
        <v>4650</v>
      </c>
      <c r="G74" s="20" t="s">
        <v>2068</v>
      </c>
      <c r="P74" s="14"/>
    </row>
    <row r="75" spans="1:16" ht="57.5" x14ac:dyDescent="0.3">
      <c r="A75" s="29" t="s">
        <v>2045</v>
      </c>
      <c r="B75" s="14">
        <v>74</v>
      </c>
      <c r="C75" s="15" t="s">
        <v>2075</v>
      </c>
      <c r="D75" s="28" t="s">
        <v>2076</v>
      </c>
      <c r="E75" s="14" t="s">
        <v>2055</v>
      </c>
      <c r="F75" s="16">
        <v>4650</v>
      </c>
      <c r="G75" s="20" t="s">
        <v>2068</v>
      </c>
      <c r="P75" s="14"/>
    </row>
    <row r="76" spans="1:16" ht="57.5" x14ac:dyDescent="0.3">
      <c r="A76" s="29" t="s">
        <v>2045</v>
      </c>
      <c r="B76" s="14">
        <v>75</v>
      </c>
      <c r="C76" s="15" t="s">
        <v>2077</v>
      </c>
      <c r="D76" s="28" t="s">
        <v>2078</v>
      </c>
      <c r="E76" s="14" t="s">
        <v>2055</v>
      </c>
      <c r="F76" s="16">
        <v>4650</v>
      </c>
      <c r="G76" s="20" t="s">
        <v>2068</v>
      </c>
      <c r="P76" s="14"/>
    </row>
    <row r="77" spans="1:16" ht="34.5" x14ac:dyDescent="0.3">
      <c r="A77" s="29" t="s">
        <v>2045</v>
      </c>
      <c r="B77" s="14">
        <v>76</v>
      </c>
      <c r="C77" s="15">
        <v>59</v>
      </c>
      <c r="D77" s="28" t="s">
        <v>2079</v>
      </c>
      <c r="E77" s="14" t="s">
        <v>2055</v>
      </c>
      <c r="F77" s="16">
        <v>2350</v>
      </c>
      <c r="G77" s="21" t="s">
        <v>2080</v>
      </c>
      <c r="P77" s="14"/>
    </row>
    <row r="78" spans="1:16" ht="34.5" x14ac:dyDescent="0.3">
      <c r="A78" s="29" t="s">
        <v>2045</v>
      </c>
      <c r="B78" s="14">
        <v>77</v>
      </c>
      <c r="C78" s="15">
        <v>60</v>
      </c>
      <c r="D78" s="30" t="s">
        <v>2081</v>
      </c>
      <c r="E78" s="14" t="s">
        <v>2055</v>
      </c>
      <c r="F78" s="16">
        <v>12</v>
      </c>
      <c r="G78" s="20" t="s">
        <v>2082</v>
      </c>
      <c r="P78" s="14"/>
    </row>
    <row r="79" spans="1:16" ht="34.5" x14ac:dyDescent="0.3">
      <c r="A79" s="29" t="s">
        <v>2045</v>
      </c>
      <c r="B79" s="14">
        <v>78</v>
      </c>
      <c r="C79" s="15">
        <v>61</v>
      </c>
      <c r="D79" s="30" t="s">
        <v>2083</v>
      </c>
      <c r="E79" s="14" t="s">
        <v>2055</v>
      </c>
      <c r="F79" s="16">
        <v>0</v>
      </c>
      <c r="G79" s="20" t="s">
        <v>2084</v>
      </c>
      <c r="P79" s="14"/>
    </row>
    <row r="80" spans="1:16" ht="34.5" x14ac:dyDescent="0.3">
      <c r="A80" s="29" t="s">
        <v>2045</v>
      </c>
      <c r="B80" s="14">
        <v>79</v>
      </c>
      <c r="C80" s="15">
        <v>62</v>
      </c>
      <c r="D80" s="30" t="s">
        <v>2085</v>
      </c>
      <c r="E80" s="14" t="s">
        <v>2086</v>
      </c>
      <c r="F80" s="16" t="s">
        <v>2087</v>
      </c>
      <c r="G80" s="20" t="s">
        <v>2088</v>
      </c>
      <c r="P80" s="14"/>
    </row>
    <row r="81" spans="1:16" ht="46" x14ac:dyDescent="0.3">
      <c r="A81" s="29" t="s">
        <v>2045</v>
      </c>
      <c r="B81" s="14">
        <v>80</v>
      </c>
      <c r="C81" s="15">
        <v>63</v>
      </c>
      <c r="D81" s="28" t="s">
        <v>2089</v>
      </c>
      <c r="E81" s="14" t="s">
        <v>2090</v>
      </c>
      <c r="F81" s="16">
        <v>500000</v>
      </c>
      <c r="G81" s="21" t="s">
        <v>2091</v>
      </c>
      <c r="P81" s="14"/>
    </row>
    <row r="82" spans="1:16" ht="46" x14ac:dyDescent="0.3">
      <c r="A82" s="29" t="s">
        <v>2045</v>
      </c>
      <c r="B82" s="14">
        <v>81</v>
      </c>
      <c r="C82" s="15" t="s">
        <v>2092</v>
      </c>
      <c r="D82" s="28" t="s">
        <v>2093</v>
      </c>
      <c r="E82" s="14" t="s">
        <v>2094</v>
      </c>
      <c r="F82" s="16">
        <v>500000</v>
      </c>
      <c r="G82" s="21" t="s">
        <v>2091</v>
      </c>
      <c r="P82" s="14"/>
    </row>
    <row r="83" spans="1:16" ht="46" x14ac:dyDescent="0.3">
      <c r="A83" s="29" t="s">
        <v>2045</v>
      </c>
      <c r="B83" s="14">
        <v>82</v>
      </c>
      <c r="C83" s="15" t="s">
        <v>2095</v>
      </c>
      <c r="D83" s="28" t="s">
        <v>2096</v>
      </c>
      <c r="E83" s="14" t="s">
        <v>2097</v>
      </c>
      <c r="F83" s="16">
        <v>500000</v>
      </c>
      <c r="G83" s="21" t="s">
        <v>2091</v>
      </c>
      <c r="P83" s="14"/>
    </row>
    <row r="84" spans="1:16" ht="46" x14ac:dyDescent="0.3">
      <c r="A84" s="29" t="s">
        <v>2045</v>
      </c>
      <c r="B84" s="14">
        <v>83</v>
      </c>
      <c r="C84" s="15" t="s">
        <v>2098</v>
      </c>
      <c r="D84" s="28" t="s">
        <v>2099</v>
      </c>
      <c r="E84" s="14" t="s">
        <v>2100</v>
      </c>
      <c r="F84" s="16">
        <v>500000</v>
      </c>
      <c r="G84" s="21" t="s">
        <v>2091</v>
      </c>
      <c r="P84" s="14"/>
    </row>
    <row r="85" spans="1:16" ht="46" x14ac:dyDescent="0.3">
      <c r="A85" s="29" t="s">
        <v>2045</v>
      </c>
      <c r="B85" s="14">
        <v>84</v>
      </c>
      <c r="C85" s="15" t="s">
        <v>2101</v>
      </c>
      <c r="D85" s="28" t="s">
        <v>2102</v>
      </c>
      <c r="E85" s="14" t="s">
        <v>2103</v>
      </c>
      <c r="F85" s="16">
        <v>500000</v>
      </c>
      <c r="G85" s="21" t="s">
        <v>2091</v>
      </c>
      <c r="P85" s="14"/>
    </row>
    <row r="86" spans="1:16" ht="46" x14ac:dyDescent="0.3">
      <c r="A86" s="29" t="s">
        <v>2045</v>
      </c>
      <c r="B86" s="14">
        <v>85</v>
      </c>
      <c r="C86" s="15" t="s">
        <v>2104</v>
      </c>
      <c r="D86" s="28" t="s">
        <v>2105</v>
      </c>
      <c r="E86" s="14" t="s">
        <v>2106</v>
      </c>
      <c r="F86" s="16">
        <v>500000</v>
      </c>
      <c r="G86" s="21" t="s">
        <v>2091</v>
      </c>
      <c r="P86" s="14"/>
    </row>
    <row r="87" spans="1:16" ht="46" x14ac:dyDescent="0.3">
      <c r="A87" s="29" t="s">
        <v>2045</v>
      </c>
      <c r="B87" s="14">
        <v>86</v>
      </c>
      <c r="C87" s="15">
        <v>64</v>
      </c>
      <c r="D87" s="30" t="s">
        <v>2107</v>
      </c>
      <c r="E87" s="14" t="s">
        <v>2108</v>
      </c>
      <c r="F87" s="16" t="s">
        <v>2109</v>
      </c>
      <c r="G87" s="21" t="s">
        <v>2110</v>
      </c>
      <c r="P87" s="14"/>
    </row>
    <row r="88" spans="1:16" ht="46" x14ac:dyDescent="0.3">
      <c r="A88" s="29" t="s">
        <v>2045</v>
      </c>
      <c r="B88" s="14">
        <v>87</v>
      </c>
      <c r="C88" s="15">
        <v>65</v>
      </c>
      <c r="D88" s="28" t="s">
        <v>2111</v>
      </c>
      <c r="E88" s="14" t="s">
        <v>2112</v>
      </c>
      <c r="F88" s="32" t="s">
        <v>2113</v>
      </c>
      <c r="G88" s="21" t="s">
        <v>2114</v>
      </c>
      <c r="P88" s="14"/>
    </row>
    <row r="89" spans="1:16" ht="46" x14ac:dyDescent="0.3">
      <c r="A89" s="29" t="s">
        <v>2045</v>
      </c>
      <c r="B89" s="14">
        <v>88</v>
      </c>
      <c r="C89" s="15">
        <v>66</v>
      </c>
      <c r="D89" s="30" t="s">
        <v>2115</v>
      </c>
      <c r="E89" s="14" t="s">
        <v>2116</v>
      </c>
      <c r="F89" s="16" t="s">
        <v>2117</v>
      </c>
      <c r="G89" s="20" t="s">
        <v>2118</v>
      </c>
      <c r="P89" s="14"/>
    </row>
    <row r="90" spans="1:16" x14ac:dyDescent="0.3">
      <c r="A90" s="29" t="s">
        <v>2045</v>
      </c>
      <c r="B90" s="14">
        <v>89</v>
      </c>
      <c r="C90" s="15">
        <v>67</v>
      </c>
      <c r="D90" s="30" t="s">
        <v>2119</v>
      </c>
      <c r="E90" s="14" t="s">
        <v>2120</v>
      </c>
      <c r="F90" s="16" t="s">
        <v>2121</v>
      </c>
      <c r="G90" s="21" t="s">
        <v>2122</v>
      </c>
      <c r="P90" s="14"/>
    </row>
    <row r="91" spans="1:16" ht="23" x14ac:dyDescent="0.3">
      <c r="A91" s="29" t="s">
        <v>2045</v>
      </c>
      <c r="B91" s="14">
        <v>90</v>
      </c>
      <c r="C91" s="15">
        <v>68</v>
      </c>
      <c r="D91" s="28" t="s">
        <v>2123</v>
      </c>
      <c r="E91" s="14" t="s">
        <v>2124</v>
      </c>
      <c r="F91" s="19">
        <v>0.23050000000000001</v>
      </c>
      <c r="G91" s="21" t="s">
        <v>2125</v>
      </c>
      <c r="P91" s="14"/>
    </row>
    <row r="92" spans="1:16" ht="34.5" x14ac:dyDescent="0.3">
      <c r="A92" s="29" t="s">
        <v>2045</v>
      </c>
      <c r="B92" s="14">
        <v>91</v>
      </c>
      <c r="C92" s="15">
        <v>69</v>
      </c>
      <c r="D92" s="28" t="s">
        <v>2126</v>
      </c>
      <c r="E92" s="14" t="s">
        <v>2124</v>
      </c>
      <c r="F92" s="19">
        <v>0</v>
      </c>
      <c r="G92" s="21" t="s">
        <v>2127</v>
      </c>
      <c r="P92" s="14"/>
    </row>
    <row r="93" spans="1:16" ht="23" x14ac:dyDescent="0.3">
      <c r="A93" s="29" t="s">
        <v>2128</v>
      </c>
      <c r="B93" s="14">
        <v>92</v>
      </c>
      <c r="C93" s="15">
        <v>70</v>
      </c>
      <c r="D93" s="30" t="s">
        <v>2128</v>
      </c>
      <c r="E93" s="14" t="s">
        <v>2129</v>
      </c>
      <c r="F93" s="14" t="s">
        <v>2130</v>
      </c>
      <c r="G93" s="21" t="s">
        <v>2131</v>
      </c>
      <c r="P93" s="14"/>
    </row>
  </sheetData>
  <pageMargins left="0.7" right="0.7" top="0.75" bottom="0.75" header="0.3" footer="0.3"/>
  <pageSetup paperSize="3" scale="58"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787A-44E9-4297-AB23-3ACDFD8DE0B3}">
  <sheetPr published="0">
    <tabColor theme="5"/>
  </sheetPr>
  <dimension ref="A1:Z77"/>
  <sheetViews>
    <sheetView zoomScale="80" zoomScaleNormal="80" workbookViewId="0"/>
  </sheetViews>
  <sheetFormatPr defaultColWidth="10.796875" defaultRowHeight="12.75" customHeight="1" x14ac:dyDescent="0.3"/>
  <cols>
    <col min="1" max="1" width="39.796875" style="8" customWidth="1"/>
    <col min="2" max="2" width="35.796875" style="8" customWidth="1"/>
    <col min="3" max="3" width="51.19921875" style="8" customWidth="1"/>
    <col min="4" max="4" width="49.19921875" style="8" customWidth="1"/>
    <col min="5" max="5" width="55.796875" style="8" customWidth="1"/>
    <col min="6" max="6" width="33.796875" style="8" customWidth="1"/>
    <col min="7" max="7" width="39.19921875" style="8" customWidth="1"/>
    <col min="8" max="8" width="23.19921875" style="8" customWidth="1"/>
    <col min="9" max="9" width="25.19921875" style="8" customWidth="1"/>
    <col min="10" max="10" width="26.796875" style="8" customWidth="1"/>
    <col min="11" max="11" width="26.19921875" style="8" customWidth="1"/>
    <col min="12" max="12" width="28.796875" style="8" customWidth="1"/>
    <col min="13" max="13" width="45.296875" style="8" customWidth="1"/>
    <col min="14" max="14" width="16.19921875" style="8" customWidth="1"/>
    <col min="15" max="15" width="38.796875" style="8" customWidth="1"/>
    <col min="16" max="16" width="19.69921875" style="8" customWidth="1"/>
    <col min="17" max="16384" width="10.796875" style="8"/>
  </cols>
  <sheetData>
    <row r="1" spans="1:24" s="4" customFormat="1" ht="13" x14ac:dyDescent="0.3">
      <c r="A1" s="1" t="s">
        <v>2132</v>
      </c>
      <c r="B1" s="1" t="s">
        <v>2133</v>
      </c>
      <c r="C1" s="2" t="s">
        <v>2134</v>
      </c>
      <c r="D1" s="2" t="s">
        <v>2135</v>
      </c>
      <c r="E1" s="1" t="s">
        <v>2136</v>
      </c>
      <c r="F1" s="1" t="s">
        <v>2137</v>
      </c>
      <c r="G1" s="1" t="s">
        <v>2138</v>
      </c>
      <c r="H1" s="1" t="s">
        <v>2139</v>
      </c>
      <c r="I1" s="1" t="s">
        <v>2140</v>
      </c>
      <c r="J1" s="1" t="s">
        <v>2141</v>
      </c>
      <c r="K1" s="1" t="s">
        <v>2142</v>
      </c>
      <c r="L1" s="13" t="s">
        <v>2143</v>
      </c>
      <c r="M1" s="1" t="s">
        <v>2144</v>
      </c>
      <c r="N1" s="1" t="s">
        <v>2145</v>
      </c>
      <c r="O1" s="1" t="s">
        <v>2146</v>
      </c>
      <c r="P1" s="3"/>
    </row>
    <row r="2" spans="1:24" ht="16" x14ac:dyDescent="0.3">
      <c r="A2" s="73" t="s">
        <v>148</v>
      </c>
      <c r="B2" s="5" t="s">
        <v>227</v>
      </c>
      <c r="C2" s="5" t="s">
        <v>1234</v>
      </c>
      <c r="D2" s="5" t="s">
        <v>2147</v>
      </c>
      <c r="E2" s="5" t="s">
        <v>346</v>
      </c>
      <c r="F2" s="5" t="s">
        <v>239</v>
      </c>
      <c r="G2" s="33" t="s">
        <v>1478</v>
      </c>
      <c r="H2" s="6" t="s">
        <v>272</v>
      </c>
      <c r="I2" s="5" t="s">
        <v>2148</v>
      </c>
      <c r="J2" s="5" t="s">
        <v>2149</v>
      </c>
      <c r="K2" s="5" t="s">
        <v>2009</v>
      </c>
      <c r="L2" s="5" t="s">
        <v>1072</v>
      </c>
      <c r="M2" s="5" t="s">
        <v>154</v>
      </c>
      <c r="N2" s="7">
        <v>1</v>
      </c>
      <c r="O2" s="5" t="s">
        <v>2150</v>
      </c>
      <c r="P2" s="5"/>
    </row>
    <row r="3" spans="1:24" ht="16" x14ac:dyDescent="0.3">
      <c r="A3" s="73" t="s">
        <v>159</v>
      </c>
      <c r="B3" s="5" t="s">
        <v>130</v>
      </c>
      <c r="C3" s="5" t="s">
        <v>132</v>
      </c>
      <c r="D3" s="5" t="s">
        <v>282</v>
      </c>
      <c r="E3" s="5" t="s">
        <v>2151</v>
      </c>
      <c r="F3" s="5" t="s">
        <v>168</v>
      </c>
      <c r="G3" s="33" t="s">
        <v>2152</v>
      </c>
      <c r="H3" s="6" t="s">
        <v>2153</v>
      </c>
      <c r="I3" s="5" t="s">
        <v>1389</v>
      </c>
      <c r="J3" s="5" t="s">
        <v>1111</v>
      </c>
      <c r="K3" s="5" t="s">
        <v>1210</v>
      </c>
      <c r="L3" s="8" t="s">
        <v>2154</v>
      </c>
      <c r="M3" s="5" t="s">
        <v>443</v>
      </c>
      <c r="N3" s="7">
        <v>2</v>
      </c>
      <c r="O3" s="5" t="s">
        <v>219</v>
      </c>
      <c r="P3" s="5"/>
    </row>
    <row r="4" spans="1:24" ht="16" x14ac:dyDescent="0.3">
      <c r="A4" s="73" t="s">
        <v>167</v>
      </c>
      <c r="B4" s="5" t="s">
        <v>131</v>
      </c>
      <c r="C4" s="8" t="s">
        <v>1106</v>
      </c>
      <c r="D4" s="5" t="s">
        <v>2155</v>
      </c>
      <c r="E4" s="5" t="s">
        <v>2156</v>
      </c>
      <c r="F4" s="5" t="s">
        <v>1335</v>
      </c>
      <c r="G4" s="33" t="s">
        <v>1123</v>
      </c>
      <c r="H4" s="6" t="s">
        <v>2157</v>
      </c>
      <c r="I4" s="5" t="s">
        <v>1209</v>
      </c>
      <c r="J4" s="5" t="s">
        <v>1130</v>
      </c>
      <c r="K4" s="5" t="s">
        <v>390</v>
      </c>
      <c r="L4" s="5" t="s">
        <v>2158</v>
      </c>
      <c r="M4" s="5" t="s">
        <v>460</v>
      </c>
      <c r="N4" s="7">
        <v>3</v>
      </c>
      <c r="O4" s="5" t="s">
        <v>2159</v>
      </c>
      <c r="P4" s="5"/>
    </row>
    <row r="5" spans="1:24" ht="16" x14ac:dyDescent="0.3">
      <c r="A5" s="73" t="s">
        <v>184</v>
      </c>
      <c r="B5" s="5" t="s">
        <v>1094</v>
      </c>
      <c r="C5" s="5" t="s">
        <v>1165</v>
      </c>
      <c r="D5" s="5" t="s">
        <v>2160</v>
      </c>
      <c r="E5" s="5" t="s">
        <v>2161</v>
      </c>
      <c r="F5" s="5" t="s">
        <v>425</v>
      </c>
      <c r="G5" s="33" t="s">
        <v>426</v>
      </c>
      <c r="H5" s="6" t="s">
        <v>2162</v>
      </c>
      <c r="I5" s="5" t="s">
        <v>2163</v>
      </c>
      <c r="J5" s="8" t="s">
        <v>389</v>
      </c>
      <c r="K5" s="5" t="s">
        <v>150</v>
      </c>
      <c r="L5" s="5" t="s">
        <v>973</v>
      </c>
      <c r="M5" s="5" t="s">
        <v>219</v>
      </c>
      <c r="N5" s="7">
        <v>4</v>
      </c>
      <c r="O5" s="5" t="s">
        <v>1027</v>
      </c>
    </row>
    <row r="6" spans="1:24" ht="16" x14ac:dyDescent="0.3">
      <c r="A6" s="73" t="s">
        <v>2164</v>
      </c>
      <c r="B6" s="5" t="s">
        <v>268</v>
      </c>
      <c r="C6" s="5" t="s">
        <v>1457</v>
      </c>
      <c r="D6" s="5" t="s">
        <v>1907</v>
      </c>
      <c r="E6" s="5" t="s">
        <v>490</v>
      </c>
      <c r="F6" s="5" t="s">
        <v>482</v>
      </c>
      <c r="G6" s="33" t="s">
        <v>151</v>
      </c>
      <c r="H6" s="6" t="s">
        <v>1811</v>
      </c>
      <c r="I6" s="5" t="s">
        <v>1110</v>
      </c>
      <c r="J6" s="5" t="s">
        <v>150</v>
      </c>
      <c r="K6" s="5" t="s">
        <v>127</v>
      </c>
      <c r="L6" s="5" t="s">
        <v>2165</v>
      </c>
      <c r="M6" s="5" t="s">
        <v>758</v>
      </c>
      <c r="N6" s="7">
        <v>5</v>
      </c>
      <c r="O6" s="5" t="s">
        <v>2166</v>
      </c>
    </row>
    <row r="7" spans="1:24" ht="16" x14ac:dyDescent="0.3">
      <c r="A7" s="73" t="s">
        <v>1366</v>
      </c>
      <c r="B7" s="5" t="s">
        <v>127</v>
      </c>
      <c r="C7" s="5" t="s">
        <v>2167</v>
      </c>
      <c r="D7" s="5" t="s">
        <v>993</v>
      </c>
      <c r="E7" s="5" t="s">
        <v>384</v>
      </c>
      <c r="F7" s="5" t="s">
        <v>1050</v>
      </c>
      <c r="G7" s="33" t="s">
        <v>1368</v>
      </c>
      <c r="H7" s="6" t="s">
        <v>1302</v>
      </c>
      <c r="I7" s="5" t="s">
        <v>532</v>
      </c>
      <c r="J7" s="5" t="s">
        <v>127</v>
      </c>
      <c r="L7" s="8" t="s">
        <v>2168</v>
      </c>
      <c r="M7" s="5" t="s">
        <v>1451</v>
      </c>
      <c r="N7" s="7" t="s">
        <v>127</v>
      </c>
      <c r="O7" s="5" t="s">
        <v>552</v>
      </c>
      <c r="P7" s="5"/>
    </row>
    <row r="8" spans="1:24" ht="16" x14ac:dyDescent="0.3">
      <c r="A8" s="73" t="s">
        <v>281</v>
      </c>
      <c r="B8" s="9" t="s">
        <v>152</v>
      </c>
      <c r="C8" s="5" t="s">
        <v>522</v>
      </c>
      <c r="D8" s="5" t="s">
        <v>2169</v>
      </c>
      <c r="E8" s="5" t="s">
        <v>1049</v>
      </c>
      <c r="F8" s="5" t="s">
        <v>150</v>
      </c>
      <c r="G8" s="33" t="s">
        <v>271</v>
      </c>
      <c r="H8" s="6" t="s">
        <v>2170</v>
      </c>
      <c r="I8" s="8" t="s">
        <v>150</v>
      </c>
      <c r="L8" s="5" t="s">
        <v>150</v>
      </c>
      <c r="M8" s="5" t="s">
        <v>622</v>
      </c>
      <c r="N8" s="5"/>
      <c r="O8" s="5" t="s">
        <v>1229</v>
      </c>
      <c r="P8" s="5"/>
    </row>
    <row r="9" spans="1:24" ht="16" x14ac:dyDescent="0.3">
      <c r="A9" s="73" t="s">
        <v>260</v>
      </c>
      <c r="B9" s="5"/>
      <c r="C9" s="5" t="s">
        <v>1838</v>
      </c>
      <c r="D9" s="5" t="s">
        <v>2171</v>
      </c>
      <c r="E9" s="5" t="s">
        <v>150</v>
      </c>
      <c r="F9" s="9" t="s">
        <v>152</v>
      </c>
      <c r="G9" s="34" t="s">
        <v>1378</v>
      </c>
      <c r="H9" s="6" t="s">
        <v>1817</v>
      </c>
      <c r="I9" s="5" t="s">
        <v>127</v>
      </c>
      <c r="K9" s="5"/>
      <c r="L9" s="5" t="s">
        <v>2172</v>
      </c>
      <c r="M9" s="5" t="s">
        <v>170</v>
      </c>
      <c r="N9" s="5"/>
      <c r="O9" s="5" t="s">
        <v>1063</v>
      </c>
    </row>
    <row r="10" spans="1:24" ht="32" x14ac:dyDescent="0.3">
      <c r="A10" s="73" t="s">
        <v>2173</v>
      </c>
      <c r="B10" s="5"/>
      <c r="C10" s="5" t="s">
        <v>2174</v>
      </c>
      <c r="D10" s="5" t="s">
        <v>1605</v>
      </c>
      <c r="E10" s="5" t="s">
        <v>127</v>
      </c>
      <c r="F10" s="5" t="s">
        <v>127</v>
      </c>
      <c r="G10" s="33" t="s">
        <v>1312</v>
      </c>
      <c r="H10" s="6" t="s">
        <v>2175</v>
      </c>
      <c r="I10" s="5"/>
      <c r="K10" s="5"/>
      <c r="M10" s="5" t="s">
        <v>396</v>
      </c>
      <c r="O10" s="5" t="s">
        <v>1454</v>
      </c>
      <c r="P10" s="5"/>
    </row>
    <row r="11" spans="1:24" ht="16" x14ac:dyDescent="0.3">
      <c r="A11" s="73" t="s">
        <v>352</v>
      </c>
      <c r="B11" s="5"/>
      <c r="C11" s="5" t="s">
        <v>291</v>
      </c>
      <c r="D11" s="5" t="s">
        <v>1511</v>
      </c>
      <c r="E11" s="9" t="s">
        <v>152</v>
      </c>
      <c r="F11" s="5"/>
      <c r="G11" s="33" t="s">
        <v>2176</v>
      </c>
      <c r="H11" s="6" t="s">
        <v>2177</v>
      </c>
      <c r="I11" s="5"/>
      <c r="K11" s="5"/>
      <c r="M11" s="5" t="s">
        <v>143</v>
      </c>
      <c r="N11" s="5"/>
      <c r="O11" s="5" t="s">
        <v>1116</v>
      </c>
      <c r="P11" s="9"/>
    </row>
    <row r="12" spans="1:24" ht="16" x14ac:dyDescent="0.3">
      <c r="A12" s="73" t="s">
        <v>1332</v>
      </c>
      <c r="B12" s="5"/>
      <c r="C12" s="5" t="s">
        <v>160</v>
      </c>
      <c r="D12" s="5" t="s">
        <v>2178</v>
      </c>
      <c r="E12" s="5"/>
      <c r="F12" s="5"/>
      <c r="G12" s="33" t="s">
        <v>2179</v>
      </c>
      <c r="H12" s="6" t="s">
        <v>1336</v>
      </c>
      <c r="I12" s="5"/>
      <c r="K12" s="5"/>
      <c r="M12" s="5" t="s">
        <v>333</v>
      </c>
      <c r="N12" s="5"/>
      <c r="O12" s="5" t="s">
        <v>553</v>
      </c>
    </row>
    <row r="13" spans="1:24" ht="16" x14ac:dyDescent="0.3">
      <c r="A13" s="73" t="s">
        <v>290</v>
      </c>
      <c r="B13" s="5"/>
      <c r="C13" s="5" t="s">
        <v>269</v>
      </c>
      <c r="D13" s="5" t="s">
        <v>2180</v>
      </c>
      <c r="E13" s="5"/>
      <c r="F13" s="5"/>
      <c r="G13" s="33" t="s">
        <v>430</v>
      </c>
      <c r="H13" s="6" t="s">
        <v>2181</v>
      </c>
      <c r="I13" s="5"/>
      <c r="L13" s="5"/>
      <c r="M13" s="5" t="s">
        <v>597</v>
      </c>
      <c r="N13" s="5"/>
      <c r="O13" s="5" t="s">
        <v>1507</v>
      </c>
    </row>
    <row r="14" spans="1:24" ht="16" x14ac:dyDescent="0.3">
      <c r="A14" s="73" t="s">
        <v>1831</v>
      </c>
      <c r="B14" s="5"/>
      <c r="C14" s="5" t="s">
        <v>609</v>
      </c>
      <c r="D14" s="5" t="s">
        <v>2182</v>
      </c>
      <c r="E14" s="5"/>
      <c r="F14" s="5"/>
      <c r="G14" s="33" t="s">
        <v>2183</v>
      </c>
      <c r="H14" s="6" t="s">
        <v>2184</v>
      </c>
      <c r="I14" s="5"/>
      <c r="L14" s="5"/>
      <c r="M14" s="5" t="s">
        <v>2185</v>
      </c>
      <c r="N14" s="5"/>
      <c r="O14" s="5" t="s">
        <v>1184</v>
      </c>
      <c r="P14" s="5"/>
    </row>
    <row r="15" spans="1:24" ht="16" x14ac:dyDescent="0.3">
      <c r="A15" s="73" t="s">
        <v>529</v>
      </c>
      <c r="B15" s="5"/>
      <c r="C15" s="5" t="s">
        <v>980</v>
      </c>
      <c r="D15" s="5" t="s">
        <v>330</v>
      </c>
      <c r="E15" s="5"/>
      <c r="F15" s="5"/>
      <c r="G15" s="33" t="s">
        <v>532</v>
      </c>
      <c r="H15" s="6" t="s">
        <v>2186</v>
      </c>
      <c r="I15" s="5"/>
      <c r="J15" s="5"/>
      <c r="K15" s="5"/>
      <c r="L15" s="5"/>
      <c r="M15" s="5"/>
      <c r="N15" s="5"/>
      <c r="O15" s="5" t="s">
        <v>2187</v>
      </c>
      <c r="P15" s="5"/>
    </row>
    <row r="16" spans="1:24" ht="16" x14ac:dyDescent="0.3">
      <c r="A16" s="73" t="s">
        <v>794</v>
      </c>
      <c r="B16" s="5"/>
      <c r="C16" s="5" t="s">
        <v>2188</v>
      </c>
      <c r="D16" s="5" t="s">
        <v>2189</v>
      </c>
      <c r="E16" s="5"/>
      <c r="F16" s="5"/>
      <c r="G16" s="33" t="s">
        <v>127</v>
      </c>
      <c r="H16" s="6" t="s">
        <v>2190</v>
      </c>
      <c r="I16" s="5"/>
      <c r="J16" s="5"/>
      <c r="K16" s="5"/>
      <c r="L16" s="6"/>
      <c r="M16" s="6"/>
      <c r="N16" s="6"/>
      <c r="O16" s="5" t="s">
        <v>2191</v>
      </c>
      <c r="P16" s="6"/>
      <c r="Q16" s="10"/>
      <c r="R16" s="11"/>
      <c r="S16" s="11"/>
      <c r="T16" s="10"/>
      <c r="U16" s="10"/>
      <c r="V16" s="10"/>
      <c r="W16" s="12"/>
      <c r="X16" s="11"/>
    </row>
    <row r="17" spans="1:26" ht="16" x14ac:dyDescent="0.3">
      <c r="A17" s="73" t="s">
        <v>2192</v>
      </c>
      <c r="B17" s="5"/>
      <c r="C17" s="5" t="s">
        <v>2193</v>
      </c>
      <c r="D17" s="5" t="s">
        <v>932</v>
      </c>
      <c r="E17" s="5"/>
      <c r="F17" s="5"/>
      <c r="G17" s="5"/>
      <c r="H17" s="6" t="s">
        <v>2194</v>
      </c>
      <c r="I17" s="5"/>
      <c r="J17" s="5"/>
      <c r="K17" s="5"/>
      <c r="L17" s="5"/>
      <c r="M17" s="5"/>
      <c r="N17" s="5"/>
      <c r="O17" s="5" t="s">
        <v>2195</v>
      </c>
      <c r="P17" s="5"/>
    </row>
    <row r="18" spans="1:26" ht="32" x14ac:dyDescent="0.3">
      <c r="A18" s="73" t="s">
        <v>2196</v>
      </c>
      <c r="B18" s="5"/>
      <c r="C18" s="5" t="s">
        <v>228</v>
      </c>
      <c r="D18" s="5" t="s">
        <v>1673</v>
      </c>
      <c r="E18" s="5"/>
      <c r="F18" s="5"/>
      <c r="G18" s="5"/>
      <c r="H18" s="6" t="s">
        <v>2197</v>
      </c>
      <c r="I18" s="5"/>
      <c r="J18" s="5"/>
      <c r="K18" s="5"/>
      <c r="L18" s="6"/>
      <c r="M18" s="5"/>
      <c r="N18" s="5"/>
      <c r="O18" s="5" t="s">
        <v>1160</v>
      </c>
      <c r="P18" s="6"/>
      <c r="Q18" s="12"/>
      <c r="R18" s="12"/>
      <c r="S18" s="10"/>
      <c r="T18" s="11"/>
      <c r="U18" s="11"/>
      <c r="V18" s="10"/>
      <c r="W18" s="10"/>
      <c r="X18" s="10"/>
      <c r="Y18" s="12"/>
      <c r="Z18" s="11"/>
    </row>
    <row r="19" spans="1:26" ht="16" x14ac:dyDescent="0.3">
      <c r="A19" s="73" t="s">
        <v>226</v>
      </c>
      <c r="B19" s="5"/>
      <c r="C19" s="5" t="s">
        <v>797</v>
      </c>
      <c r="D19" s="5" t="s">
        <v>276</v>
      </c>
      <c r="E19" s="5"/>
      <c r="F19" s="5"/>
      <c r="G19" s="5"/>
      <c r="H19" s="6" t="s">
        <v>2198</v>
      </c>
      <c r="I19" s="5"/>
      <c r="J19" s="5"/>
      <c r="K19" s="5"/>
      <c r="L19" s="5"/>
      <c r="M19" s="5"/>
      <c r="N19" s="5"/>
      <c r="O19" s="5" t="s">
        <v>150</v>
      </c>
      <c r="P19" s="5"/>
    </row>
    <row r="20" spans="1:26" ht="16" x14ac:dyDescent="0.3">
      <c r="A20" s="73" t="s">
        <v>2199</v>
      </c>
      <c r="B20" s="5"/>
      <c r="C20" s="5" t="s">
        <v>212</v>
      </c>
      <c r="D20" s="5" t="s">
        <v>2200</v>
      </c>
      <c r="E20" s="5"/>
      <c r="F20" s="5"/>
      <c r="G20" s="5"/>
      <c r="H20" s="6" t="s">
        <v>2201</v>
      </c>
      <c r="I20" s="5"/>
      <c r="J20" s="5"/>
      <c r="K20" s="5"/>
      <c r="L20" s="5"/>
      <c r="M20" s="5"/>
      <c r="N20" s="5"/>
      <c r="O20" s="5" t="s">
        <v>127</v>
      </c>
      <c r="P20" s="5"/>
    </row>
    <row r="21" spans="1:26" ht="16" x14ac:dyDescent="0.3">
      <c r="A21" s="73" t="s">
        <v>242</v>
      </c>
      <c r="B21" s="5"/>
      <c r="C21" s="5"/>
      <c r="D21" s="5" t="s">
        <v>1719</v>
      </c>
      <c r="E21" s="5"/>
      <c r="F21" s="5"/>
      <c r="G21" s="5"/>
      <c r="H21" s="6" t="s">
        <v>2202</v>
      </c>
      <c r="I21" s="5"/>
      <c r="J21" s="5"/>
      <c r="K21" s="5"/>
      <c r="L21" s="5"/>
      <c r="M21" s="5"/>
      <c r="N21" s="5"/>
      <c r="O21" s="9" t="s">
        <v>152</v>
      </c>
      <c r="P21" s="5"/>
    </row>
    <row r="22" spans="1:26" ht="16" x14ac:dyDescent="0.3">
      <c r="A22" s="73" t="s">
        <v>615</v>
      </c>
      <c r="B22" s="5"/>
      <c r="C22" s="5"/>
      <c r="D22" s="5" t="s">
        <v>2203</v>
      </c>
      <c r="E22" s="5"/>
      <c r="F22" s="5"/>
      <c r="G22" s="5"/>
      <c r="H22" s="6" t="s">
        <v>2204</v>
      </c>
      <c r="I22" s="5"/>
      <c r="J22" s="5"/>
      <c r="K22" s="5"/>
      <c r="L22" s="5"/>
      <c r="M22" s="5"/>
      <c r="N22" s="5"/>
      <c r="O22" s="5"/>
      <c r="P22" s="5"/>
    </row>
    <row r="23" spans="1:26" ht="16" x14ac:dyDescent="0.3">
      <c r="A23" s="73" t="s">
        <v>129</v>
      </c>
      <c r="B23" s="5"/>
      <c r="C23" s="5"/>
      <c r="D23" s="5" t="s">
        <v>2205</v>
      </c>
      <c r="E23" s="5"/>
      <c r="F23" s="5"/>
      <c r="G23" s="5"/>
      <c r="H23" s="8" t="s">
        <v>1458</v>
      </c>
      <c r="I23" s="5"/>
      <c r="J23" s="5"/>
      <c r="K23" s="5"/>
      <c r="L23" s="5"/>
      <c r="M23" s="5"/>
      <c r="N23" s="5"/>
      <c r="O23" s="5"/>
      <c r="P23" s="5"/>
    </row>
    <row r="24" spans="1:26" ht="16" x14ac:dyDescent="0.3">
      <c r="A24" s="73" t="s">
        <v>2206</v>
      </c>
      <c r="B24" s="5"/>
      <c r="C24" s="5"/>
      <c r="D24" s="5" t="s">
        <v>2207</v>
      </c>
      <c r="E24" s="5"/>
      <c r="F24" s="5"/>
      <c r="G24" s="5"/>
      <c r="H24" s="9" t="s">
        <v>152</v>
      </c>
      <c r="I24" s="5"/>
      <c r="J24" s="5"/>
      <c r="K24" s="5"/>
      <c r="L24" s="5"/>
      <c r="M24" s="5"/>
      <c r="N24" s="5"/>
      <c r="O24" s="5"/>
      <c r="P24" s="5"/>
    </row>
    <row r="25" spans="1:26" ht="16" x14ac:dyDescent="0.3">
      <c r="A25" s="73" t="s">
        <v>1256</v>
      </c>
      <c r="B25" s="5"/>
      <c r="C25" s="5"/>
      <c r="D25" s="5" t="s">
        <v>2208</v>
      </c>
      <c r="E25" s="5"/>
      <c r="F25" s="5"/>
      <c r="G25" s="5"/>
      <c r="H25" s="9" t="s">
        <v>127</v>
      </c>
      <c r="I25" s="5"/>
      <c r="J25" s="5"/>
      <c r="K25" s="5"/>
      <c r="L25" s="5"/>
      <c r="M25" s="5"/>
      <c r="N25" s="5"/>
      <c r="O25" s="5"/>
      <c r="P25" s="5"/>
    </row>
    <row r="26" spans="1:26" ht="16" x14ac:dyDescent="0.3">
      <c r="A26" s="73" t="s">
        <v>513</v>
      </c>
      <c r="B26" s="5"/>
      <c r="C26" s="5"/>
      <c r="D26" s="5" t="s">
        <v>1533</v>
      </c>
      <c r="E26" s="5"/>
      <c r="F26" s="5"/>
      <c r="G26" s="5"/>
      <c r="H26" s="5"/>
      <c r="I26" s="5"/>
      <c r="J26" s="5"/>
      <c r="K26" s="5"/>
      <c r="L26" s="5"/>
      <c r="M26" s="5"/>
      <c r="N26" s="5"/>
      <c r="O26" s="5"/>
      <c r="P26" s="5"/>
    </row>
    <row r="27" spans="1:26" ht="16" x14ac:dyDescent="0.3">
      <c r="A27" s="73" t="s">
        <v>1223</v>
      </c>
      <c r="B27" s="5"/>
      <c r="C27" s="5"/>
      <c r="D27" s="5" t="s">
        <v>959</v>
      </c>
      <c r="E27" s="5"/>
      <c r="F27" s="5"/>
      <c r="G27" s="5"/>
      <c r="H27" s="5"/>
      <c r="I27" s="5"/>
      <c r="J27" s="5"/>
      <c r="K27" s="5"/>
      <c r="L27" s="5"/>
      <c r="M27" s="5"/>
      <c r="N27" s="5"/>
      <c r="O27" s="5"/>
      <c r="P27" s="5"/>
    </row>
    <row r="28" spans="1:26" ht="16" x14ac:dyDescent="0.3">
      <c r="A28" s="73" t="s">
        <v>979</v>
      </c>
      <c r="B28" s="5"/>
      <c r="C28" s="5"/>
      <c r="D28" s="5" t="s">
        <v>2209</v>
      </c>
      <c r="E28" s="5"/>
      <c r="F28" s="5"/>
      <c r="G28" s="5"/>
      <c r="H28" s="5"/>
      <c r="I28" s="5"/>
      <c r="J28" s="5"/>
      <c r="K28" s="5"/>
      <c r="L28" s="5"/>
      <c r="M28" s="5"/>
      <c r="N28" s="5"/>
      <c r="O28" s="5"/>
      <c r="P28" s="5"/>
    </row>
    <row r="29" spans="1:26" ht="16" x14ac:dyDescent="0.3">
      <c r="A29" s="73" t="s">
        <v>211</v>
      </c>
      <c r="B29" s="5"/>
      <c r="C29" s="5"/>
      <c r="D29" s="5" t="s">
        <v>2210</v>
      </c>
      <c r="E29" s="5"/>
      <c r="F29" s="5"/>
      <c r="G29" s="5"/>
      <c r="H29" s="5"/>
      <c r="I29" s="5"/>
      <c r="J29" s="5"/>
      <c r="K29" s="5"/>
      <c r="L29" s="5"/>
      <c r="M29" s="5"/>
      <c r="N29" s="5"/>
      <c r="O29" s="5"/>
      <c r="P29" s="5"/>
    </row>
    <row r="30" spans="1:26" ht="16" x14ac:dyDescent="0.3">
      <c r="A30" s="74" t="s">
        <v>152</v>
      </c>
      <c r="B30" s="5"/>
      <c r="C30" s="5"/>
      <c r="D30" s="5" t="s">
        <v>2211</v>
      </c>
      <c r="E30" s="5"/>
      <c r="F30" s="5"/>
      <c r="G30" s="5"/>
      <c r="H30" s="5"/>
      <c r="I30" s="5"/>
      <c r="J30" s="5"/>
      <c r="K30" s="5"/>
      <c r="L30" s="5"/>
      <c r="M30" s="5"/>
      <c r="N30" s="5"/>
      <c r="O30" s="5"/>
      <c r="P30" s="5"/>
    </row>
    <row r="31" spans="1:26" ht="13" x14ac:dyDescent="0.3">
      <c r="A31" s="5"/>
      <c r="B31" s="5"/>
      <c r="C31" s="5"/>
      <c r="D31" s="5" t="s">
        <v>2212</v>
      </c>
      <c r="E31" s="5"/>
      <c r="F31" s="5"/>
      <c r="G31" s="5"/>
      <c r="H31" s="5"/>
      <c r="I31" s="5"/>
      <c r="J31" s="5"/>
      <c r="K31" s="5"/>
      <c r="L31" s="5"/>
      <c r="M31" s="5"/>
      <c r="N31" s="5"/>
      <c r="O31" s="5"/>
      <c r="P31" s="5"/>
    </row>
    <row r="32" spans="1:26" ht="13" x14ac:dyDescent="0.3">
      <c r="A32" s="5"/>
      <c r="B32" s="5"/>
      <c r="C32" s="5"/>
      <c r="D32" s="5" t="s">
        <v>2213</v>
      </c>
      <c r="E32" s="5"/>
      <c r="F32" s="5"/>
      <c r="G32" s="5"/>
      <c r="H32" s="5"/>
      <c r="I32" s="5"/>
      <c r="J32" s="5"/>
      <c r="K32" s="5"/>
      <c r="L32" s="5"/>
      <c r="M32" s="5"/>
      <c r="N32" s="5"/>
      <c r="O32" s="5"/>
      <c r="P32" s="5"/>
    </row>
    <row r="33" spans="1:16" ht="13" x14ac:dyDescent="0.3">
      <c r="A33" s="5"/>
      <c r="B33" s="5"/>
      <c r="C33" s="5"/>
      <c r="D33" s="5" t="s">
        <v>229</v>
      </c>
      <c r="E33" s="5"/>
      <c r="F33" s="5"/>
      <c r="G33" s="5"/>
      <c r="H33" s="5"/>
      <c r="I33" s="5"/>
      <c r="J33" s="5"/>
      <c r="K33" s="5"/>
      <c r="L33" s="5"/>
      <c r="M33" s="5"/>
      <c r="N33" s="5"/>
      <c r="O33" s="5"/>
      <c r="P33" s="5"/>
    </row>
    <row r="34" spans="1:16" ht="13" x14ac:dyDescent="0.3">
      <c r="A34" s="5"/>
      <c r="B34" s="5"/>
      <c r="C34" s="5"/>
      <c r="D34" s="5" t="s">
        <v>636</v>
      </c>
      <c r="E34" s="5"/>
      <c r="F34" s="5"/>
      <c r="G34" s="5"/>
      <c r="H34" s="5"/>
      <c r="I34" s="5"/>
      <c r="J34" s="5"/>
      <c r="K34" s="5"/>
      <c r="L34" s="5"/>
      <c r="M34" s="5"/>
      <c r="N34" s="5"/>
      <c r="O34" s="5"/>
      <c r="P34" s="5"/>
    </row>
    <row r="35" spans="1:16" ht="13" x14ac:dyDescent="0.3">
      <c r="A35" s="5"/>
      <c r="B35" s="5"/>
      <c r="C35" s="5"/>
      <c r="D35" s="8" t="s">
        <v>270</v>
      </c>
      <c r="E35" s="5"/>
      <c r="F35" s="5"/>
      <c r="G35" s="5"/>
      <c r="H35" s="5"/>
      <c r="I35" s="5"/>
      <c r="J35" s="5"/>
      <c r="K35" s="5"/>
      <c r="L35" s="5"/>
      <c r="M35" s="5"/>
      <c r="N35" s="5"/>
      <c r="O35" s="5"/>
      <c r="P35" s="5"/>
    </row>
    <row r="36" spans="1:16" ht="13" x14ac:dyDescent="0.3">
      <c r="A36" s="5"/>
      <c r="B36" s="5"/>
      <c r="C36" s="5"/>
      <c r="D36" s="5" t="s">
        <v>206</v>
      </c>
      <c r="E36" s="5"/>
      <c r="F36" s="5"/>
      <c r="G36" s="5"/>
      <c r="H36" s="5"/>
      <c r="I36" s="5"/>
      <c r="J36" s="5"/>
      <c r="K36" s="5"/>
      <c r="L36" s="5"/>
      <c r="M36" s="5"/>
      <c r="N36" s="5"/>
      <c r="O36" s="5"/>
      <c r="P36" s="5"/>
    </row>
    <row r="37" spans="1:16" ht="13" x14ac:dyDescent="0.3">
      <c r="A37" s="5"/>
      <c r="B37" s="5"/>
      <c r="C37" s="5"/>
      <c r="D37" s="5" t="s">
        <v>2214</v>
      </c>
      <c r="E37" s="5"/>
      <c r="F37" s="5"/>
      <c r="G37" s="5"/>
      <c r="H37" s="5"/>
      <c r="I37" s="5"/>
      <c r="J37" s="5"/>
      <c r="K37" s="5"/>
      <c r="L37" s="5"/>
      <c r="M37" s="5"/>
      <c r="N37" s="5"/>
      <c r="O37" s="5"/>
      <c r="P37" s="5"/>
    </row>
    <row r="38" spans="1:16" ht="13" x14ac:dyDescent="0.3">
      <c r="A38" s="5"/>
      <c r="B38" s="5"/>
      <c r="C38" s="5"/>
      <c r="D38" s="5" t="s">
        <v>1434</v>
      </c>
      <c r="E38" s="5"/>
      <c r="F38" s="5"/>
      <c r="G38" s="5"/>
      <c r="H38" s="5"/>
      <c r="I38" s="5"/>
      <c r="J38" s="5"/>
      <c r="K38" s="5"/>
      <c r="L38" s="5"/>
      <c r="M38" s="5"/>
      <c r="N38" s="5"/>
      <c r="O38" s="5"/>
      <c r="P38" s="5"/>
    </row>
    <row r="39" spans="1:16" ht="13" x14ac:dyDescent="0.3">
      <c r="A39" s="5"/>
      <c r="B39" s="5"/>
      <c r="C39" s="5"/>
      <c r="D39" s="5" t="s">
        <v>1323</v>
      </c>
      <c r="E39" s="5"/>
      <c r="F39" s="5"/>
      <c r="G39" s="5"/>
      <c r="H39" s="5"/>
      <c r="I39" s="5"/>
      <c r="J39" s="5"/>
      <c r="K39" s="5"/>
      <c r="L39" s="5"/>
      <c r="M39" s="5"/>
      <c r="N39" s="5"/>
      <c r="O39" s="5"/>
      <c r="P39" s="5"/>
    </row>
    <row r="40" spans="1:16" ht="13" x14ac:dyDescent="0.3">
      <c r="A40" s="5"/>
      <c r="B40" s="5"/>
      <c r="C40" s="5"/>
      <c r="D40" s="5" t="s">
        <v>783</v>
      </c>
      <c r="E40" s="5"/>
      <c r="F40" s="5"/>
      <c r="G40" s="5"/>
      <c r="H40" s="5"/>
      <c r="I40" s="5"/>
      <c r="J40" s="5"/>
      <c r="K40" s="5"/>
      <c r="L40" s="5"/>
      <c r="M40" s="5"/>
      <c r="N40" s="5"/>
      <c r="O40" s="5"/>
      <c r="P40" s="5"/>
    </row>
    <row r="41" spans="1:16" ht="13" x14ac:dyDescent="0.3">
      <c r="A41" s="5"/>
      <c r="B41" s="5"/>
      <c r="C41" s="5"/>
      <c r="D41" s="5" t="s">
        <v>243</v>
      </c>
      <c r="E41" s="5"/>
      <c r="F41" s="5"/>
      <c r="G41" s="5"/>
      <c r="H41" s="5"/>
      <c r="I41" s="5"/>
      <c r="J41" s="5"/>
      <c r="K41" s="5"/>
      <c r="L41" s="5"/>
      <c r="M41" s="5"/>
      <c r="N41" s="5"/>
      <c r="O41" s="5"/>
      <c r="P41" s="5"/>
    </row>
    <row r="42" spans="1:16" ht="13" x14ac:dyDescent="0.3">
      <c r="A42" s="5"/>
      <c r="B42" s="5"/>
      <c r="C42" s="5"/>
      <c r="D42" s="5" t="s">
        <v>292</v>
      </c>
      <c r="E42" s="5"/>
      <c r="F42" s="5"/>
      <c r="G42" s="5"/>
      <c r="H42" s="5"/>
      <c r="I42" s="5"/>
      <c r="J42" s="5"/>
      <c r="K42" s="5"/>
      <c r="L42" s="5"/>
      <c r="M42" s="5"/>
      <c r="N42" s="5"/>
      <c r="O42" s="5"/>
      <c r="P42" s="5"/>
    </row>
    <row r="43" spans="1:16" ht="13" x14ac:dyDescent="0.3">
      <c r="A43" s="5"/>
      <c r="B43" s="5"/>
      <c r="C43" s="5"/>
      <c r="D43" s="5" t="s">
        <v>2215</v>
      </c>
      <c r="E43" s="5"/>
      <c r="F43" s="5"/>
      <c r="G43" s="5"/>
      <c r="H43" s="5"/>
      <c r="I43" s="5"/>
      <c r="J43" s="5"/>
      <c r="K43" s="5"/>
      <c r="L43" s="5"/>
      <c r="M43" s="5"/>
      <c r="N43" s="5"/>
      <c r="O43" s="5"/>
      <c r="P43" s="5"/>
    </row>
    <row r="44" spans="1:16" ht="13" x14ac:dyDescent="0.3">
      <c r="A44" s="5"/>
      <c r="B44" s="5"/>
      <c r="C44" s="5"/>
      <c r="D44" s="5" t="s">
        <v>489</v>
      </c>
      <c r="E44" s="5"/>
      <c r="F44" s="5"/>
      <c r="G44" s="5"/>
      <c r="H44" s="5"/>
      <c r="I44" s="5"/>
      <c r="J44" s="5"/>
      <c r="K44" s="5"/>
      <c r="L44" s="5"/>
      <c r="M44" s="5"/>
      <c r="N44" s="5"/>
      <c r="O44" s="5"/>
      <c r="P44" s="5"/>
    </row>
    <row r="45" spans="1:16" ht="13" x14ac:dyDescent="0.3">
      <c r="A45" s="5"/>
      <c r="B45" s="5"/>
      <c r="C45" s="5"/>
      <c r="D45" s="5" t="s">
        <v>616</v>
      </c>
      <c r="E45" s="5"/>
      <c r="F45" s="5"/>
      <c r="G45" s="5"/>
      <c r="H45" s="5"/>
      <c r="I45" s="5"/>
      <c r="J45" s="5"/>
      <c r="K45" s="5"/>
      <c r="L45" s="5"/>
      <c r="M45" s="5"/>
      <c r="N45" s="5"/>
      <c r="O45" s="5"/>
      <c r="P45" s="5"/>
    </row>
    <row r="46" spans="1:16" ht="13" x14ac:dyDescent="0.3">
      <c r="A46" s="5"/>
      <c r="B46" s="5"/>
      <c r="C46" s="5"/>
      <c r="D46" s="5" t="s">
        <v>2216</v>
      </c>
      <c r="E46" s="5"/>
      <c r="F46" s="5"/>
      <c r="G46" s="5"/>
      <c r="H46" s="5"/>
      <c r="I46" s="5"/>
      <c r="J46" s="5"/>
      <c r="K46" s="5"/>
      <c r="L46" s="5"/>
      <c r="M46" s="5"/>
      <c r="N46" s="5"/>
      <c r="O46" s="5"/>
      <c r="P46" s="5"/>
    </row>
    <row r="47" spans="1:16" ht="13" x14ac:dyDescent="0.3">
      <c r="A47" s="5"/>
      <c r="B47" s="5"/>
      <c r="C47" s="5"/>
      <c r="D47" s="5" t="s">
        <v>1367</v>
      </c>
      <c r="E47" s="5"/>
      <c r="F47" s="5"/>
      <c r="G47" s="5"/>
      <c r="H47" s="5"/>
      <c r="I47" s="5"/>
      <c r="J47" s="5"/>
      <c r="K47" s="5"/>
      <c r="L47" s="5"/>
      <c r="M47" s="5"/>
      <c r="N47" s="5"/>
      <c r="O47" s="5"/>
      <c r="P47" s="5"/>
    </row>
    <row r="48" spans="1:16" ht="13" x14ac:dyDescent="0.3">
      <c r="A48" s="5"/>
      <c r="B48" s="5"/>
      <c r="C48" s="5"/>
      <c r="D48" s="5" t="s">
        <v>2217</v>
      </c>
      <c r="E48" s="5"/>
      <c r="F48" s="5"/>
      <c r="G48" s="5"/>
      <c r="H48" s="5"/>
      <c r="I48" s="5"/>
      <c r="J48" s="5"/>
      <c r="K48" s="5"/>
      <c r="L48" s="5"/>
      <c r="M48" s="5"/>
      <c r="N48" s="5"/>
      <c r="O48" s="5"/>
      <c r="P48" s="5"/>
    </row>
    <row r="49" spans="1:16" ht="13" x14ac:dyDescent="0.3">
      <c r="A49" s="5"/>
      <c r="B49" s="5"/>
      <c r="C49" s="5"/>
      <c r="D49" s="5" t="s">
        <v>346</v>
      </c>
      <c r="E49" s="5"/>
      <c r="F49" s="5"/>
      <c r="G49" s="5"/>
      <c r="H49" s="5"/>
      <c r="I49" s="5"/>
      <c r="J49" s="5"/>
      <c r="K49" s="5"/>
      <c r="L49" s="5"/>
      <c r="M49" s="5"/>
      <c r="N49" s="5"/>
      <c r="O49" s="5"/>
      <c r="P49" s="5"/>
    </row>
    <row r="50" spans="1:16" ht="13" x14ac:dyDescent="0.3">
      <c r="A50" s="5"/>
      <c r="B50" s="5"/>
      <c r="C50" s="5"/>
      <c r="D50" s="5" t="s">
        <v>2218</v>
      </c>
      <c r="E50" s="5"/>
      <c r="F50" s="5"/>
      <c r="G50" s="5"/>
      <c r="H50" s="5"/>
      <c r="I50" s="5"/>
      <c r="J50" s="5"/>
      <c r="K50" s="5"/>
      <c r="L50" s="5"/>
      <c r="M50" s="5"/>
      <c r="N50" s="5"/>
      <c r="O50" s="5"/>
      <c r="P50" s="5"/>
    </row>
    <row r="51" spans="1:16" ht="13" x14ac:dyDescent="0.3">
      <c r="A51" s="5"/>
      <c r="B51" s="5"/>
      <c r="C51" s="5"/>
      <c r="D51" s="5" t="s">
        <v>1054</v>
      </c>
      <c r="E51" s="5"/>
      <c r="F51" s="5"/>
      <c r="G51" s="5"/>
      <c r="H51" s="5"/>
      <c r="I51" s="5"/>
      <c r="J51" s="5"/>
      <c r="K51" s="5"/>
      <c r="L51" s="5"/>
      <c r="M51" s="5"/>
      <c r="N51" s="5"/>
      <c r="O51" s="5"/>
      <c r="P51" s="5"/>
    </row>
    <row r="52" spans="1:16" ht="13" x14ac:dyDescent="0.3">
      <c r="A52" s="5"/>
      <c r="B52" s="5"/>
      <c r="C52" s="5"/>
      <c r="D52" s="5" t="s">
        <v>1311</v>
      </c>
      <c r="E52" s="5"/>
      <c r="F52" s="5"/>
      <c r="G52" s="5"/>
      <c r="H52" s="5"/>
      <c r="I52" s="5"/>
      <c r="J52" s="5"/>
      <c r="K52" s="5"/>
      <c r="L52" s="5"/>
      <c r="M52" s="5"/>
      <c r="N52" s="5"/>
      <c r="O52" s="5"/>
      <c r="P52" s="5"/>
    </row>
    <row r="53" spans="1:16" ht="13" x14ac:dyDescent="0.3">
      <c r="A53" s="5"/>
      <c r="B53" s="5"/>
      <c r="C53" s="5"/>
      <c r="D53" s="5" t="s">
        <v>1241</v>
      </c>
      <c r="E53" s="5"/>
      <c r="F53" s="5"/>
      <c r="G53" s="5"/>
      <c r="H53" s="5"/>
      <c r="I53" s="5"/>
      <c r="J53" s="5"/>
      <c r="K53" s="5"/>
      <c r="L53" s="5"/>
      <c r="M53" s="5"/>
      <c r="N53" s="5"/>
      <c r="O53" s="5"/>
      <c r="P53" s="5"/>
    </row>
    <row r="54" spans="1:16" ht="13" x14ac:dyDescent="0.3">
      <c r="A54" s="5"/>
      <c r="B54" s="5"/>
      <c r="C54" s="5"/>
      <c r="D54" s="5" t="s">
        <v>1703</v>
      </c>
      <c r="E54" s="5"/>
      <c r="F54" s="5"/>
      <c r="G54" s="5"/>
      <c r="H54" s="5"/>
      <c r="I54" s="5"/>
      <c r="J54" s="5"/>
      <c r="K54" s="5"/>
      <c r="L54" s="5"/>
      <c r="M54" s="5"/>
      <c r="N54" s="5"/>
      <c r="O54" s="5"/>
      <c r="P54" s="5"/>
    </row>
    <row r="55" spans="1:16" ht="13" x14ac:dyDescent="0.3">
      <c r="A55" s="5"/>
      <c r="B55" s="5"/>
      <c r="C55" s="5"/>
      <c r="D55" s="5" t="s">
        <v>2219</v>
      </c>
      <c r="E55" s="5"/>
      <c r="F55" s="5"/>
      <c r="G55" s="5"/>
      <c r="H55" s="5"/>
      <c r="I55" s="5"/>
      <c r="J55" s="5"/>
      <c r="K55" s="5"/>
      <c r="L55" s="5"/>
      <c r="M55" s="5"/>
      <c r="N55" s="5"/>
      <c r="O55" s="5"/>
      <c r="P55" s="5"/>
    </row>
    <row r="56" spans="1:16" ht="13" x14ac:dyDescent="0.3">
      <c r="A56" s="5"/>
      <c r="B56" s="5"/>
      <c r="C56" s="5"/>
      <c r="D56" s="5" t="s">
        <v>345</v>
      </c>
      <c r="E56" s="5"/>
      <c r="F56" s="5"/>
      <c r="G56" s="5"/>
      <c r="H56" s="5"/>
      <c r="I56" s="5"/>
      <c r="J56" s="5"/>
      <c r="K56" s="5"/>
      <c r="L56" s="5"/>
      <c r="M56" s="5"/>
      <c r="N56" s="5"/>
      <c r="O56" s="5"/>
      <c r="P56" s="5"/>
    </row>
    <row r="57" spans="1:16" ht="13" x14ac:dyDescent="0.3">
      <c r="A57" s="5"/>
      <c r="B57" s="5"/>
      <c r="C57" s="5"/>
      <c r="D57" s="5" t="s">
        <v>439</v>
      </c>
      <c r="E57" s="5"/>
      <c r="F57" s="5"/>
      <c r="G57" s="5"/>
      <c r="H57" s="5"/>
      <c r="I57" s="5"/>
      <c r="J57" s="5"/>
      <c r="K57" s="5"/>
      <c r="L57" s="5"/>
      <c r="M57" s="5"/>
      <c r="N57" s="5"/>
      <c r="O57" s="5"/>
      <c r="P57" s="5"/>
    </row>
    <row r="58" spans="1:16" ht="13" x14ac:dyDescent="0.3">
      <c r="A58" s="5"/>
      <c r="B58" s="5"/>
      <c r="C58" s="5"/>
      <c r="D58" s="5" t="s">
        <v>179</v>
      </c>
      <c r="E58" s="5"/>
      <c r="F58" s="5"/>
      <c r="G58" s="5"/>
      <c r="H58" s="5"/>
      <c r="I58" s="5"/>
      <c r="J58" s="5"/>
      <c r="K58" s="5"/>
      <c r="L58" s="5"/>
      <c r="M58" s="5"/>
      <c r="N58" s="5"/>
      <c r="O58" s="5"/>
      <c r="P58" s="5"/>
    </row>
    <row r="59" spans="1:16" ht="13" x14ac:dyDescent="0.3">
      <c r="A59" s="5"/>
      <c r="B59" s="5"/>
      <c r="C59" s="5"/>
      <c r="D59" s="5" t="s">
        <v>643</v>
      </c>
      <c r="E59" s="5"/>
      <c r="F59" s="5"/>
      <c r="G59" s="5"/>
      <c r="H59" s="5"/>
      <c r="I59" s="5"/>
      <c r="J59" s="5"/>
      <c r="K59" s="5"/>
      <c r="L59" s="5"/>
      <c r="M59" s="5"/>
      <c r="N59" s="5"/>
      <c r="O59" s="5"/>
      <c r="P59" s="5"/>
    </row>
    <row r="60" spans="1:16" ht="13" x14ac:dyDescent="0.3">
      <c r="A60" s="5"/>
      <c r="B60" s="5"/>
      <c r="C60" s="5"/>
      <c r="D60" s="5" t="s">
        <v>218</v>
      </c>
      <c r="E60" s="5"/>
      <c r="F60" s="5"/>
      <c r="G60" s="5"/>
      <c r="H60" s="5"/>
      <c r="I60" s="5"/>
      <c r="J60" s="5"/>
      <c r="K60" s="5"/>
      <c r="L60" s="5"/>
      <c r="M60" s="5"/>
      <c r="N60" s="5"/>
      <c r="O60" s="5"/>
      <c r="P60" s="5"/>
    </row>
    <row r="61" spans="1:16" ht="13" x14ac:dyDescent="0.3">
      <c r="A61" s="5"/>
      <c r="B61" s="5"/>
      <c r="C61" s="5"/>
      <c r="D61" s="5" t="s">
        <v>2220</v>
      </c>
      <c r="E61" s="5"/>
      <c r="F61" s="5"/>
      <c r="G61" s="5"/>
      <c r="H61" s="5"/>
      <c r="I61" s="5"/>
      <c r="J61" s="5"/>
      <c r="K61" s="5"/>
      <c r="L61" s="5"/>
      <c r="M61" s="5"/>
      <c r="N61" s="5"/>
      <c r="O61" s="5"/>
      <c r="P61" s="5"/>
    </row>
    <row r="62" spans="1:16" ht="13" x14ac:dyDescent="0.3">
      <c r="A62" s="5"/>
      <c r="B62" s="5"/>
      <c r="C62" s="5"/>
      <c r="D62" s="5" t="s">
        <v>610</v>
      </c>
      <c r="E62" s="5"/>
      <c r="F62" s="5"/>
      <c r="G62" s="5"/>
      <c r="H62" s="5"/>
      <c r="I62" s="5"/>
      <c r="J62" s="5"/>
      <c r="K62" s="5"/>
      <c r="L62" s="5"/>
      <c r="M62" s="5"/>
      <c r="N62" s="5"/>
      <c r="O62" s="5"/>
      <c r="P62" s="5"/>
    </row>
    <row r="63" spans="1:16" ht="13" x14ac:dyDescent="0.3">
      <c r="A63" s="5"/>
      <c r="B63" s="5"/>
      <c r="C63" s="5"/>
      <c r="D63" s="5" t="s">
        <v>523</v>
      </c>
      <c r="E63" s="5"/>
      <c r="F63" s="5"/>
      <c r="G63" s="5"/>
      <c r="H63" s="5"/>
      <c r="I63" s="5"/>
      <c r="J63" s="5"/>
      <c r="K63" s="5"/>
      <c r="L63" s="5"/>
      <c r="M63" s="5"/>
      <c r="N63" s="5"/>
      <c r="O63" s="5"/>
      <c r="P63" s="5"/>
    </row>
    <row r="64" spans="1:16" ht="13" x14ac:dyDescent="0.3">
      <c r="A64" s="5"/>
      <c r="B64" s="5"/>
      <c r="C64" s="5"/>
      <c r="D64" s="5" t="s">
        <v>2221</v>
      </c>
      <c r="E64" s="5"/>
      <c r="F64" s="5"/>
      <c r="G64" s="5"/>
      <c r="H64" s="5"/>
      <c r="I64" s="5"/>
      <c r="J64" s="5"/>
      <c r="K64" s="5"/>
      <c r="L64" s="5"/>
      <c r="M64" s="5"/>
      <c r="N64" s="5"/>
      <c r="O64" s="5"/>
      <c r="P64" s="5"/>
    </row>
    <row r="65" spans="1:16" ht="13" x14ac:dyDescent="0.3">
      <c r="A65" s="5"/>
      <c r="B65" s="5"/>
      <c r="C65" s="5"/>
      <c r="D65" s="5" t="s">
        <v>2222</v>
      </c>
      <c r="E65" s="5"/>
      <c r="F65" s="5"/>
      <c r="G65" s="5"/>
      <c r="H65" s="5"/>
      <c r="I65" s="5"/>
      <c r="J65" s="5"/>
      <c r="K65" s="5"/>
      <c r="L65" s="5"/>
      <c r="M65" s="5"/>
      <c r="N65" s="5"/>
      <c r="O65" s="5"/>
      <c r="P65" s="5"/>
    </row>
    <row r="66" spans="1:16" ht="13" x14ac:dyDescent="0.3">
      <c r="A66" s="5"/>
      <c r="B66" s="5"/>
      <c r="C66" s="5"/>
      <c r="D66" s="5" t="s">
        <v>1121</v>
      </c>
      <c r="E66" s="5"/>
      <c r="F66" s="5"/>
      <c r="G66" s="5"/>
      <c r="H66" s="5"/>
      <c r="I66" s="5"/>
      <c r="J66" s="5"/>
      <c r="K66" s="5"/>
      <c r="L66" s="5"/>
      <c r="M66" s="5"/>
      <c r="N66" s="5"/>
      <c r="O66" s="5"/>
      <c r="P66" s="5"/>
    </row>
    <row r="67" spans="1:16" ht="13" x14ac:dyDescent="0.3">
      <c r="A67" s="5"/>
      <c r="B67" s="5"/>
      <c r="C67" s="5"/>
      <c r="D67" s="5" t="s">
        <v>149</v>
      </c>
      <c r="E67" s="5"/>
      <c r="F67" s="5"/>
      <c r="G67" s="5"/>
      <c r="H67" s="5"/>
      <c r="I67" s="5"/>
      <c r="J67" s="5"/>
      <c r="K67" s="5"/>
      <c r="L67" s="5"/>
      <c r="M67" s="5"/>
      <c r="N67" s="5"/>
      <c r="O67" s="5"/>
      <c r="P67" s="5"/>
    </row>
    <row r="68" spans="1:16" ht="13" x14ac:dyDescent="0.3">
      <c r="A68" s="5"/>
      <c r="B68" s="5"/>
      <c r="C68" s="5"/>
      <c r="D68" s="5" t="s">
        <v>649</v>
      </c>
      <c r="E68" s="5"/>
      <c r="F68" s="5"/>
      <c r="G68" s="5"/>
      <c r="H68" s="5"/>
      <c r="I68" s="5"/>
      <c r="J68" s="5"/>
      <c r="K68" s="5"/>
      <c r="L68" s="5"/>
      <c r="M68" s="5"/>
      <c r="N68" s="5"/>
      <c r="O68" s="5"/>
      <c r="P68" s="5"/>
    </row>
    <row r="69" spans="1:16" ht="13" x14ac:dyDescent="0.3">
      <c r="A69" s="5"/>
      <c r="B69" s="5"/>
      <c r="C69" s="5"/>
      <c r="D69" s="5" t="s">
        <v>213</v>
      </c>
      <c r="E69" s="5"/>
      <c r="F69" s="5"/>
      <c r="G69" s="5"/>
      <c r="H69" s="5"/>
      <c r="I69" s="5"/>
      <c r="J69" s="5"/>
      <c r="K69" s="5"/>
      <c r="L69" s="5"/>
      <c r="M69" s="5"/>
      <c r="N69" s="5"/>
      <c r="O69" s="5"/>
      <c r="P69" s="5"/>
    </row>
    <row r="70" spans="1:16" ht="13" x14ac:dyDescent="0.3">
      <c r="A70" s="5"/>
      <c r="B70" s="5"/>
      <c r="C70" s="5"/>
      <c r="D70" s="5" t="s">
        <v>788</v>
      </c>
      <c r="E70" s="5"/>
      <c r="F70" s="5"/>
      <c r="G70" s="5"/>
      <c r="H70" s="5"/>
      <c r="I70" s="5"/>
      <c r="J70" s="5"/>
      <c r="K70" s="5"/>
      <c r="L70" s="5"/>
      <c r="M70" s="5"/>
      <c r="N70" s="5"/>
      <c r="O70" s="5"/>
      <c r="P70" s="5"/>
    </row>
    <row r="71" spans="1:16" ht="13" x14ac:dyDescent="0.3">
      <c r="A71" s="5"/>
      <c r="B71" s="5"/>
      <c r="C71" s="5"/>
      <c r="D71" s="5" t="s">
        <v>1095</v>
      </c>
      <c r="E71" s="5"/>
      <c r="F71" s="5"/>
      <c r="G71" s="5"/>
      <c r="H71" s="5"/>
      <c r="I71" s="5"/>
      <c r="J71" s="5"/>
      <c r="K71" s="5"/>
      <c r="L71" s="5"/>
      <c r="M71" s="5"/>
      <c r="N71" s="5"/>
      <c r="O71" s="5"/>
      <c r="P71" s="5"/>
    </row>
    <row r="72" spans="1:16" ht="13" x14ac:dyDescent="0.3">
      <c r="A72" s="5"/>
      <c r="B72" s="5"/>
      <c r="C72" s="5"/>
      <c r="D72" s="5" t="s">
        <v>2223</v>
      </c>
      <c r="E72" s="5"/>
      <c r="F72" s="5"/>
      <c r="G72" s="5"/>
      <c r="H72" s="5"/>
      <c r="I72" s="5"/>
      <c r="J72" s="5"/>
      <c r="K72" s="5"/>
      <c r="L72" s="5"/>
      <c r="M72" s="5"/>
      <c r="N72" s="5"/>
      <c r="O72" s="5"/>
      <c r="P72" s="5"/>
    </row>
    <row r="73" spans="1:16" ht="13" x14ac:dyDescent="0.3">
      <c r="A73" s="5"/>
      <c r="B73" s="5"/>
      <c r="C73" s="5"/>
      <c r="D73" s="5" t="s">
        <v>133</v>
      </c>
      <c r="E73" s="5"/>
      <c r="F73" s="5"/>
      <c r="G73" s="5"/>
      <c r="H73" s="5"/>
      <c r="I73" s="5"/>
      <c r="J73" s="5"/>
      <c r="K73" s="5"/>
      <c r="L73" s="5"/>
      <c r="M73" s="5"/>
      <c r="N73" s="5"/>
      <c r="O73" s="5"/>
      <c r="P73" s="5"/>
    </row>
    <row r="74" spans="1:16" ht="13" x14ac:dyDescent="0.3">
      <c r="A74" s="5"/>
      <c r="B74" s="5"/>
      <c r="C74" s="5"/>
      <c r="D74" s="5" t="s">
        <v>234</v>
      </c>
      <c r="E74" s="5"/>
      <c r="F74" s="5"/>
      <c r="G74" s="5"/>
      <c r="H74" s="5"/>
      <c r="I74" s="5"/>
      <c r="J74" s="5"/>
      <c r="K74" s="5"/>
      <c r="L74" s="5"/>
      <c r="M74" s="5"/>
      <c r="N74" s="5"/>
      <c r="O74" s="5"/>
      <c r="P74" s="5"/>
    </row>
    <row r="75" spans="1:16" ht="13" x14ac:dyDescent="0.3">
      <c r="A75" s="5"/>
      <c r="B75" s="5"/>
      <c r="C75" s="5"/>
      <c r="D75" s="5" t="s">
        <v>2224</v>
      </c>
      <c r="E75" s="5"/>
      <c r="F75" s="5"/>
      <c r="G75" s="5"/>
      <c r="H75" s="5"/>
      <c r="I75" s="5"/>
      <c r="J75" s="5"/>
      <c r="K75" s="5"/>
      <c r="L75" s="5"/>
      <c r="M75" s="5"/>
      <c r="N75" s="5"/>
      <c r="O75" s="5"/>
      <c r="P75" s="5"/>
    </row>
    <row r="76" spans="1:16" ht="13" x14ac:dyDescent="0.3">
      <c r="A76" s="5"/>
      <c r="B76" s="5"/>
      <c r="C76" s="5"/>
      <c r="D76" s="5" t="s">
        <v>2225</v>
      </c>
      <c r="E76" s="5"/>
      <c r="F76" s="5"/>
      <c r="G76" s="5"/>
      <c r="H76" s="5"/>
      <c r="I76" s="5"/>
      <c r="J76" s="5"/>
      <c r="K76" s="5"/>
      <c r="L76" s="5"/>
      <c r="M76" s="5"/>
      <c r="N76" s="5"/>
      <c r="O76" s="5"/>
      <c r="P76" s="5"/>
    </row>
    <row r="77" spans="1:16" ht="13" x14ac:dyDescent="0.3">
      <c r="D77" s="5" t="s">
        <v>1333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843BD31596D46F4FBE23A3BABF0C0027" ma:contentTypeVersion="16" ma:contentTypeDescription="Create a new document." ma:contentTypeScope="" ma:versionID="d24e6c21103274b2ac2789f00c07bb4f">
  <xsd:schema xmlns:xsd="http://www.w3.org/2001/XMLSchema" xmlns:xs="http://www.w3.org/2001/XMLSchema" xmlns:p="http://schemas.microsoft.com/office/2006/metadata/properties" xmlns:ns2="373e169e-1fa4-4c40-ba23-a769fdd8a158" xmlns:ns3="b48fdc7f-dc23-401c-bca3-7951ccf91bbf" targetNamespace="http://schemas.microsoft.com/office/2006/metadata/properties" ma:root="true" ma:fieldsID="f64967f82de59bd8194020a751604c72" ns2:_="" ns3:_="">
    <xsd:import namespace="373e169e-1fa4-4c40-ba23-a769fdd8a158"/>
    <xsd:import namespace="b48fdc7f-dc23-401c-bca3-7951ccf91b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e169e-1fa4-4c40-ba23-a769fdd8a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fdc7f-dc23-401c-bca3-7951ccf91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ccca6c-67fb-4ab4-bfc6-168685d87d84}" ma:internalName="TaxCatchAll" ma:showField="CatchAllData" ma:web="b48fdc7f-dc23-401c-bca3-7951ccf91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b48fdc7f-dc23-401c-bca3-7951ccf91bbf">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TaxCatchAll xmlns="b48fdc7f-dc23-401c-bca3-7951ccf91bbf" xsi:nil="true"/>
    <lcf76f155ced4ddcb4097134ff3c332f xmlns="373e169e-1fa4-4c40-ba23-a769fdd8a1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customXml/itemProps2.xml><?xml version="1.0" encoding="utf-8"?>
<ds:datastoreItem xmlns:ds="http://schemas.openxmlformats.org/officeDocument/2006/customXml" ds:itemID="{F1984C0E-0EF9-4246-9E9B-CDD7DAFC3521}"/>
</file>

<file path=customXml/itemProps3.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4.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494e958b-86a5-44c2-adc8-947cc01a65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Change Log</vt:lpstr>
      <vt:lpstr>Project List</vt:lpstr>
      <vt:lpstr>Data Fields</vt:lpstr>
      <vt:lpstr>Options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Taheri, Sarah M</cp:lastModifiedBy>
  <cp:revision/>
  <dcterms:created xsi:type="dcterms:W3CDTF">2023-09-14T21:06:32Z</dcterms:created>
  <dcterms:modified xsi:type="dcterms:W3CDTF">2024-11-22T16:43:00Z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0x010100843BD31596D46F4FBE23A3BABF0C0027</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ies>
</file>