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sce.eix.com\workgroup\RP&amp;S\Demand &amp; DER Forecasting\users\deane\Sales Forecast\2024Q4\Data Center\Modeling\Archive &amp; Shared Files\"/>
    </mc:Choice>
  </mc:AlternateContent>
  <xr:revisionPtr revIDLastSave="0" documentId="13_ncr:1_{C72AD632-6F69-4C71-958D-31D082372A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ADME" sheetId="16" r:id="rId1"/>
    <sheet name="Forecast" sheetId="14" r:id="rId2"/>
    <sheet name="Final Project List" sheetId="9" r:id="rId3"/>
    <sheet name="Long-Term Growth Scenarios" sheetId="11" r:id="rId4"/>
    <sheet name="Existing Data Centers" sheetId="13" r:id="rId5"/>
    <sheet name="Assumption Calculations" sheetId="2" r:id="rId6"/>
    <sheet name="PY24" sheetId="10" r:id="rId7"/>
  </sheets>
  <definedNames>
    <definedName name="_xlnm._FilterDatabase" localSheetId="6" hidden="1">'PY24'!$B$3:$U$23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0" l="1"/>
  <c r="E2" i="14"/>
  <c r="F2" i="14" s="1"/>
  <c r="B10" i="2"/>
  <c r="A28" i="14" l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B26" i="14"/>
  <c r="E26" i="14" s="1"/>
  <c r="C26" i="14" l="1"/>
  <c r="F26" i="14" s="1"/>
  <c r="N7" i="9" l="1"/>
  <c r="M7" i="9"/>
  <c r="L7" i="9"/>
  <c r="K7" i="9"/>
  <c r="J7" i="9"/>
  <c r="I7" i="9"/>
  <c r="H7" i="9"/>
  <c r="G7" i="9"/>
  <c r="F7" i="9"/>
  <c r="E7" i="9"/>
  <c r="B30" i="14" l="1"/>
  <c r="F8" i="9"/>
  <c r="B29" i="14"/>
  <c r="B28" i="14"/>
  <c r="C4" i="14"/>
  <c r="B34" i="14" l="1"/>
  <c r="B33" i="14"/>
  <c r="B37" i="14"/>
  <c r="B36" i="14"/>
  <c r="B35" i="14"/>
  <c r="B31" i="14"/>
  <c r="E4" i="14"/>
  <c r="B32" i="14"/>
  <c r="I4" i="14"/>
  <c r="C3" i="14"/>
  <c r="B27" i="14"/>
  <c r="C35" i="14" l="1"/>
  <c r="C36" i="14"/>
  <c r="C37" i="14"/>
  <c r="C34" i="14"/>
  <c r="C32" i="14"/>
  <c r="C33" i="14"/>
  <c r="C31" i="14"/>
  <c r="D27" i="14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E27" i="14"/>
  <c r="E28" i="14" s="1"/>
  <c r="E29" i="14" s="1"/>
  <c r="E30" i="14" s="1"/>
  <c r="E31" i="14" s="1"/>
  <c r="E32" i="14" s="1"/>
  <c r="E33" i="14" s="1"/>
  <c r="E34" i="14" s="1"/>
  <c r="E35" i="14" s="1"/>
  <c r="E36" i="14" s="1"/>
  <c r="E37" i="14" s="1"/>
  <c r="E3" i="14"/>
  <c r="I3" i="14"/>
  <c r="C28" i="14" l="1"/>
  <c r="C29" i="14"/>
  <c r="F3" i="14"/>
  <c r="F4" i="14" s="1"/>
  <c r="D6" i="2" s="1"/>
  <c r="C27" i="14"/>
  <c r="F27" i="14" s="1"/>
  <c r="C30" i="14"/>
  <c r="U23" i="10"/>
  <c r="B17" i="2"/>
  <c r="B18" i="2" s="1"/>
  <c r="B19" i="2" s="1"/>
  <c r="B20" i="2" s="1"/>
  <c r="B21" i="2" s="1"/>
  <c r="B22" i="2" s="1"/>
  <c r="B23" i="2" s="1"/>
  <c r="B24" i="2" s="1"/>
  <c r="B25" i="2" s="1"/>
  <c r="B26" i="2" s="1"/>
  <c r="F28" i="14" l="1"/>
  <c r="G27" i="14"/>
  <c r="F29" i="14" l="1"/>
  <c r="G28" i="14"/>
  <c r="F30" i="14" l="1"/>
  <c r="G29" i="14"/>
  <c r="C16" i="2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B12" i="2" s="1"/>
  <c r="F31" i="14" l="1"/>
  <c r="G30" i="14"/>
  <c r="B13" i="2"/>
  <c r="C5" i="14" s="1"/>
  <c r="E5" i="14"/>
  <c r="G31" i="14" l="1"/>
  <c r="F32" i="14"/>
  <c r="C43" i="14"/>
  <c r="C41" i="14"/>
  <c r="C42" i="14"/>
  <c r="C45" i="14"/>
  <c r="C46" i="14"/>
  <c r="C44" i="14"/>
  <c r="C47" i="14"/>
  <c r="C40" i="14"/>
  <c r="C38" i="14"/>
  <c r="C39" i="14"/>
  <c r="F5" i="14"/>
  <c r="B42" i="14"/>
  <c r="B40" i="14"/>
  <c r="I5" i="14"/>
  <c r="B41" i="14"/>
  <c r="B39" i="14"/>
  <c r="B43" i="14"/>
  <c r="B46" i="14"/>
  <c r="B47" i="14"/>
  <c r="B45" i="14"/>
  <c r="B38" i="14"/>
  <c r="B44" i="14"/>
  <c r="G32" i="14" l="1"/>
  <c r="F33" i="14"/>
  <c r="G33" i="14" s="1"/>
  <c r="D38" i="14"/>
  <c r="D39" i="14" s="1"/>
  <c r="D40" i="14" s="1"/>
  <c r="D41" i="14" s="1"/>
  <c r="D42" i="14" s="1"/>
  <c r="D43" i="14" s="1"/>
  <c r="D44" i="14" s="1"/>
  <c r="D45" i="14" s="1"/>
  <c r="D46" i="14" s="1"/>
  <c r="D47" i="14" s="1"/>
  <c r="E38" i="14"/>
  <c r="E39" i="14" s="1"/>
  <c r="E40" i="14" s="1"/>
  <c r="E41" i="14" s="1"/>
  <c r="E42" i="14" s="1"/>
  <c r="E43" i="14" s="1"/>
  <c r="E44" i="14" s="1"/>
  <c r="E45" i="14" s="1"/>
  <c r="E46" i="14" s="1"/>
  <c r="E47" i="14" s="1"/>
  <c r="F34" i="14" l="1"/>
  <c r="G34" i="14" l="1"/>
  <c r="F35" i="14"/>
  <c r="F36" i="14" l="1"/>
  <c r="G35" i="14"/>
  <c r="F37" i="14" l="1"/>
  <c r="G36" i="14"/>
  <c r="G37" i="14" l="1"/>
  <c r="F38" i="14"/>
  <c r="F39" i="14" l="1"/>
  <c r="G38" i="14"/>
  <c r="G39" i="14" l="1"/>
  <c r="F40" i="14"/>
  <c r="G40" i="14" l="1"/>
  <c r="F41" i="14"/>
  <c r="F42" i="14" l="1"/>
  <c r="G41" i="14"/>
  <c r="G42" i="14" l="1"/>
  <c r="F43" i="14"/>
  <c r="G43" i="14" l="1"/>
  <c r="F44" i="14"/>
  <c r="F45" i="14" l="1"/>
  <c r="G44" i="14"/>
  <c r="F46" i="14" l="1"/>
  <c r="G45" i="14"/>
  <c r="F47" i="14" l="1"/>
  <c r="G47" i="14" s="1"/>
  <c r="G46" i="14"/>
</calcChain>
</file>

<file path=xl/sharedStrings.xml><?xml version="1.0" encoding="utf-8"?>
<sst xmlns="http://schemas.openxmlformats.org/spreadsheetml/2006/main" count="220" uniqueCount="154">
  <si>
    <t>Current Data Center Load</t>
  </si>
  <si>
    <t>Near-Term Growth</t>
  </si>
  <si>
    <t>Mid-Term Growth</t>
  </si>
  <si>
    <t>Long-Term Growth</t>
  </si>
  <si>
    <t>MW</t>
  </si>
  <si>
    <t>YoY %</t>
  </si>
  <si>
    <t>Source</t>
  </si>
  <si>
    <t>Notes</t>
  </si>
  <si>
    <t>Years</t>
  </si>
  <si>
    <t>2025-2028</t>
  </si>
  <si>
    <t>Year</t>
  </si>
  <si>
    <t>Cumulative MW</t>
  </si>
  <si>
    <t>Capacity Additions</t>
  </si>
  <si>
    <t>2029-2035</t>
  </si>
  <si>
    <t>GWh</t>
  </si>
  <si>
    <t>Cum. GWh</t>
  </si>
  <si>
    <t>Cum GWh</t>
  </si>
  <si>
    <t>Inc  GWh</t>
  </si>
  <si>
    <t>2035 + Growth Rate</t>
  </si>
  <si>
    <t>Starting Point (2035 Load)</t>
  </si>
  <si>
    <t>2036-2045</t>
  </si>
  <si>
    <t>CAGR</t>
  </si>
  <si>
    <t>Total GWh</t>
  </si>
  <si>
    <t>Total MW</t>
  </si>
  <si>
    <t>Internal Projects (DSP &amp; MOS)</t>
  </si>
  <si>
    <t>Included in Plan</t>
  </si>
  <si>
    <t>PY24</t>
  </si>
  <si>
    <t>Location</t>
  </si>
  <si>
    <t>Demand (MW)</t>
  </si>
  <si>
    <t>Energization Year</t>
  </si>
  <si>
    <t>Status</t>
  </si>
  <si>
    <t>Industrial</t>
  </si>
  <si>
    <t>DSP Planning Projects</t>
  </si>
  <si>
    <t>MOS Projects</t>
  </si>
  <si>
    <t>Confidence Level</t>
  </si>
  <si>
    <t>Project Inquiries</t>
  </si>
  <si>
    <t>Known Data Center Projects</t>
  </si>
  <si>
    <t>Region</t>
  </si>
  <si>
    <t>ID</t>
  </si>
  <si>
    <t>Submittal Type</t>
  </si>
  <si>
    <t>City</t>
  </si>
  <si>
    <t>Peak kVA Total</t>
  </si>
  <si>
    <t>Diversified kVA Total</t>
  </si>
  <si>
    <t>Load Sector</t>
  </si>
  <si>
    <t>Load Category</t>
  </si>
  <si>
    <t>Plan Year</t>
  </si>
  <si>
    <t>2023 MVA</t>
  </si>
  <si>
    <t>2024 MVA</t>
  </si>
  <si>
    <t>2025 MVA</t>
  </si>
  <si>
    <t>2026 MVA</t>
  </si>
  <si>
    <t>2027 MVA</t>
  </si>
  <si>
    <t>2028 MVA</t>
  </si>
  <si>
    <t>2029 MVA</t>
  </si>
  <si>
    <t>2030 MVA</t>
  </si>
  <si>
    <t>2031 MVA</t>
  </si>
  <si>
    <t>2032 MVA</t>
  </si>
  <si>
    <t>2033 MVA</t>
  </si>
  <si>
    <t>2034 MVA</t>
  </si>
  <si>
    <t>Data Centers</t>
  </si>
  <si>
    <t>Total</t>
  </si>
  <si>
    <r>
      <t xml:space="preserve">Scenario 1: </t>
    </r>
    <r>
      <rPr>
        <sz val="12"/>
        <color theme="1"/>
        <rFont val="Aptos"/>
        <family val="2"/>
      </rPr>
      <t>Energy Independence</t>
    </r>
  </si>
  <si>
    <r>
      <t>Description</t>
    </r>
    <r>
      <rPr>
        <sz val="11"/>
        <color theme="1"/>
        <rFont val="Aptos"/>
        <family val="2"/>
      </rPr>
      <t>: This low growth scenario reflects a combination of limited demand for data centers in the SoCal area and the capability for data centers to generate their own power, thereby minimizing their impact on the grid.</t>
    </r>
  </si>
  <si>
    <r>
      <t>Case For it:</t>
    </r>
    <r>
      <rPr>
        <sz val="11"/>
        <color theme="1"/>
        <rFont val="Aptos"/>
        <family val="2"/>
      </rPr>
      <t xml:space="preserve"> The trend towards energy self-sufficiency and renewable sources reduces reliance on grid power. Additionally, economic factors may limit large-scale data center investments in the region. Efficiency of existing data centers increases.</t>
    </r>
  </si>
  <si>
    <t>Impact (2036-2045):</t>
  </si>
  <si>
    <r>
      <t xml:space="preserve">Annual CAGR: </t>
    </r>
    <r>
      <rPr>
        <b/>
        <sz val="11"/>
        <color theme="1"/>
        <rFont val="Aptos"/>
        <family val="2"/>
      </rPr>
      <t>1%</t>
    </r>
  </si>
  <si>
    <r>
      <t xml:space="preserve">Total Grid-Tied Capacity Added: </t>
    </r>
    <r>
      <rPr>
        <b/>
        <sz val="11"/>
        <color theme="1"/>
        <rFont val="Aptos"/>
        <family val="2"/>
      </rPr>
      <t>50-100 MW</t>
    </r>
  </si>
  <si>
    <r>
      <t xml:space="preserve">SCE Energy Impact: </t>
    </r>
    <r>
      <rPr>
        <b/>
        <sz val="11"/>
        <color theme="1"/>
        <rFont val="Aptos"/>
        <family val="2"/>
      </rPr>
      <t>~700 GWh</t>
    </r>
  </si>
  <si>
    <r>
      <t xml:space="preserve">Scenario 2: </t>
    </r>
    <r>
      <rPr>
        <sz val="12"/>
        <color theme="1"/>
        <rFont val="Aptos"/>
        <family val="2"/>
      </rPr>
      <t>Balanced Outcome</t>
    </r>
  </si>
  <si>
    <r>
      <t>Description:</t>
    </r>
    <r>
      <rPr>
        <sz val="11"/>
        <color theme="1"/>
        <rFont val="Aptos"/>
        <family val="2"/>
      </rPr>
      <t xml:space="preserve"> This option represents a modest growth scenario, reflecting improved operational efficiencies and limited growth due to regional economic conditions.</t>
    </r>
  </si>
  <si>
    <r>
      <t>Case For It</t>
    </r>
    <r>
      <rPr>
        <sz val="11"/>
        <color theme="1"/>
        <rFont val="Aptos"/>
        <family val="2"/>
      </rPr>
      <t>: Enhanced efficiency measures and increased BTM on-site energy generation contribute to limited grid-tied load growth, coupled with the perception that SoCal may not be the most attractive market for large data center operators.</t>
    </r>
  </si>
  <si>
    <r>
      <t xml:space="preserve">Annual CAGR: </t>
    </r>
    <r>
      <rPr>
        <b/>
        <sz val="11"/>
        <color theme="1"/>
        <rFont val="Aptos"/>
        <family val="2"/>
      </rPr>
      <t>2-3%</t>
    </r>
  </si>
  <si>
    <r>
      <t xml:space="preserve">Total Grid-Tied Capacity Added: </t>
    </r>
    <r>
      <rPr>
        <b/>
        <sz val="11"/>
        <color theme="1"/>
        <rFont val="Aptos"/>
        <family val="2"/>
      </rPr>
      <t>150-300 MW</t>
    </r>
  </si>
  <si>
    <r>
      <t xml:space="preserve">SCE Energy Impact: </t>
    </r>
    <r>
      <rPr>
        <b/>
        <sz val="11"/>
        <color theme="1"/>
        <rFont val="Aptos"/>
        <family val="2"/>
      </rPr>
      <t>~2,000 GWh</t>
    </r>
  </si>
  <si>
    <r>
      <t xml:space="preserve">Scenario 3: </t>
    </r>
    <r>
      <rPr>
        <sz val="12"/>
        <color rgb="FF000000"/>
        <rFont val="Aptos"/>
        <family val="2"/>
      </rPr>
      <t xml:space="preserve">Continued Growth </t>
    </r>
  </si>
  <si>
    <r>
      <t>Description</t>
    </r>
    <r>
      <rPr>
        <sz val="11"/>
        <color theme="1"/>
        <rFont val="Aptos"/>
        <family val="2"/>
      </rPr>
      <t>: Data Center load growth continues at the rate that we are expecting in the near &amp; mid-term.</t>
    </r>
  </si>
  <si>
    <r>
      <t>Case For it:</t>
    </r>
    <r>
      <rPr>
        <sz val="11"/>
        <color theme="1"/>
        <rFont val="Aptos"/>
        <family val="2"/>
      </rPr>
      <t xml:space="preserve"> The demand for cloud services and digital infrastructure continues to rise, leading to sustained investment in data centers. Efficiency &amp; self-generation advancements are not great enough to offset the large demand increases, but have an impact. </t>
    </r>
  </si>
  <si>
    <r>
      <t xml:space="preserve">Annual CAGR: </t>
    </r>
    <r>
      <rPr>
        <b/>
        <sz val="11"/>
        <color theme="1"/>
        <rFont val="Aptos"/>
        <family val="2"/>
      </rPr>
      <t>5%</t>
    </r>
  </si>
  <si>
    <r>
      <t xml:space="preserve">Total Grid-Tied Capacity Added: </t>
    </r>
    <r>
      <rPr>
        <b/>
        <sz val="11"/>
        <color theme="1"/>
        <rFont val="Aptos"/>
        <family val="2"/>
      </rPr>
      <t>400-500 MW</t>
    </r>
    <r>
      <rPr>
        <sz val="11"/>
        <color theme="1"/>
        <rFont val="Aptos"/>
        <family val="2"/>
      </rPr>
      <t xml:space="preserve"> </t>
    </r>
  </si>
  <si>
    <r>
      <t xml:space="preserve">SCE Energy Impact: </t>
    </r>
    <r>
      <rPr>
        <b/>
        <sz val="11"/>
        <color theme="1"/>
        <rFont val="Aptos"/>
        <family val="2"/>
      </rPr>
      <t>~ 4,000 GWh</t>
    </r>
  </si>
  <si>
    <r>
      <t xml:space="preserve">Scenario 4: </t>
    </r>
    <r>
      <rPr>
        <sz val="12"/>
        <color theme="1"/>
        <rFont val="Aptos"/>
        <family val="2"/>
      </rPr>
      <t> IoT Takeover</t>
    </r>
  </si>
  <si>
    <r>
      <t>Description:</t>
    </r>
    <r>
      <rPr>
        <sz val="11"/>
        <color theme="1"/>
        <rFont val="Aptos"/>
        <family val="2"/>
      </rPr>
      <t xml:space="preserve"> The rise of energy-intensive technologies such as AI, IoT, and quantum computing drives a surge in data center demand, exceeding near-term growth projections.</t>
    </r>
  </si>
  <si>
    <r>
      <t>Case For it</t>
    </r>
    <r>
      <rPr>
        <sz val="11"/>
        <color theme="1"/>
        <rFont val="Aptos"/>
        <family val="2"/>
      </rPr>
      <t xml:space="preserve">: The rapid advancement of AI, machine learning, and emerging technologies like quantum computing and advanced analytics creates a strong need for additional data processing capabilities. Future energy-intensive technologies, such as edge computing and enhanced virtual reality, are also expected to emerge within the next 10-15 years. Efficiency improvements &amp; BTM generation may be realized, but only at a small scale. </t>
    </r>
  </si>
  <si>
    <t xml:space="preserve">Impact (2036-2045): </t>
  </si>
  <si>
    <r>
      <t xml:space="preserve">Annual CAGR: </t>
    </r>
    <r>
      <rPr>
        <b/>
        <sz val="11"/>
        <color theme="1"/>
        <rFont val="Aptos"/>
        <family val="2"/>
      </rPr>
      <t>8-10%</t>
    </r>
  </si>
  <si>
    <r>
      <t xml:space="preserve">Total Grid-Tied Capacity Added: </t>
    </r>
    <r>
      <rPr>
        <b/>
        <sz val="11"/>
        <color theme="1"/>
        <rFont val="Aptos"/>
        <family val="2"/>
      </rPr>
      <t>800+ MW</t>
    </r>
  </si>
  <si>
    <r>
      <t xml:space="preserve">SCE Energy Impact: </t>
    </r>
    <r>
      <rPr>
        <b/>
        <sz val="11"/>
        <color theme="1"/>
        <rFont val="Aptos"/>
        <family val="2"/>
      </rPr>
      <t>7,500+ GWh</t>
    </r>
  </si>
  <si>
    <t>Assumptions &amp; Calculations</t>
  </si>
  <si>
    <t>Known Distribution Projects</t>
  </si>
  <si>
    <r>
      <rPr>
        <u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Only </t>
    </r>
    <r>
      <rPr>
        <b/>
        <sz val="11"/>
        <color theme="1"/>
        <rFont val="Calibri"/>
        <family val="2"/>
        <scheme val="minor"/>
      </rPr>
      <t>Full</t>
    </r>
    <r>
      <rPr>
        <sz val="11"/>
        <color theme="1"/>
        <rFont val="Calibri"/>
        <family val="2"/>
        <scheme val="minor"/>
      </rPr>
      <t xml:space="preserve"> &amp; </t>
    </r>
    <r>
      <rPr>
        <b/>
        <sz val="11"/>
        <color theme="1"/>
        <rFont val="Calibri"/>
        <family val="2"/>
        <scheme val="minor"/>
      </rPr>
      <t>Partial</t>
    </r>
    <r>
      <rPr>
        <sz val="11"/>
        <color theme="1"/>
        <rFont val="Calibri"/>
        <family val="2"/>
        <scheme val="minor"/>
      </rPr>
      <t xml:space="preserve"> Submittal projects are used for DSP (Column C)</t>
    </r>
  </si>
  <si>
    <t>Projects Managed Through Other Processes</t>
  </si>
  <si>
    <t>Managing Group / Process</t>
  </si>
  <si>
    <t>Mid-term</t>
  </si>
  <si>
    <t>Near-term</t>
  </si>
  <si>
    <t>near-term</t>
  </si>
  <si>
    <t>mid-term</t>
  </si>
  <si>
    <t>Timeline For Forecast</t>
  </si>
  <si>
    <t>MVA</t>
  </si>
  <si>
    <t>Total Near-Term Impact:</t>
  </si>
  <si>
    <t>Results Of Survey</t>
  </si>
  <si>
    <t>Load Factor</t>
  </si>
  <si>
    <t>Source: E3, 90% based on some of the project applications…</t>
  </si>
  <si>
    <t>From Graph Tab..</t>
  </si>
  <si>
    <t>GWh Inc 2024</t>
  </si>
  <si>
    <t>MW / Year</t>
  </si>
  <si>
    <t>External Research &amp; Internal Expert Opinion (Delphi Method)</t>
  </si>
  <si>
    <t>Polled 10 internal experts and compiled their opinion on long-term growth potential</t>
  </si>
  <si>
    <t>Final Long-Term Growth Rate (%)</t>
  </si>
  <si>
    <t>Capacity Adjustment Factor</t>
  </si>
  <si>
    <t>Pre-MOS &amp; future project impact ~580 * Capacity Adjustmnet Factor (see Final Project List tab)</t>
  </si>
  <si>
    <t>Based on DSP Team PY24 projects (~50 MW) &amp; Near-term MOS projects (~250 MW * Adjustmnet Factor)</t>
  </si>
  <si>
    <t>Internal Projects (MOS) &amp; Customer Inquiries</t>
  </si>
  <si>
    <t>Project Name</t>
  </si>
  <si>
    <t>Internal Meter Data 
(from CS List)</t>
  </si>
  <si>
    <t>Near-Term Breakdown</t>
  </si>
  <si>
    <t>near &amp; mid-term</t>
  </si>
  <si>
    <t>Use 80% for near-term, 86% for long-term</t>
  </si>
  <si>
    <t>Tab</t>
  </si>
  <si>
    <t>Description</t>
  </si>
  <si>
    <t>Final Project List</t>
  </si>
  <si>
    <r>
      <rPr>
        <sz val="11"/>
        <color rgb="FFFF0000"/>
        <rFont val="Calibri"/>
        <family val="2"/>
        <scheme val="minor"/>
      </rPr>
      <t>CONFIDENTIAL</t>
    </r>
    <r>
      <rPr>
        <sz val="11"/>
        <color theme="1"/>
        <rFont val="Calibri"/>
        <family val="2"/>
        <scheme val="minor"/>
      </rPr>
      <t xml:space="preserve"> Full list of known projects used for near &amp; mid-term forecasts</t>
    </r>
  </si>
  <si>
    <t>Long-Term Growth Scenarios</t>
  </si>
  <si>
    <t>Existing Data Centers</t>
  </si>
  <si>
    <t>Assumption Calculations</t>
  </si>
  <si>
    <t>Load Factor &amp; some supporting caclculations</t>
  </si>
  <si>
    <t>Annual Impacts</t>
  </si>
  <si>
    <t>MW Additions</t>
  </si>
  <si>
    <t>MW Inc 2024</t>
  </si>
  <si>
    <r>
      <rPr>
        <u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Worked w/ CEC to understand SVP's project utilization factor (0.67)</t>
    </r>
  </si>
  <si>
    <t>Data</t>
  </si>
  <si>
    <t>Peak - MW</t>
  </si>
  <si>
    <t>Peak Date / Time</t>
  </si>
  <si>
    <t>9/4/2019, HE 14</t>
  </si>
  <si>
    <t>8/26/2020, HE 17</t>
  </si>
  <si>
    <t>8/26/2021, HE  14</t>
  </si>
  <si>
    <t>9/2/2022, HE 17</t>
  </si>
  <si>
    <t>7/31/2023, HE 15</t>
  </si>
  <si>
    <t>Summary of Forecast &amp; Methodology - revisions made since last version sent = change utilization factor to 67%, Adjsut timeing of near-term projects, adjust Load factor for near-term projects</t>
  </si>
  <si>
    <t>10 Internal Experts with familiarity to the data cetner landscape were asked to pick which scenario they saw as the most likely outcome.</t>
  </si>
  <si>
    <t>Method:</t>
  </si>
  <si>
    <t>Results:</t>
  </si>
  <si>
    <t>Growth Rate:</t>
  </si>
  <si>
    <t>We averaged the resutls and found that the concensus view was in between scenario 2 &amp; 3. This landed us at a 3.8% CAGR.</t>
  </si>
  <si>
    <t>Forecast</t>
  </si>
  <si>
    <r>
      <rPr>
        <sz val="11"/>
        <color rgb="FFFF0000"/>
        <rFont val="Calibri"/>
        <family val="2"/>
        <scheme val="minor"/>
      </rPr>
      <t>CONFIDENTIAL</t>
    </r>
    <r>
      <rPr>
        <sz val="11"/>
        <color theme="1"/>
        <rFont val="Calibri"/>
        <family val="2"/>
        <scheme val="minor"/>
      </rPr>
      <t xml:space="preserve"> Details on distribution projects ('Planning Year 2024')</t>
    </r>
  </si>
  <si>
    <t>Summary of findings &amp; data from existing data centers</t>
  </si>
  <si>
    <t>Desired Energization Year</t>
  </si>
  <si>
    <r>
      <t>Near-Term</t>
    </r>
    <r>
      <rPr>
        <b/>
        <sz val="14"/>
        <color theme="1"/>
        <rFont val="Calibri"/>
        <family val="2"/>
        <scheme val="minor"/>
      </rPr>
      <t xml:space="preserve"> (2025-2028)</t>
    </r>
  </si>
  <si>
    <r>
      <t>Mid-Term</t>
    </r>
    <r>
      <rPr>
        <b/>
        <sz val="14"/>
        <color theme="1"/>
        <rFont val="Calibri"/>
        <family val="2"/>
        <scheme val="minor"/>
      </rPr>
      <t xml:space="preserve"> (2029-2035)</t>
    </r>
  </si>
  <si>
    <t xml:space="preserve">  </t>
  </si>
  <si>
    <t>Actual Peak / Total Capacity</t>
  </si>
  <si>
    <t>PUBLIC</t>
  </si>
  <si>
    <t>Annual Impact</t>
  </si>
  <si>
    <t>Meter data shows 450 GWh or ~70 MW, assume additional 10 MW not captured yet… (Note, using 86% load factor from E3 report, lower (80%) in near-term)</t>
  </si>
  <si>
    <t>Summary of scenario selection for long-term generic growth rate (2036-2045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</si>
</sst>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u/>
      <sz val="11"/>
      <color theme="1"/>
      <name val="Aptos"/>
      <family val="2"/>
    </font>
    <font>
      <sz val="12"/>
      <color rgb="FF000000"/>
      <name val="Aptos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rgb="FFFFFF00"/>
      <name val="Calibri Light"/>
      <family val="2"/>
    </font>
    <font>
      <sz val="11"/>
      <color theme="1"/>
      <name val="Calibri"/>
      <family val="2"/>
    </font>
    <font>
      <b/>
      <sz val="16"/>
      <color rgb="FF00B050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164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0" fillId="4" borderId="3" xfId="0" applyFill="1" applyBorder="1"/>
    <xf numFmtId="43" fontId="0" fillId="4" borderId="0" xfId="0" applyNumberFormat="1" applyFill="1"/>
    <xf numFmtId="0" fontId="3" fillId="4" borderId="3" xfId="0" applyFont="1" applyFill="1" applyBorder="1"/>
    <xf numFmtId="0" fontId="0" fillId="5" borderId="0" xfId="0" applyFill="1"/>
    <xf numFmtId="43" fontId="0" fillId="5" borderId="0" xfId="0" applyNumberFormat="1" applyFill="1"/>
    <xf numFmtId="0" fontId="0" fillId="4" borderId="0" xfId="0" quotePrefix="1" applyFill="1"/>
    <xf numFmtId="0" fontId="2" fillId="3" borderId="0" xfId="0" applyFont="1" applyFill="1"/>
    <xf numFmtId="0" fontId="0" fillId="6" borderId="7" xfId="0" applyFill="1" applyBorder="1"/>
    <xf numFmtId="0" fontId="0" fillId="6" borderId="8" xfId="0" applyFill="1" applyBorder="1"/>
    <xf numFmtId="1" fontId="0" fillId="6" borderId="8" xfId="0" applyNumberFormat="1" applyFill="1" applyBorder="1"/>
    <xf numFmtId="1" fontId="0" fillId="6" borderId="9" xfId="0" applyNumberFormat="1" applyFill="1" applyBorder="1"/>
    <xf numFmtId="0" fontId="0" fillId="6" borderId="4" xfId="0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4" fillId="0" borderId="0" xfId="0" applyFont="1"/>
    <xf numFmtId="0" fontId="0" fillId="7" borderId="0" xfId="0" applyFill="1"/>
    <xf numFmtId="0" fontId="5" fillId="0" borderId="0" xfId="0" applyFont="1"/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2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4" fillId="4" borderId="3" xfId="0" applyFont="1" applyFill="1" applyBorder="1"/>
    <xf numFmtId="0" fontId="2" fillId="0" borderId="0" xfId="0" applyFont="1"/>
    <xf numFmtId="0" fontId="0" fillId="6" borderId="0" xfId="0" applyFill="1"/>
    <xf numFmtId="0" fontId="3" fillId="0" borderId="0" xfId="0" applyFont="1"/>
    <xf numFmtId="1" fontId="2" fillId="0" borderId="0" xfId="0" applyNumberFormat="1" applyFont="1"/>
    <xf numFmtId="0" fontId="5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9" fontId="0" fillId="4" borderId="0" xfId="2" applyFont="1" applyFill="1" applyAlignment="1">
      <alignment horizontal="center" vertical="center"/>
    </xf>
    <xf numFmtId="164" fontId="0" fillId="4" borderId="0" xfId="1" applyNumberFormat="1" applyFont="1" applyFill="1" applyAlignment="1">
      <alignment horizontal="center"/>
    </xf>
    <xf numFmtId="0" fontId="2" fillId="7" borderId="0" xfId="0" applyFont="1" applyFill="1"/>
    <xf numFmtId="164" fontId="0" fillId="7" borderId="0" xfId="0" applyNumberFormat="1" applyFill="1"/>
    <xf numFmtId="43" fontId="0" fillId="7" borderId="0" xfId="0" applyNumberFormat="1" applyFill="1"/>
    <xf numFmtId="0" fontId="0" fillId="4" borderId="5" xfId="0" applyFill="1" applyBorder="1"/>
    <xf numFmtId="1" fontId="0" fillId="6" borderId="10" xfId="0" applyNumberFormat="1" applyFill="1" applyBorder="1"/>
    <xf numFmtId="0" fontId="0" fillId="6" borderId="6" xfId="0" applyFill="1" applyBorder="1"/>
    <xf numFmtId="0" fontId="0" fillId="6" borderId="9" xfId="0" applyFill="1" applyBorder="1"/>
    <xf numFmtId="0" fontId="0" fillId="6" borderId="5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0" fontId="0" fillId="2" borderId="1" xfId="2" applyNumberFormat="1" applyFont="1" applyFill="1" applyBorder="1" applyAlignment="1">
      <alignment horizontal="center"/>
    </xf>
    <xf numFmtId="43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top" wrapText="1"/>
    </xf>
    <xf numFmtId="164" fontId="0" fillId="2" borderId="2" xfId="0" applyNumberForma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165" fontId="0" fillId="0" borderId="0" xfId="0" applyNumberFormat="1"/>
    <xf numFmtId="165" fontId="2" fillId="0" borderId="0" xfId="0" applyNumberFormat="1" applyFont="1"/>
    <xf numFmtId="0" fontId="0" fillId="8" borderId="0" xfId="0" applyFill="1"/>
    <xf numFmtId="0" fontId="0" fillId="9" borderId="0" xfId="0" applyFill="1"/>
    <xf numFmtId="0" fontId="0" fillId="10" borderId="0" xfId="0" applyFill="1"/>
    <xf numFmtId="164" fontId="0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4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164" fontId="0" fillId="2" borderId="1" xfId="0" applyNumberForma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6" fillId="4" borderId="0" xfId="0" applyFont="1" applyFill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" xfId="0" applyFill="1" applyBorder="1"/>
    <xf numFmtId="14" fontId="0" fillId="4" borderId="4" xfId="0" applyNumberFormat="1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11" xfId="0" applyFill="1" applyBorder="1"/>
    <xf numFmtId="0" fontId="0" fillId="4" borderId="22" xfId="0" applyFill="1" applyBorder="1"/>
    <xf numFmtId="14" fontId="0" fillId="4" borderId="3" xfId="0" applyNumberFormat="1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14" fillId="0" borderId="0" xfId="0" applyFont="1"/>
    <xf numFmtId="0" fontId="17" fillId="11" borderId="0" xfId="0" applyFont="1" applyFill="1"/>
    <xf numFmtId="166" fontId="0" fillId="4" borderId="0" xfId="2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/>
    <xf numFmtId="0" fontId="2" fillId="12" borderId="1" xfId="0" applyFont="1" applyFill="1" applyBorder="1"/>
    <xf numFmtId="0" fontId="13" fillId="6" borderId="0" xfId="0" applyFont="1" applyFill="1" applyAlignment="1">
      <alignment horizontal="left"/>
    </xf>
    <xf numFmtId="164" fontId="12" fillId="6" borderId="0" xfId="1" applyNumberFormat="1" applyFont="1" applyFill="1"/>
    <xf numFmtId="0" fontId="12" fillId="6" borderId="0" xfId="0" applyFont="1" applyFill="1"/>
    <xf numFmtId="0" fontId="13" fillId="6" borderId="0" xfId="0" applyFont="1" applyFill="1"/>
    <xf numFmtId="0" fontId="16" fillId="6" borderId="0" xfId="0" applyFont="1" applyFill="1"/>
    <xf numFmtId="0" fontId="4" fillId="6" borderId="0" xfId="0" applyFont="1" applyFill="1"/>
    <xf numFmtId="0" fontId="2" fillId="6" borderId="0" xfId="0" applyFont="1" applyFill="1"/>
    <xf numFmtId="165" fontId="2" fillId="6" borderId="0" xfId="0" applyNumberFormat="1" applyFont="1" applyFill="1"/>
    <xf numFmtId="0" fontId="2" fillId="6" borderId="12" xfId="0" applyFont="1" applyFill="1" applyBorder="1"/>
    <xf numFmtId="0" fontId="2" fillId="6" borderId="13" xfId="0" applyFont="1" applyFill="1" applyBorder="1"/>
    <xf numFmtId="0" fontId="14" fillId="11" borderId="0" xfId="0" applyFont="1" applyFill="1"/>
    <xf numFmtId="0" fontId="0" fillId="13" borderId="0" xfId="0" applyFill="1"/>
    <xf numFmtId="0" fontId="0" fillId="13" borderId="0" xfId="0" applyFill="1" applyAlignment="1">
      <alignment horizontal="right"/>
    </xf>
    <xf numFmtId="0" fontId="18" fillId="13" borderId="0" xfId="0" applyFont="1" applyFill="1" applyAlignment="1">
      <alignment vertical="center"/>
    </xf>
    <xf numFmtId="0" fontId="18" fillId="13" borderId="0" xfId="0" applyFont="1" applyFill="1" applyAlignment="1">
      <alignment horizontal="right" vertical="center"/>
    </xf>
    <xf numFmtId="3" fontId="0" fillId="13" borderId="0" xfId="0" applyNumberFormat="1" applyFill="1" applyAlignment="1">
      <alignment horizontal="right"/>
    </xf>
    <xf numFmtId="0" fontId="0" fillId="13" borderId="1" xfId="0" applyFill="1" applyBorder="1"/>
    <xf numFmtId="0" fontId="19" fillId="11" borderId="0" xfId="0" applyFont="1" applyFill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Cumulative -</a:t>
            </a:r>
            <a:r>
              <a:rPr lang="en-US"/>
              <a:t> GWh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 - GWH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3769784542713179E-2"/>
                  <c:y val="-7.280618003193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47-4D45-981A-E138BCC3CC58}"/>
                </c:ext>
              </c:extLst>
            </c:dLbl>
            <c:dLbl>
              <c:idx val="6"/>
              <c:layout>
                <c:manualLayout>
                  <c:x val="-6.847409945289773E-2"/>
                  <c:y val="-0.10466846527900171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47-4D45-981A-E138BCC3CC58}"/>
                </c:ext>
              </c:extLst>
            </c:dLbl>
            <c:dLbl>
              <c:idx val="11"/>
              <c:layout>
                <c:manualLayout>
                  <c:x val="-7.2239088554132358E-2"/>
                  <c:y val="-0.1000492063363639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47-4D45-981A-E138BCC3CC58}"/>
                </c:ext>
              </c:extLst>
            </c:dLbl>
            <c:dLbl>
              <c:idx val="21"/>
              <c:layout>
                <c:manualLayout>
                  <c:x val="-1.3631268632565276E-2"/>
                  <c:y val="-7.67476779195105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2440BF0-E805-478A-9A2A-E6AFE5436570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B47-4D45-981A-E138BCC3C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Forecast!$A$26:$A$47</c:f>
              <c:numCache>
                <c:formatCode>General</c:formatCod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numCache>
            </c:numRef>
          </c:cat>
          <c:val>
            <c:numRef>
              <c:f>Forecast!$F$26:$F$47</c:f>
              <c:numCache>
                <c:formatCode>_(* #,##0.00_);_(* \(#,##0.00\);_(* "-"??_);_(@_)</c:formatCode>
                <c:ptCount val="22"/>
                <c:pt idx="0" formatCode="_(* #,##0_);_(* \(#,##0\);_(* &quot;-&quot;??_);_(@_)">
                  <c:v>560.64</c:v>
                </c:pt>
                <c:pt idx="1">
                  <c:v>827.46802320000006</c:v>
                </c:pt>
                <c:pt idx="2">
                  <c:v>1196.9493180000002</c:v>
                </c:pt>
                <c:pt idx="3">
                  <c:v>1714.2740088000003</c:v>
                </c:pt>
                <c:pt idx="4">
                  <c:v>1983.5038488000005</c:v>
                </c:pt>
                <c:pt idx="5">
                  <c:v>2403.8894910857148</c:v>
                </c:pt>
                <c:pt idx="6">
                  <c:v>2824.2751333714291</c:v>
                </c:pt>
                <c:pt idx="7">
                  <c:v>3244.6607756571434</c:v>
                </c:pt>
                <c:pt idx="8">
                  <c:v>3665.0464179428577</c:v>
                </c:pt>
                <c:pt idx="9">
                  <c:v>4085.432060228572</c:v>
                </c:pt>
                <c:pt idx="10">
                  <c:v>4505.8177025142868</c:v>
                </c:pt>
                <c:pt idx="11">
                  <c:v>4926.2033448000011</c:v>
                </c:pt>
                <c:pt idx="12">
                  <c:v>5148.8791313012753</c:v>
                </c:pt>
                <c:pt idx="13">
                  <c:v>5371.5549178025494</c:v>
                </c:pt>
                <c:pt idx="14">
                  <c:v>5594.2307043038236</c:v>
                </c:pt>
                <c:pt idx="15">
                  <c:v>5816.9064908050977</c:v>
                </c:pt>
                <c:pt idx="16">
                  <c:v>6039.5822773063719</c:v>
                </c:pt>
                <c:pt idx="17">
                  <c:v>6262.2580638076461</c:v>
                </c:pt>
                <c:pt idx="18">
                  <c:v>6484.9338503089202</c:v>
                </c:pt>
                <c:pt idx="19">
                  <c:v>6707.6096368101944</c:v>
                </c:pt>
                <c:pt idx="20">
                  <c:v>6930.2854233114685</c:v>
                </c:pt>
                <c:pt idx="21">
                  <c:v>7152.9612098127427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47-4D45-981A-E138BCC3C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028673280"/>
        <c:axId val="408618784"/>
      </c:lineChart>
      <c:catAx>
        <c:axId val="102867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618784"/>
        <c:crosses val="autoZero"/>
        <c:auto val="1"/>
        <c:lblAlgn val="ctr"/>
        <c:lblOffset val="100"/>
        <c:noMultiLvlLbl val="0"/>
      </c:catAx>
      <c:valAx>
        <c:axId val="40861878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67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Cumulative -</a:t>
            </a:r>
            <a:r>
              <a:rPr lang="en-US"/>
              <a:t> </a:t>
            </a:r>
            <a:r>
              <a:rPr lang="en-US" b="1"/>
              <a:t>MW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Forecast!$E$25</c:f>
              <c:strCache>
                <c:ptCount val="1"/>
                <c:pt idx="0">
                  <c:v>Cumulative MW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1615064136203313E-2"/>
                  <c:y val="-6.8005682930241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E-4CD5-8F0C-A74D1CC412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FE-4CD5-8F0C-A74D1CC412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FE-4CD5-8F0C-A74D1CC412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FE-4CD5-8F0C-A74D1CC412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FE-4CD5-8F0C-A74D1CC412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FE-4CD5-8F0C-A74D1CC412AB}"/>
                </c:ext>
              </c:extLst>
            </c:dLbl>
            <c:dLbl>
              <c:idx val="6"/>
              <c:layout>
                <c:manualLayout>
                  <c:x val="-5.3000316521008596E-2"/>
                  <c:y val="-9.0572591615317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FE-4CD5-8F0C-A74D1CC412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FE-4CD5-8F0C-A74D1CC412A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FE-4CD5-8F0C-A74D1CC412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FE-4CD5-8F0C-A74D1CC412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FE-4CD5-8F0C-A74D1CC412AB}"/>
                </c:ext>
              </c:extLst>
            </c:dLbl>
            <c:dLbl>
              <c:idx val="11"/>
              <c:layout>
                <c:manualLayout>
                  <c:x val="-7.0339569472265495E-2"/>
                  <c:y val="-8.5926060890772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FE-4CD5-8F0C-A74D1CC412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FE-4CD5-8F0C-A74D1CC412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FE-4CD5-8F0C-A74D1CC412A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FE-4CD5-8F0C-A74D1CC412A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FE-4CD5-8F0C-A74D1CC412A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FE-4CD5-8F0C-A74D1CC412A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FE-4CD5-8F0C-A74D1CC412A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FE-4CD5-8F0C-A74D1CC412A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0FE-4CD5-8F0C-A74D1CC412A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FE-4CD5-8F0C-A74D1CC412AB}"/>
                </c:ext>
              </c:extLst>
            </c:dLbl>
            <c:dLbl>
              <c:idx val="21"/>
              <c:layout>
                <c:manualLayout>
                  <c:x val="-2.1493614211105284E-2"/>
                  <c:y val="-6.7983000463919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FE-4CD5-8F0C-A74D1CC412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Forecast!$A$26:$A$47</c:f>
              <c:numCache>
                <c:formatCode>General</c:formatCod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numCache>
            </c:numRef>
          </c:cat>
          <c:val>
            <c:numRef>
              <c:f>Forecast!$E$26:$E$47</c:f>
              <c:numCache>
                <c:formatCode>_(* #,##0.00_);_(* \(#,##0.00\);_(* "-"??_);_(@_)</c:formatCode>
                <c:ptCount val="22"/>
                <c:pt idx="0" formatCode="_(* #,##0_);_(* \(#,##0\);_(* &quot;-&quot;??_);_(@_)">
                  <c:v>80</c:v>
                </c:pt>
                <c:pt idx="1">
                  <c:v>118.074775</c:v>
                </c:pt>
                <c:pt idx="2">
                  <c:v>170.7975625</c:v>
                </c:pt>
                <c:pt idx="3">
                  <c:v>244.616725</c:v>
                </c:pt>
                <c:pt idx="4">
                  <c:v>283.03422499999999</c:v>
                </c:pt>
                <c:pt idx="5">
                  <c:v>338.83565357142857</c:v>
                </c:pt>
                <c:pt idx="6">
                  <c:v>394.63708214285714</c:v>
                </c:pt>
                <c:pt idx="7">
                  <c:v>450.43851071428571</c:v>
                </c:pt>
                <c:pt idx="8">
                  <c:v>506.23993928571429</c:v>
                </c:pt>
                <c:pt idx="9">
                  <c:v>562.04136785714286</c:v>
                </c:pt>
                <c:pt idx="10">
                  <c:v>617.84279642857143</c:v>
                </c:pt>
                <c:pt idx="11">
                  <c:v>673.64422500000001</c:v>
                </c:pt>
                <c:pt idx="12">
                  <c:v>703.20191143162288</c:v>
                </c:pt>
                <c:pt idx="13">
                  <c:v>732.75959786324574</c:v>
                </c:pt>
                <c:pt idx="14">
                  <c:v>762.31728429486861</c:v>
                </c:pt>
                <c:pt idx="15">
                  <c:v>791.87497072649148</c:v>
                </c:pt>
                <c:pt idx="16">
                  <c:v>821.43265715811435</c:v>
                </c:pt>
                <c:pt idx="17">
                  <c:v>850.99034358973722</c:v>
                </c:pt>
                <c:pt idx="18">
                  <c:v>880.54803002136009</c:v>
                </c:pt>
                <c:pt idx="19">
                  <c:v>910.10571645298296</c:v>
                </c:pt>
                <c:pt idx="20">
                  <c:v>939.66340288460583</c:v>
                </c:pt>
                <c:pt idx="21">
                  <c:v>969.2210893162287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0FE-4CD5-8F0C-A74D1CC41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924160"/>
        <c:axId val="923921864"/>
      </c:lineChart>
      <c:catAx>
        <c:axId val="92392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921864"/>
        <c:crosses val="autoZero"/>
        <c:auto val="1"/>
        <c:lblAlgn val="ctr"/>
        <c:lblOffset val="100"/>
        <c:noMultiLvlLbl val="0"/>
      </c:catAx>
      <c:valAx>
        <c:axId val="9239218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607785</xdr:colOff>
      <xdr:row>5</xdr:row>
      <xdr:rowOff>154214</xdr:rowOff>
    </xdr:from>
    <xdr:to>
      <xdr:col>7</xdr:col>
      <xdr:colOff>1968500</xdr:colOff>
      <xdr:row>20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938DC1-8934-4B7A-91A7-A6B6E61A7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367846</xdr:colOff>
      <xdr:row>5</xdr:row>
      <xdr:rowOff>160563</xdr:rowOff>
    </xdr:from>
    <xdr:to>
      <xdr:col>3</xdr:col>
      <xdr:colOff>680356</xdr:colOff>
      <xdr:row>20</xdr:row>
      <xdr:rowOff>172356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F1EAF3-5D13-499E-B64E-29D9395B4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1216619</xdr:colOff>
      <xdr:row>50</xdr:row>
      <xdr:rowOff>149329</xdr:rowOff>
    </xdr:from>
    <xdr:to>
      <xdr:col>6</xdr:col>
      <xdr:colOff>878084</xdr:colOff>
      <xdr:row>65</xdr:row>
      <xdr:rowOff>150464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F5F2D3-7185-4477-B8AE-E30850F4DF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14" r="2361" b="2424"/>
        <a:stretch/>
      </xdr:blipFill>
      <xdr:spPr>
        <a:xfrm>
          <a:off x="1216619" y="11093554"/>
          <a:ext cx="6157515" cy="271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95250</xdr:rowOff>
    </xdr:from>
    <xdr:to>
      <xdr:col>11</xdr:col>
      <xdr:colOff>323850</xdr:colOff>
      <xdr:row>15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76275"/>
          <a:ext cx="3209925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20</xdr:row>
      <xdr:rowOff>123825</xdr:rowOff>
    </xdr:from>
    <xdr:to>
      <xdr:col>11</xdr:col>
      <xdr:colOff>381000</xdr:colOff>
      <xdr:row>32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3952875"/>
          <a:ext cx="3209925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36</xdr:row>
      <xdr:rowOff>85725</xdr:rowOff>
    </xdr:from>
    <xdr:to>
      <xdr:col>11</xdr:col>
      <xdr:colOff>390525</xdr:colOff>
      <xdr:row>47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972300"/>
          <a:ext cx="3209925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52</xdr:row>
      <xdr:rowOff>9525</xdr:rowOff>
    </xdr:from>
    <xdr:to>
      <xdr:col>11</xdr:col>
      <xdr:colOff>257175</xdr:colOff>
      <xdr:row>63</xdr:row>
      <xdr:rowOff>104775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9953625"/>
          <a:ext cx="3190875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381013</xdr:colOff>
      <xdr:row>19</xdr:row>
      <xdr:rowOff>141508</xdr:rowOff>
    </xdr:from>
    <xdr:to>
      <xdr:col>6</xdr:col>
      <xdr:colOff>351718</xdr:colOff>
      <xdr:row>29</xdr:row>
      <xdr:rowOff>103729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Grp="1"/>
        </xdr:cNvSpPr>
      </xdr:nvSpPr>
      <xdr:spPr>
        <a:xfrm>
          <a:off x="381013" y="3761008"/>
          <a:ext cx="3628305" cy="1867221"/>
        </a:xfrm>
        <a:prstGeom prst="rect">
          <a:avLst/>
        </a:prstGeom>
      </xdr:spPr>
      <xdr:txBody>
        <a:bodyPr vert="horz" wrap="square" lIns="91440" tIns="45720" rIns="91440" bIns="45720" rtlCol="0">
          <a:normAutofit fontScale="92500" lnSpcReduction="10000"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6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4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2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2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Collected data from ~35 existing data centers in SCE territory</a:t>
          </a:r>
        </a:p>
        <a:p>
          <a:r>
            <a:rPr lang="en-US" sz="1600"/>
            <a:t>Existing customer usage has steadily increased since 2020</a:t>
          </a:r>
        </a:p>
        <a:p>
          <a:r>
            <a:rPr lang="en-US" sz="1600"/>
            <a:t>Total usage from data centers is not huge, mostly smaller on-stie &amp; co-location centers</a:t>
          </a:r>
        </a:p>
      </xdr:txBody>
    </xdr:sp>
    <xdr:clientData/>
  </xdr:twoCellAnchor>
  <xdr:twoCellAnchor>
    <xdr:from>
      <xdr:col>8</xdr:col>
      <xdr:colOff>95982</xdr:colOff>
      <xdr:row>19</xdr:row>
      <xdr:rowOff>55783</xdr:rowOff>
    </xdr:from>
    <xdr:to>
      <xdr:col>14</xdr:col>
      <xdr:colOff>66687</xdr:colOff>
      <xdr:row>29</xdr:row>
      <xdr:rowOff>109212</xdr:rowOff>
    </xdr:to>
    <xdr:sp macro="" textlink="">
      <xdr:nvSpPr>
        <xdr:cNvPr id="3" name="Content Placeholder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Grp="1"/>
        </xdr:cNvSpPr>
      </xdr:nvSpPr>
      <xdr:spPr>
        <a:xfrm>
          <a:off x="4972782" y="3675283"/>
          <a:ext cx="3628305" cy="1958429"/>
        </a:xfrm>
        <a:prstGeom prst="rect">
          <a:avLst/>
        </a:prstGeom>
      </xdr:spPr>
      <xdr:txBody>
        <a:bodyPr vert="horz" wrap="square" lIns="91440" tIns="45720" rIns="91440" bIns="45720" rtlCol="0">
          <a:normAutofit fontScale="92500" lnSpcReduction="10000"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6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4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2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2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Usage is very in-line with typical industrial load shape</a:t>
          </a:r>
        </a:p>
        <a:p>
          <a:r>
            <a:rPr lang="en-US" sz="1600"/>
            <a:t>Mostly flat, with slight increase during business hours</a:t>
          </a:r>
        </a:p>
        <a:p>
          <a:r>
            <a:rPr lang="en-US" sz="1600"/>
            <a:t>Peaks at HE 13-16 (1-4pm), likely due to cooling needs</a:t>
          </a:r>
        </a:p>
        <a:p>
          <a:r>
            <a:rPr lang="en-US" sz="1600"/>
            <a:t>Load Factors - 50-90% depending on facility</a:t>
          </a:r>
        </a:p>
      </xdr:txBody>
    </xdr:sp>
    <xdr:clientData/>
  </xdr:twoCellAnchor>
  <xdr:twoCellAnchor editAs="oneCell">
    <xdr:from>
      <xdr:col>0</xdr:col>
      <xdr:colOff>142874</xdr:colOff>
      <xdr:row>3</xdr:row>
      <xdr:rowOff>95250</xdr:rowOff>
    </xdr:from>
    <xdr:to>
      <xdr:col>7</xdr:col>
      <xdr:colOff>63500</xdr:colOff>
      <xdr:row>17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" y="904875"/>
          <a:ext cx="4581526" cy="2457450"/>
        </a:xfrm>
        <a:prstGeom prst="rect">
          <a:avLst/>
        </a:prstGeom>
      </xdr:spPr>
    </xdr:pic>
    <xdr:clientData/>
  </xdr:twoCellAnchor>
  <xdr:twoCellAnchor editAs="oneCell">
    <xdr:from>
      <xdr:col>7</xdr:col>
      <xdr:colOff>380752</xdr:colOff>
      <xdr:row>3</xdr:row>
      <xdr:rowOff>104774</xdr:rowOff>
    </xdr:from>
    <xdr:to>
      <xdr:col>14</xdr:col>
      <xdr:colOff>571499</xdr:colOff>
      <xdr:row>17</xdr:row>
      <xdr:rowOff>18199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477" y="914399"/>
          <a:ext cx="4657972" cy="24470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180976</xdr:rowOff>
    </xdr:from>
    <xdr:to>
      <xdr:col>13</xdr:col>
      <xdr:colOff>419100</xdr:colOff>
      <xdr:row>2</xdr:row>
      <xdr:rowOff>104776</xdr:rowOff>
    </xdr:to>
    <xdr:sp macro="" textlink="">
      <xdr:nvSpPr>
        <xdr:cNvPr id="6" name="Titl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Grp="1"/>
        </xdr:cNvSpPr>
      </xdr:nvSpPr>
      <xdr:spPr>
        <a:xfrm>
          <a:off x="19050" y="180976"/>
          <a:ext cx="8324850" cy="30480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2800" kern="1200">
              <a:solidFill>
                <a:schemeClr val="tx1"/>
              </a:solidFill>
              <a:latin typeface="Segoe UI Light" panose="020B0502040204020203" pitchFamily="34" charset="0"/>
              <a:ea typeface="+mj-ea"/>
              <a:cs typeface="+mj-cs"/>
            </a:defRPr>
          </a:lvl1pPr>
        </a:lstStyle>
        <a:p>
          <a:r>
            <a:rPr lang="en-US" sz="2000" b="1">
              <a:latin typeface="Segoe UI Light"/>
              <a:cs typeface="Segoe UI Light"/>
            </a:rPr>
            <a:t>Summary of SCE's Existing Data Center Customers</a:t>
          </a:r>
          <a:endParaRPr lang="en-US" sz="2000" b="1">
            <a:cs typeface="Segoe UI Light"/>
          </a:endParaRPr>
        </a:p>
      </xdr:txBody>
    </xdr:sp>
    <xdr:clientData/>
  </xdr:twoCellAnchor>
  <xdr:twoCellAnchor editAs="oneCell">
    <xdr:from>
      <xdr:col>15</xdr:col>
      <xdr:colOff>361950</xdr:colOff>
      <xdr:row>3</xdr:row>
      <xdr:rowOff>95251</xdr:rowOff>
    </xdr:from>
    <xdr:to>
      <xdr:col>22</xdr:col>
      <xdr:colOff>393166</xdr:colOff>
      <xdr:row>17</xdr:row>
      <xdr:rowOff>8057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666751"/>
          <a:ext cx="4292066" cy="2579806"/>
        </a:xfrm>
        <a:prstGeom prst="rect">
          <a:avLst/>
        </a:prstGeom>
      </xdr:spPr>
    </xdr:pic>
    <xdr:clientData/>
  </xdr:twoCellAnchor>
  <xdr:twoCellAnchor>
    <xdr:from>
      <xdr:col>16</xdr:col>
      <xdr:colOff>28576</xdr:colOff>
      <xdr:row>19</xdr:row>
      <xdr:rowOff>19050</xdr:rowOff>
    </xdr:from>
    <xdr:to>
      <xdr:col>22</xdr:col>
      <xdr:colOff>466726</xdr:colOff>
      <xdr:row>29</xdr:row>
      <xdr:rowOff>19050</xdr:rowOff>
    </xdr:to>
    <xdr:sp macro="" textlink="">
      <xdr:nvSpPr>
        <xdr:cNvPr id="8" name="Content Placeholder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Grp="1"/>
        </xdr:cNvSpPr>
      </xdr:nvSpPr>
      <xdr:spPr>
        <a:xfrm>
          <a:off x="9782176" y="3638550"/>
          <a:ext cx="4095750" cy="1905000"/>
        </a:xfrm>
        <a:prstGeom prst="rect">
          <a:avLst/>
        </a:prstGeom>
      </xdr:spPr>
      <xdr:txBody>
        <a:bodyPr vert="horz" wrap="square" lIns="91440" tIns="45720" rIns="91440" bIns="45720" rtlCol="0">
          <a:normAutofit fontScale="92500"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6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4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2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2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Confirms that most of the accounts are small-scale data centers (&lt;10 MW) </a:t>
          </a:r>
        </a:p>
        <a:p>
          <a:r>
            <a:rPr lang="en-US" sz="1600"/>
            <a:t>Many are on-site at businesses, some co-location centers as well</a:t>
          </a:r>
        </a:p>
        <a:p>
          <a:r>
            <a:rPr lang="en-US" sz="1600"/>
            <a:t>No hyperscalers in our service territory yet</a:t>
          </a:r>
        </a:p>
        <a:p>
          <a:r>
            <a:rPr lang="en-US" sz="1600"/>
            <a:t>The magnitude of requests coming in are much higher than this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36BE-DE97-40BD-B728-F1E6A3550786}">
  <dimension ref="B2:C8"/>
  <sheetViews>
    <sheetView tabSelected="1" workbookViewId="0">
      <selection activeCell="G13" sqref="G13"/>
    </sheetView>
  </sheetViews>
  <sheetFormatPr defaultRowHeight="14.5" x14ac:dyDescent="0.35"/>
  <cols>
    <col min="2" max="2" width="28.1796875" customWidth="1"/>
  </cols>
  <sheetData>
    <row r="2" spans="2:3" x14ac:dyDescent="0.35">
      <c r="B2" s="22" t="s">
        <v>116</v>
      </c>
      <c r="C2" s="22" t="s">
        <v>117</v>
      </c>
    </row>
    <row r="3" spans="2:3" x14ac:dyDescent="0.35">
      <c r="B3" s="59" t="s">
        <v>142</v>
      </c>
      <c r="C3" t="s">
        <v>136</v>
      </c>
    </row>
    <row r="4" spans="2:3" x14ac:dyDescent="0.35">
      <c r="B4" s="32" t="s">
        <v>118</v>
      </c>
      <c r="C4" t="s">
        <v>119</v>
      </c>
    </row>
    <row r="5" spans="2:3" x14ac:dyDescent="0.35">
      <c r="B5" s="60" t="s">
        <v>120</v>
      </c>
      <c r="C5" t="s">
        <v>153</v>
      </c>
    </row>
    <row r="6" spans="2:3" x14ac:dyDescent="0.35">
      <c r="B6" s="61" t="s">
        <v>121</v>
      </c>
      <c r="C6" t="s">
        <v>144</v>
      </c>
    </row>
    <row r="7" spans="2:3" x14ac:dyDescent="0.35">
      <c r="B7" s="5" t="s">
        <v>122</v>
      </c>
      <c r="C7" t="s">
        <v>123</v>
      </c>
    </row>
    <row r="8" spans="2:3" x14ac:dyDescent="0.35">
      <c r="B8" s="23" t="s">
        <v>26</v>
      </c>
      <c r="C8" t="s">
        <v>143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D22D-B9FE-4028-BF7D-C4E661EF4EF0}">
  <sheetPr>
    <tabColor theme="4" tint="0.79998168889431442"/>
  </sheetPr>
  <dimension ref="A1:I47"/>
  <sheetViews>
    <sheetView workbookViewId="0">
      <selection activeCell="I22" sqref="I22"/>
    </sheetView>
  </sheetViews>
  <sheetFormatPr defaultRowHeight="14.5" x14ac:dyDescent="0.35"/>
  <cols>
    <col min="1" max="1" width="28.54296875" customWidth="1"/>
    <col min="2" max="2" width="17.453125" customWidth="1"/>
    <col min="3" max="3" width="12.453125" customWidth="1"/>
    <col min="4" max="4" width="11.7265625" customWidth="1"/>
    <col min="5" max="5" width="10.453125" customWidth="1"/>
    <col min="6" max="6" width="12.453125" customWidth="1"/>
    <col min="7" max="7" width="24.453125" customWidth="1"/>
    <col min="8" max="8" width="33.26953125" customWidth="1"/>
    <col min="9" max="9" width="10.26953125" customWidth="1"/>
    <col min="10" max="10" width="9.1796875" customWidth="1"/>
  </cols>
  <sheetData>
    <row r="1" spans="1:9" x14ac:dyDescent="0.35">
      <c r="A1" s="1" t="s">
        <v>12</v>
      </c>
      <c r="B1" s="1" t="s">
        <v>8</v>
      </c>
      <c r="C1" s="1" t="s">
        <v>4</v>
      </c>
      <c r="D1" s="1" t="s">
        <v>5</v>
      </c>
      <c r="E1" s="1" t="s">
        <v>14</v>
      </c>
      <c r="F1" s="1" t="s">
        <v>15</v>
      </c>
      <c r="G1" s="1" t="s">
        <v>6</v>
      </c>
      <c r="H1" s="1" t="s">
        <v>7</v>
      </c>
      <c r="I1" s="1" t="s">
        <v>103</v>
      </c>
    </row>
    <row r="2" spans="1:9" ht="72.5" x14ac:dyDescent="0.35">
      <c r="A2" s="51" t="s">
        <v>0</v>
      </c>
      <c r="B2" s="51">
        <v>2024</v>
      </c>
      <c r="C2" s="62">
        <v>80</v>
      </c>
      <c r="D2" s="51"/>
      <c r="E2" s="53">
        <f>C2*8760/1000*0.8</f>
        <v>560.64</v>
      </c>
      <c r="F2" s="53">
        <f>E2</f>
        <v>560.64</v>
      </c>
      <c r="G2" s="63" t="s">
        <v>112</v>
      </c>
      <c r="H2" s="54" t="s">
        <v>152</v>
      </c>
      <c r="I2" s="54"/>
    </row>
    <row r="3" spans="1:9" ht="46" customHeight="1" x14ac:dyDescent="0.35">
      <c r="A3" s="49" t="s">
        <v>1</v>
      </c>
      <c r="B3" s="51" t="s">
        <v>9</v>
      </c>
      <c r="C3" s="50">
        <f>'Final Project List'!D38</f>
        <v>203.03422499999999</v>
      </c>
      <c r="D3" s="49"/>
      <c r="E3" s="53">
        <f>C3*8760/1000*0.8</f>
        <v>1422.8638488000001</v>
      </c>
      <c r="F3" s="53">
        <f>F2+E3</f>
        <v>1983.5038488</v>
      </c>
      <c r="G3" s="56" t="s">
        <v>24</v>
      </c>
      <c r="H3" s="54" t="s">
        <v>109</v>
      </c>
      <c r="I3" s="55">
        <f>C3/4</f>
        <v>50.758556249999998</v>
      </c>
    </row>
    <row r="4" spans="1:9" ht="46" customHeight="1" x14ac:dyDescent="0.35">
      <c r="A4" s="49" t="s">
        <v>2</v>
      </c>
      <c r="B4" s="51" t="s">
        <v>13</v>
      </c>
      <c r="C4" s="50">
        <f>'Final Project List'!D39</f>
        <v>390.61</v>
      </c>
      <c r="D4" s="49"/>
      <c r="E4" s="53">
        <f>C4*8760/1000*0.86</f>
        <v>2942.6994960000002</v>
      </c>
      <c r="F4" s="53">
        <f>F3+E4</f>
        <v>4926.2033448000002</v>
      </c>
      <c r="G4" s="56" t="s">
        <v>110</v>
      </c>
      <c r="H4" s="54" t="s">
        <v>108</v>
      </c>
      <c r="I4" s="55">
        <f>C4/7</f>
        <v>55.801428571428573</v>
      </c>
    </row>
    <row r="5" spans="1:9" ht="46" customHeight="1" x14ac:dyDescent="0.35">
      <c r="A5" s="49" t="s">
        <v>3</v>
      </c>
      <c r="B5" s="49" t="s">
        <v>20</v>
      </c>
      <c r="C5" s="50">
        <f>'Assumption Calculations'!B13</f>
        <v>295.57686431622921</v>
      </c>
      <c r="D5" s="52">
        <v>3.7999999999999999E-2</v>
      </c>
      <c r="E5" s="64">
        <f>'Assumption Calculations'!B12</f>
        <v>2226.7578650127443</v>
      </c>
      <c r="F5" s="64">
        <f>F4+E5</f>
        <v>7152.9612098127445</v>
      </c>
      <c r="G5" s="56" t="s">
        <v>104</v>
      </c>
      <c r="H5" s="65" t="s">
        <v>105</v>
      </c>
      <c r="I5" s="66">
        <f>C5/10</f>
        <v>29.557686431622919</v>
      </c>
    </row>
    <row r="6" spans="1:9" x14ac:dyDescent="0.35">
      <c r="A6" s="5"/>
      <c r="B6" s="5"/>
      <c r="C6" s="5"/>
      <c r="D6" s="5"/>
      <c r="E6" s="5"/>
      <c r="F6" s="5"/>
      <c r="G6" s="5"/>
      <c r="H6" s="5"/>
    </row>
    <row r="7" spans="1:9" x14ac:dyDescent="0.35">
      <c r="A7" s="5"/>
      <c r="B7" s="5"/>
      <c r="C7" s="5"/>
      <c r="D7" s="5"/>
      <c r="E7" s="5"/>
      <c r="F7" s="5"/>
      <c r="G7" s="5"/>
      <c r="H7" s="5"/>
    </row>
    <row r="8" spans="1:9" x14ac:dyDescent="0.35">
      <c r="A8" s="5"/>
      <c r="B8" s="5"/>
      <c r="C8" s="5"/>
      <c r="D8" s="5"/>
      <c r="E8" s="5"/>
      <c r="F8" s="5"/>
      <c r="G8" s="5"/>
      <c r="H8" s="5"/>
    </row>
    <row r="9" spans="1:9" x14ac:dyDescent="0.35">
      <c r="A9" s="5"/>
      <c r="B9" s="5"/>
      <c r="C9" s="5"/>
      <c r="D9" s="5"/>
      <c r="E9" s="5"/>
      <c r="F9" s="5"/>
      <c r="G9" s="5"/>
      <c r="H9" s="5"/>
    </row>
    <row r="10" spans="1:9" x14ac:dyDescent="0.35">
      <c r="A10" s="5"/>
      <c r="B10" s="5"/>
      <c r="C10" s="5"/>
      <c r="D10" s="5"/>
      <c r="E10" s="5"/>
      <c r="F10" s="5"/>
      <c r="G10" s="5"/>
      <c r="H10" s="5"/>
    </row>
    <row r="11" spans="1:9" x14ac:dyDescent="0.35">
      <c r="A11" s="5"/>
      <c r="B11" s="5"/>
      <c r="C11" s="5"/>
      <c r="D11" s="5"/>
      <c r="E11" s="5"/>
      <c r="F11" s="5"/>
      <c r="G11" s="5"/>
      <c r="H11" s="5"/>
    </row>
    <row r="12" spans="1:9" x14ac:dyDescent="0.35">
      <c r="A12" s="5"/>
      <c r="B12" s="5"/>
      <c r="C12" s="5"/>
      <c r="D12" s="5"/>
      <c r="E12" s="5"/>
      <c r="F12" s="5"/>
      <c r="G12" s="5"/>
      <c r="H12" s="5"/>
    </row>
    <row r="13" spans="1:9" x14ac:dyDescent="0.35">
      <c r="A13" s="5"/>
      <c r="B13" s="5"/>
      <c r="C13" s="5"/>
      <c r="D13" s="5"/>
      <c r="E13" s="5"/>
      <c r="F13" s="5"/>
      <c r="G13" s="5"/>
      <c r="H13" s="5"/>
    </row>
    <row r="14" spans="1:9" x14ac:dyDescent="0.35">
      <c r="A14" s="5"/>
      <c r="B14" s="5"/>
      <c r="C14" s="5"/>
      <c r="D14" s="5"/>
      <c r="E14" s="5"/>
      <c r="F14" s="5"/>
      <c r="G14" s="5"/>
      <c r="H14" s="5"/>
    </row>
    <row r="15" spans="1:9" x14ac:dyDescent="0.35">
      <c r="A15" s="5"/>
      <c r="B15" s="5"/>
      <c r="C15" s="5"/>
      <c r="D15" s="5"/>
      <c r="E15" s="5"/>
      <c r="F15" s="5"/>
      <c r="G15" s="5"/>
      <c r="H15" s="5"/>
    </row>
    <row r="16" spans="1:9" x14ac:dyDescent="0.35">
      <c r="A16" s="5"/>
      <c r="B16" s="5"/>
      <c r="C16" s="5"/>
      <c r="D16" s="5"/>
      <c r="E16" s="5"/>
      <c r="F16" s="5"/>
      <c r="G16" s="5"/>
      <c r="H16" s="5"/>
    </row>
    <row r="17" spans="1:8" x14ac:dyDescent="0.35">
      <c r="A17" s="5"/>
      <c r="B17" s="5"/>
      <c r="C17" s="5"/>
      <c r="D17" s="5"/>
      <c r="E17" s="5"/>
      <c r="F17" s="5"/>
      <c r="G17" s="5"/>
      <c r="H17" s="5"/>
    </row>
    <row r="18" spans="1:8" x14ac:dyDescent="0.35">
      <c r="A18" s="5"/>
      <c r="B18" s="5"/>
      <c r="C18" s="5"/>
      <c r="D18" s="5"/>
      <c r="E18" s="5"/>
      <c r="F18" s="5"/>
      <c r="G18" s="5"/>
      <c r="H18" s="5"/>
    </row>
    <row r="19" spans="1:8" x14ac:dyDescent="0.35">
      <c r="A19" s="5"/>
      <c r="B19" s="5"/>
      <c r="C19" s="5"/>
      <c r="D19" s="5"/>
      <c r="E19" s="5"/>
      <c r="F19" s="5"/>
      <c r="G19" s="5"/>
      <c r="H19" s="5"/>
    </row>
    <row r="20" spans="1:8" x14ac:dyDescent="0.35">
      <c r="A20" s="5"/>
      <c r="B20" s="5"/>
      <c r="C20" s="5"/>
      <c r="D20" s="5"/>
      <c r="E20" s="5"/>
      <c r="F20" s="5"/>
      <c r="G20" s="5"/>
      <c r="H20" s="5"/>
    </row>
    <row r="21" spans="1:8" x14ac:dyDescent="0.35">
      <c r="A21" s="5"/>
      <c r="B21" s="5"/>
      <c r="C21" s="5"/>
      <c r="D21" s="5"/>
      <c r="E21" s="5"/>
      <c r="F21" s="5"/>
      <c r="G21" s="5"/>
      <c r="H21" s="5"/>
    </row>
    <row r="22" spans="1:8" x14ac:dyDescent="0.35">
      <c r="A22" s="5"/>
      <c r="B22" s="5"/>
      <c r="C22" s="5"/>
      <c r="D22" s="5"/>
      <c r="E22" s="5"/>
      <c r="F22" s="5"/>
      <c r="G22" s="5"/>
      <c r="H22" s="5"/>
    </row>
    <row r="24" spans="1:8" x14ac:dyDescent="0.35">
      <c r="A24" s="111" t="s">
        <v>124</v>
      </c>
      <c r="B24" s="111"/>
    </row>
    <row r="25" spans="1:8" x14ac:dyDescent="0.35">
      <c r="A25" t="s">
        <v>10</v>
      </c>
      <c r="B25" t="s">
        <v>125</v>
      </c>
      <c r="C25" t="s">
        <v>17</v>
      </c>
      <c r="D25" s="40" t="s">
        <v>126</v>
      </c>
      <c r="E25" t="s">
        <v>11</v>
      </c>
      <c r="F25" t="s">
        <v>16</v>
      </c>
      <c r="G25" s="40" t="s">
        <v>102</v>
      </c>
    </row>
    <row r="26" spans="1:8" x14ac:dyDescent="0.35">
      <c r="A26">
        <v>2024</v>
      </c>
      <c r="B26" s="4">
        <f>C2</f>
        <v>80</v>
      </c>
      <c r="C26" s="4">
        <f>F2</f>
        <v>560.64</v>
      </c>
      <c r="D26" s="23"/>
      <c r="E26" s="2">
        <f>B26</f>
        <v>80</v>
      </c>
      <c r="F26" s="2">
        <f>C26</f>
        <v>560.64</v>
      </c>
      <c r="G26" s="41">
        <v>0</v>
      </c>
    </row>
    <row r="27" spans="1:8" x14ac:dyDescent="0.35">
      <c r="A27">
        <v>2025</v>
      </c>
      <c r="B27" s="3">
        <f>'Final Project List'!D44</f>
        <v>38.074775000000002</v>
      </c>
      <c r="C27" s="3">
        <f>$E$3*(B27/SUM($B$27:$B$30))</f>
        <v>266.82802320000008</v>
      </c>
      <c r="D27" s="42">
        <f>B27</f>
        <v>38.074775000000002</v>
      </c>
      <c r="E27" s="3">
        <f>E26+B27</f>
        <v>118.074775</v>
      </c>
      <c r="F27" s="3">
        <f>F26+C27</f>
        <v>827.46802320000006</v>
      </c>
      <c r="G27" s="42">
        <f t="shared" ref="G27:G47" si="0">F27-$F$26</f>
        <v>266.82802320000008</v>
      </c>
    </row>
    <row r="28" spans="1:8" x14ac:dyDescent="0.35">
      <c r="A28">
        <f>A27+1</f>
        <v>2026</v>
      </c>
      <c r="B28" s="3">
        <f>'Final Project List'!D45</f>
        <v>52.722787500000003</v>
      </c>
      <c r="C28" s="3">
        <f>$E$3*(B28/SUM($B$27:$B$30))</f>
        <v>369.48129480000006</v>
      </c>
      <c r="D28" s="42">
        <f t="shared" ref="D28:D47" si="1">D27+B28</f>
        <v>90.797562499999998</v>
      </c>
      <c r="E28" s="3">
        <f t="shared" ref="E28:F43" si="2">E27+B28</f>
        <v>170.7975625</v>
      </c>
      <c r="F28" s="3">
        <f t="shared" si="2"/>
        <v>1196.9493180000002</v>
      </c>
      <c r="G28" s="42">
        <f t="shared" si="0"/>
        <v>636.30931800000019</v>
      </c>
    </row>
    <row r="29" spans="1:8" x14ac:dyDescent="0.35">
      <c r="A29">
        <f t="shared" ref="A29:A47" si="3">A28+1</f>
        <v>2027</v>
      </c>
      <c r="B29" s="3">
        <f>'Final Project List'!D46</f>
        <v>73.819162500000004</v>
      </c>
      <c r="C29" s="3">
        <f>$E$3*(B29/SUM($B$27:$B$30))</f>
        <v>517.3246908000001</v>
      </c>
      <c r="D29" s="42">
        <f t="shared" si="1"/>
        <v>164.616725</v>
      </c>
      <c r="E29" s="3">
        <f t="shared" si="2"/>
        <v>244.616725</v>
      </c>
      <c r="F29" s="3">
        <f t="shared" si="2"/>
        <v>1714.2740088000003</v>
      </c>
      <c r="G29" s="42">
        <f t="shared" si="0"/>
        <v>1153.6340088000002</v>
      </c>
    </row>
    <row r="30" spans="1:8" x14ac:dyDescent="0.35">
      <c r="A30">
        <f t="shared" si="3"/>
        <v>2028</v>
      </c>
      <c r="B30" s="3">
        <f>'Final Project List'!D47</f>
        <v>38.417500000000004</v>
      </c>
      <c r="C30" s="3">
        <f>$E$3*(B30/SUM($B$27:$B$30))</f>
        <v>269.22984000000008</v>
      </c>
      <c r="D30" s="42">
        <f t="shared" si="1"/>
        <v>203.03422499999999</v>
      </c>
      <c r="E30" s="3">
        <f t="shared" si="2"/>
        <v>283.03422499999999</v>
      </c>
      <c r="F30" s="3">
        <f t="shared" si="2"/>
        <v>1983.5038488000005</v>
      </c>
      <c r="G30" s="42">
        <f t="shared" si="0"/>
        <v>1422.8638488000006</v>
      </c>
    </row>
    <row r="31" spans="1:8" x14ac:dyDescent="0.35">
      <c r="A31">
        <f t="shared" si="3"/>
        <v>2029</v>
      </c>
      <c r="B31" s="3">
        <f>$C$4/7</f>
        <v>55.801428571428573</v>
      </c>
      <c r="C31" s="3">
        <f>$E$4/7</f>
        <v>420.38564228571431</v>
      </c>
      <c r="D31" s="42">
        <f t="shared" si="1"/>
        <v>258.83565357142857</v>
      </c>
      <c r="E31" s="3">
        <f t="shared" si="2"/>
        <v>338.83565357142857</v>
      </c>
      <c r="F31" s="3">
        <f t="shared" si="2"/>
        <v>2403.8894910857148</v>
      </c>
      <c r="G31" s="42">
        <f t="shared" si="0"/>
        <v>1843.2494910857149</v>
      </c>
    </row>
    <row r="32" spans="1:8" x14ac:dyDescent="0.35">
      <c r="A32">
        <f t="shared" si="3"/>
        <v>2030</v>
      </c>
      <c r="B32" s="3">
        <f t="shared" ref="B32:B37" si="4">$C$4/7</f>
        <v>55.801428571428573</v>
      </c>
      <c r="C32" s="3">
        <f t="shared" ref="C32:C37" si="5">$E$4/7</f>
        <v>420.38564228571431</v>
      </c>
      <c r="D32" s="42">
        <f t="shared" si="1"/>
        <v>314.63708214285714</v>
      </c>
      <c r="E32" s="3">
        <f t="shared" si="2"/>
        <v>394.63708214285714</v>
      </c>
      <c r="F32" s="3">
        <f t="shared" si="2"/>
        <v>2824.2751333714291</v>
      </c>
      <c r="G32" s="42">
        <f t="shared" si="0"/>
        <v>2263.6351333714292</v>
      </c>
    </row>
    <row r="33" spans="1:7" x14ac:dyDescent="0.35">
      <c r="A33">
        <f t="shared" si="3"/>
        <v>2031</v>
      </c>
      <c r="B33" s="3">
        <f t="shared" si="4"/>
        <v>55.801428571428573</v>
      </c>
      <c r="C33" s="3">
        <f t="shared" si="5"/>
        <v>420.38564228571431</v>
      </c>
      <c r="D33" s="42">
        <f t="shared" si="1"/>
        <v>370.43851071428571</v>
      </c>
      <c r="E33" s="3">
        <f t="shared" si="2"/>
        <v>450.43851071428571</v>
      </c>
      <c r="F33" s="3">
        <f t="shared" si="2"/>
        <v>3244.6607756571434</v>
      </c>
      <c r="G33" s="42">
        <f t="shared" si="0"/>
        <v>2684.0207756571435</v>
      </c>
    </row>
    <row r="34" spans="1:7" x14ac:dyDescent="0.35">
      <c r="A34">
        <f t="shared" si="3"/>
        <v>2032</v>
      </c>
      <c r="B34" s="3">
        <f t="shared" si="4"/>
        <v>55.801428571428573</v>
      </c>
      <c r="C34" s="3">
        <f t="shared" si="5"/>
        <v>420.38564228571431</v>
      </c>
      <c r="D34" s="42">
        <f t="shared" si="1"/>
        <v>426.23993928571429</v>
      </c>
      <c r="E34" s="3">
        <f t="shared" si="2"/>
        <v>506.23993928571429</v>
      </c>
      <c r="F34" s="3">
        <f t="shared" si="2"/>
        <v>3665.0464179428577</v>
      </c>
      <c r="G34" s="42">
        <f t="shared" si="0"/>
        <v>3104.4064179428578</v>
      </c>
    </row>
    <row r="35" spans="1:7" x14ac:dyDescent="0.35">
      <c r="A35">
        <f t="shared" si="3"/>
        <v>2033</v>
      </c>
      <c r="B35" s="3">
        <f t="shared" si="4"/>
        <v>55.801428571428573</v>
      </c>
      <c r="C35" s="3">
        <f t="shared" si="5"/>
        <v>420.38564228571431</v>
      </c>
      <c r="D35" s="42">
        <f t="shared" si="1"/>
        <v>482.04136785714286</v>
      </c>
      <c r="E35" s="3">
        <f t="shared" si="2"/>
        <v>562.04136785714286</v>
      </c>
      <c r="F35" s="3">
        <f t="shared" si="2"/>
        <v>4085.432060228572</v>
      </c>
      <c r="G35" s="42">
        <f t="shared" si="0"/>
        <v>3524.7920602285722</v>
      </c>
    </row>
    <row r="36" spans="1:7" x14ac:dyDescent="0.35">
      <c r="A36">
        <f t="shared" si="3"/>
        <v>2034</v>
      </c>
      <c r="B36" s="3">
        <f t="shared" si="4"/>
        <v>55.801428571428573</v>
      </c>
      <c r="C36" s="3">
        <f t="shared" si="5"/>
        <v>420.38564228571431</v>
      </c>
      <c r="D36" s="42">
        <f t="shared" si="1"/>
        <v>537.84279642857143</v>
      </c>
      <c r="E36" s="3">
        <f t="shared" si="2"/>
        <v>617.84279642857143</v>
      </c>
      <c r="F36" s="3">
        <f t="shared" si="2"/>
        <v>4505.8177025142868</v>
      </c>
      <c r="G36" s="42">
        <f t="shared" si="0"/>
        <v>3945.1777025142869</v>
      </c>
    </row>
    <row r="37" spans="1:7" x14ac:dyDescent="0.35">
      <c r="A37">
        <f t="shared" si="3"/>
        <v>2035</v>
      </c>
      <c r="B37" s="3">
        <f t="shared" si="4"/>
        <v>55.801428571428573</v>
      </c>
      <c r="C37" s="3">
        <f t="shared" si="5"/>
        <v>420.38564228571431</v>
      </c>
      <c r="D37" s="42">
        <f t="shared" si="1"/>
        <v>593.64422500000001</v>
      </c>
      <c r="E37" s="3">
        <f t="shared" si="2"/>
        <v>673.64422500000001</v>
      </c>
      <c r="F37" s="3">
        <f t="shared" si="2"/>
        <v>4926.2033448000011</v>
      </c>
      <c r="G37" s="42">
        <f t="shared" si="0"/>
        <v>4365.5633448000008</v>
      </c>
    </row>
    <row r="38" spans="1:7" x14ac:dyDescent="0.35">
      <c r="A38">
        <f t="shared" si="3"/>
        <v>2036</v>
      </c>
      <c r="B38" s="2">
        <f>$C$5/10</f>
        <v>29.557686431622919</v>
      </c>
      <c r="C38" s="2">
        <f>$E$5/10</f>
        <v>222.67578650127444</v>
      </c>
      <c r="D38" s="42">
        <f t="shared" si="1"/>
        <v>623.20191143162288</v>
      </c>
      <c r="E38" s="3">
        <f t="shared" si="2"/>
        <v>703.20191143162288</v>
      </c>
      <c r="F38" s="3">
        <f t="shared" si="2"/>
        <v>5148.8791313012753</v>
      </c>
      <c r="G38" s="42">
        <f t="shared" si="0"/>
        <v>4588.2391313012749</v>
      </c>
    </row>
    <row r="39" spans="1:7" x14ac:dyDescent="0.35">
      <c r="A39">
        <f t="shared" si="3"/>
        <v>2037</v>
      </c>
      <c r="B39" s="2">
        <f t="shared" ref="B39:B47" si="6">$C$5/10</f>
        <v>29.557686431622919</v>
      </c>
      <c r="C39" s="2">
        <f t="shared" ref="C39:C47" si="7">$E$5/10</f>
        <v>222.67578650127444</v>
      </c>
      <c r="D39" s="42">
        <f t="shared" si="1"/>
        <v>652.75959786324574</v>
      </c>
      <c r="E39" s="3">
        <f t="shared" si="2"/>
        <v>732.75959786324574</v>
      </c>
      <c r="F39" s="3">
        <f t="shared" si="2"/>
        <v>5371.5549178025494</v>
      </c>
      <c r="G39" s="42">
        <f t="shared" si="0"/>
        <v>4810.9149178025491</v>
      </c>
    </row>
    <row r="40" spans="1:7" x14ac:dyDescent="0.35">
      <c r="A40">
        <f t="shared" si="3"/>
        <v>2038</v>
      </c>
      <c r="B40" s="2">
        <f t="shared" si="6"/>
        <v>29.557686431622919</v>
      </c>
      <c r="C40" s="2">
        <f t="shared" si="7"/>
        <v>222.67578650127444</v>
      </c>
      <c r="D40" s="42">
        <f t="shared" si="1"/>
        <v>682.31728429486861</v>
      </c>
      <c r="E40" s="3">
        <f t="shared" si="2"/>
        <v>762.31728429486861</v>
      </c>
      <c r="F40" s="3">
        <f t="shared" si="2"/>
        <v>5594.2307043038236</v>
      </c>
      <c r="G40" s="42">
        <f t="shared" si="0"/>
        <v>5033.5907043038233</v>
      </c>
    </row>
    <row r="41" spans="1:7" x14ac:dyDescent="0.35">
      <c r="A41">
        <f t="shared" si="3"/>
        <v>2039</v>
      </c>
      <c r="B41" s="2">
        <f t="shared" si="6"/>
        <v>29.557686431622919</v>
      </c>
      <c r="C41" s="2">
        <f t="shared" si="7"/>
        <v>222.67578650127444</v>
      </c>
      <c r="D41" s="42">
        <f t="shared" si="1"/>
        <v>711.87497072649148</v>
      </c>
      <c r="E41" s="3">
        <f t="shared" si="2"/>
        <v>791.87497072649148</v>
      </c>
      <c r="F41" s="3">
        <f t="shared" si="2"/>
        <v>5816.9064908050977</v>
      </c>
      <c r="G41" s="42">
        <f t="shared" si="0"/>
        <v>5256.2664908050974</v>
      </c>
    </row>
    <row r="42" spans="1:7" x14ac:dyDescent="0.35">
      <c r="A42">
        <f t="shared" si="3"/>
        <v>2040</v>
      </c>
      <c r="B42" s="2">
        <f t="shared" si="6"/>
        <v>29.557686431622919</v>
      </c>
      <c r="C42" s="2">
        <f t="shared" si="7"/>
        <v>222.67578650127444</v>
      </c>
      <c r="D42" s="42">
        <f t="shared" si="1"/>
        <v>741.43265715811435</v>
      </c>
      <c r="E42" s="3">
        <f t="shared" si="2"/>
        <v>821.43265715811435</v>
      </c>
      <c r="F42" s="3">
        <f t="shared" si="2"/>
        <v>6039.5822773063719</v>
      </c>
      <c r="G42" s="42">
        <f t="shared" si="0"/>
        <v>5478.9422773063716</v>
      </c>
    </row>
    <row r="43" spans="1:7" x14ac:dyDescent="0.35">
      <c r="A43">
        <f t="shared" si="3"/>
        <v>2041</v>
      </c>
      <c r="B43" s="2">
        <f t="shared" si="6"/>
        <v>29.557686431622919</v>
      </c>
      <c r="C43" s="2">
        <f t="shared" si="7"/>
        <v>222.67578650127444</v>
      </c>
      <c r="D43" s="42">
        <f t="shared" si="1"/>
        <v>770.99034358973722</v>
      </c>
      <c r="E43" s="3">
        <f t="shared" si="2"/>
        <v>850.99034358973722</v>
      </c>
      <c r="F43" s="3">
        <f t="shared" si="2"/>
        <v>6262.2580638076461</v>
      </c>
      <c r="G43" s="42">
        <f t="shared" si="0"/>
        <v>5701.6180638076457</v>
      </c>
    </row>
    <row r="44" spans="1:7" x14ac:dyDescent="0.35">
      <c r="A44">
        <f>A43+1</f>
        <v>2042</v>
      </c>
      <c r="B44" s="2">
        <f t="shared" si="6"/>
        <v>29.557686431622919</v>
      </c>
      <c r="C44" s="2">
        <f t="shared" si="7"/>
        <v>222.67578650127444</v>
      </c>
      <c r="D44" s="42">
        <f t="shared" si="1"/>
        <v>800.54803002136009</v>
      </c>
      <c r="E44" s="3">
        <f t="shared" ref="E44:F47" si="8">E43+B44</f>
        <v>880.54803002136009</v>
      </c>
      <c r="F44" s="3">
        <f t="shared" si="8"/>
        <v>6484.9338503089202</v>
      </c>
      <c r="G44" s="42">
        <f t="shared" si="0"/>
        <v>5924.2938503089199</v>
      </c>
    </row>
    <row r="45" spans="1:7" x14ac:dyDescent="0.35">
      <c r="A45">
        <f t="shared" si="3"/>
        <v>2043</v>
      </c>
      <c r="B45" s="2">
        <f t="shared" si="6"/>
        <v>29.557686431622919</v>
      </c>
      <c r="C45" s="2">
        <f t="shared" si="7"/>
        <v>222.67578650127444</v>
      </c>
      <c r="D45" s="42">
        <f t="shared" si="1"/>
        <v>830.10571645298296</v>
      </c>
      <c r="E45" s="3">
        <f t="shared" si="8"/>
        <v>910.10571645298296</v>
      </c>
      <c r="F45" s="3">
        <f t="shared" si="8"/>
        <v>6707.6096368101944</v>
      </c>
      <c r="G45" s="42">
        <f t="shared" si="0"/>
        <v>6146.9696368101941</v>
      </c>
    </row>
    <row r="46" spans="1:7" x14ac:dyDescent="0.35">
      <c r="A46">
        <f t="shared" si="3"/>
        <v>2044</v>
      </c>
      <c r="B46" s="2">
        <f t="shared" si="6"/>
        <v>29.557686431622919</v>
      </c>
      <c r="C46" s="2">
        <f t="shared" si="7"/>
        <v>222.67578650127444</v>
      </c>
      <c r="D46" s="42">
        <f t="shared" si="1"/>
        <v>859.66340288460583</v>
      </c>
      <c r="E46" s="3">
        <f t="shared" si="8"/>
        <v>939.66340288460583</v>
      </c>
      <c r="F46" s="3">
        <f t="shared" si="8"/>
        <v>6930.2854233114685</v>
      </c>
      <c r="G46" s="42">
        <f t="shared" si="0"/>
        <v>6369.6454233114682</v>
      </c>
    </row>
    <row r="47" spans="1:7" x14ac:dyDescent="0.35">
      <c r="A47">
        <f t="shared" si="3"/>
        <v>2045</v>
      </c>
      <c r="B47" s="2">
        <f t="shared" si="6"/>
        <v>29.557686431622919</v>
      </c>
      <c r="C47" s="2">
        <f t="shared" si="7"/>
        <v>222.67578650127444</v>
      </c>
      <c r="D47" s="42">
        <f t="shared" si="1"/>
        <v>889.2210893162287</v>
      </c>
      <c r="E47" s="3">
        <f t="shared" si="8"/>
        <v>969.2210893162287</v>
      </c>
      <c r="F47" s="3">
        <f t="shared" si="8"/>
        <v>7152.9612098127427</v>
      </c>
      <c r="G47" s="42">
        <f t="shared" si="0"/>
        <v>6592.3212098127424</v>
      </c>
    </row>
  </sheetData>
  <mergeCells count="1">
    <mergeCell ref="A24:B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7877-13CA-4A54-9BDE-E5532B14B992}">
  <sheetPr>
    <tabColor theme="5" tint="0.79998168889431442"/>
  </sheetPr>
  <dimension ref="A1:N50"/>
  <sheetViews>
    <sheetView zoomScale="80" zoomScaleNormal="80" workbookViewId="0">
      <selection activeCell="M24" sqref="M24"/>
    </sheetView>
  </sheetViews>
  <sheetFormatPr defaultRowHeight="14.5" x14ac:dyDescent="0.35"/>
  <cols>
    <col min="1" max="1" width="4.26953125" customWidth="1"/>
    <col min="2" max="2" width="20.54296875" customWidth="1"/>
    <col min="3" max="3" width="27" customWidth="1"/>
    <col min="4" max="4" width="16.1796875" customWidth="1"/>
    <col min="5" max="5" width="20.36328125" customWidth="1"/>
    <col min="6" max="6" width="23" bestFit="1" customWidth="1"/>
    <col min="7" max="7" width="24.1796875" customWidth="1"/>
    <col min="8" max="8" width="13.08984375" customWidth="1"/>
    <col min="9" max="9" width="19.1796875" customWidth="1"/>
    <col min="10" max="14" width="10.81640625" customWidth="1"/>
  </cols>
  <sheetData>
    <row r="1" spans="1:14" s="87" customFormat="1" ht="21" x14ac:dyDescent="0.5">
      <c r="A1" s="110" t="s">
        <v>150</v>
      </c>
      <c r="B1" s="103"/>
    </row>
    <row r="2" spans="1:14" ht="21" x14ac:dyDescent="0.5">
      <c r="B2" s="24" t="s">
        <v>36</v>
      </c>
    </row>
    <row r="4" spans="1:14" x14ac:dyDescent="0.35">
      <c r="B4" s="22" t="s">
        <v>32</v>
      </c>
    </row>
    <row r="5" spans="1:14" ht="14.5" customHeight="1" x14ac:dyDescent="0.35">
      <c r="B5" s="19"/>
      <c r="C5" s="47" t="s">
        <v>25</v>
      </c>
      <c r="D5" s="45"/>
      <c r="E5" s="20">
        <v>2024</v>
      </c>
      <c r="F5" s="20">
        <v>2025</v>
      </c>
      <c r="G5" s="20">
        <v>2026</v>
      </c>
      <c r="H5" s="20">
        <v>2027</v>
      </c>
      <c r="I5" s="20">
        <v>2028</v>
      </c>
      <c r="J5" s="20">
        <v>2029</v>
      </c>
      <c r="K5" s="20">
        <v>2030</v>
      </c>
      <c r="L5" s="20">
        <v>2031</v>
      </c>
      <c r="M5" s="20">
        <v>2032</v>
      </c>
      <c r="N5" s="21">
        <v>2033</v>
      </c>
    </row>
    <row r="6" spans="1:14" x14ac:dyDescent="0.35">
      <c r="B6" s="15" t="s">
        <v>26</v>
      </c>
      <c r="C6" s="48"/>
      <c r="D6" s="46" t="s">
        <v>96</v>
      </c>
      <c r="E6" s="17">
        <v>9.7520000000000007</v>
      </c>
      <c r="F6" s="17">
        <v>20.526</v>
      </c>
      <c r="G6" s="17">
        <v>15.319000000000001</v>
      </c>
      <c r="H6" s="17">
        <v>4.8689999999999998</v>
      </c>
      <c r="I6" s="17">
        <v>2.2000000000000002</v>
      </c>
      <c r="J6" s="17">
        <v>0</v>
      </c>
      <c r="K6" s="17">
        <v>0</v>
      </c>
      <c r="L6" s="17">
        <v>0</v>
      </c>
      <c r="M6" s="17">
        <v>0</v>
      </c>
      <c r="N6" s="18">
        <v>0</v>
      </c>
    </row>
    <row r="7" spans="1:14" x14ac:dyDescent="0.35">
      <c r="B7" s="15"/>
      <c r="C7" s="16"/>
      <c r="D7" s="46" t="s">
        <v>4</v>
      </c>
      <c r="E7" s="17">
        <f>E6*0.95</f>
        <v>9.2644000000000002</v>
      </c>
      <c r="F7" s="17">
        <f t="shared" ref="F7:N7" si="0">F6*0.95</f>
        <v>19.499699999999997</v>
      </c>
      <c r="G7" s="17">
        <f t="shared" si="0"/>
        <v>14.553050000000001</v>
      </c>
      <c r="H7" s="17">
        <f t="shared" si="0"/>
        <v>4.6255499999999996</v>
      </c>
      <c r="I7" s="17">
        <f t="shared" si="0"/>
        <v>2.09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44">
        <f t="shared" si="0"/>
        <v>0</v>
      </c>
    </row>
    <row r="8" spans="1:14" x14ac:dyDescent="0.35">
      <c r="E8" s="31" t="s">
        <v>97</v>
      </c>
      <c r="F8" s="34">
        <f>(SUM(F7:I7))</f>
        <v>40.768299999999996</v>
      </c>
      <c r="G8" s="31" t="s">
        <v>4</v>
      </c>
    </row>
    <row r="9" spans="1:14" x14ac:dyDescent="0.35">
      <c r="F9" s="31"/>
      <c r="G9" s="34"/>
    </row>
    <row r="10" spans="1:14" x14ac:dyDescent="0.35">
      <c r="C10" s="22" t="s">
        <v>33</v>
      </c>
      <c r="I10" s="22" t="s">
        <v>95</v>
      </c>
      <c r="M10" s="33"/>
    </row>
    <row r="11" spans="1:14" x14ac:dyDescent="0.35">
      <c r="B11" s="14" t="s">
        <v>111</v>
      </c>
      <c r="C11" s="14" t="s">
        <v>27</v>
      </c>
      <c r="D11" s="14" t="s">
        <v>28</v>
      </c>
      <c r="E11" s="14" t="s">
        <v>29</v>
      </c>
      <c r="F11" s="14" t="s">
        <v>30</v>
      </c>
      <c r="G11" s="14" t="s">
        <v>34</v>
      </c>
    </row>
    <row r="12" spans="1:14" x14ac:dyDescent="0.35">
      <c r="B12" s="104"/>
      <c r="C12" s="104"/>
      <c r="D12" s="104"/>
      <c r="E12" s="105"/>
      <c r="F12" s="104"/>
      <c r="G12" s="104"/>
      <c r="I12" s="32" t="s">
        <v>91</v>
      </c>
    </row>
    <row r="13" spans="1:14" x14ac:dyDescent="0.35">
      <c r="B13" s="104"/>
      <c r="C13" s="106"/>
      <c r="D13" s="107"/>
      <c r="E13" s="107"/>
      <c r="F13" s="106"/>
      <c r="G13" s="104"/>
      <c r="I13" s="32" t="s">
        <v>92</v>
      </c>
    </row>
    <row r="14" spans="1:14" x14ac:dyDescent="0.35">
      <c r="B14" s="104"/>
      <c r="C14" s="104"/>
      <c r="D14" s="104"/>
      <c r="E14" s="105"/>
      <c r="F14" s="104"/>
      <c r="G14" s="104"/>
      <c r="I14" s="32" t="s">
        <v>91</v>
      </c>
    </row>
    <row r="15" spans="1:14" x14ac:dyDescent="0.35">
      <c r="B15" s="104"/>
      <c r="C15" s="104"/>
      <c r="D15" s="104"/>
      <c r="E15" s="105"/>
      <c r="F15" s="104"/>
      <c r="G15" s="104"/>
      <c r="I15" s="32" t="s">
        <v>91</v>
      </c>
    </row>
    <row r="16" spans="1:14" x14ac:dyDescent="0.35">
      <c r="B16" s="104"/>
      <c r="C16" s="104"/>
      <c r="D16" s="104"/>
      <c r="E16" s="105"/>
      <c r="F16" s="104"/>
      <c r="G16" s="104"/>
      <c r="I16" s="32" t="s">
        <v>92</v>
      </c>
    </row>
    <row r="17" spans="2:9" x14ac:dyDescent="0.35">
      <c r="B17" s="104"/>
      <c r="C17" s="104"/>
      <c r="D17" s="104"/>
      <c r="E17" s="105"/>
      <c r="F17" s="104"/>
      <c r="G17" s="104"/>
      <c r="I17" s="32" t="s">
        <v>92</v>
      </c>
    </row>
    <row r="20" spans="2:9" x14ac:dyDescent="0.35">
      <c r="C20" s="22" t="s">
        <v>89</v>
      </c>
    </row>
    <row r="21" spans="2:9" x14ac:dyDescent="0.35">
      <c r="B21" s="14" t="s">
        <v>111</v>
      </c>
      <c r="C21" s="14" t="s">
        <v>27</v>
      </c>
      <c r="D21" s="14" t="s">
        <v>28</v>
      </c>
      <c r="E21" s="14" t="s">
        <v>29</v>
      </c>
      <c r="F21" s="14" t="s">
        <v>34</v>
      </c>
      <c r="G21" s="14" t="s">
        <v>90</v>
      </c>
    </row>
    <row r="22" spans="2:9" x14ac:dyDescent="0.35">
      <c r="B22" s="104"/>
      <c r="C22" s="104"/>
      <c r="D22" s="104"/>
      <c r="E22" s="105"/>
      <c r="F22" s="104"/>
      <c r="G22" s="104"/>
      <c r="I22" s="32" t="s">
        <v>93</v>
      </c>
    </row>
    <row r="23" spans="2:9" x14ac:dyDescent="0.35">
      <c r="B23" s="104"/>
      <c r="C23" s="104"/>
      <c r="D23" s="104"/>
      <c r="E23" s="105"/>
      <c r="F23" s="104"/>
      <c r="G23" s="104"/>
      <c r="I23" s="32" t="s">
        <v>93</v>
      </c>
    </row>
    <row r="24" spans="2:9" x14ac:dyDescent="0.35">
      <c r="B24" s="104"/>
      <c r="C24" s="104"/>
      <c r="D24" s="104"/>
      <c r="E24" s="108"/>
      <c r="F24" s="104"/>
      <c r="G24" s="104"/>
      <c r="I24" s="32" t="s">
        <v>93</v>
      </c>
    </row>
    <row r="25" spans="2:9" x14ac:dyDescent="0.35">
      <c r="B25" s="104"/>
      <c r="C25" s="106"/>
      <c r="D25" s="107"/>
      <c r="E25" s="107"/>
      <c r="F25" s="104"/>
      <c r="G25" s="104"/>
      <c r="I25" s="32" t="s">
        <v>93</v>
      </c>
    </row>
    <row r="28" spans="2:9" x14ac:dyDescent="0.35">
      <c r="C28" s="22" t="s">
        <v>35</v>
      </c>
    </row>
    <row r="29" spans="2:9" x14ac:dyDescent="0.35">
      <c r="B29" s="14" t="s">
        <v>111</v>
      </c>
      <c r="C29" s="14" t="s">
        <v>117</v>
      </c>
      <c r="D29" s="14" t="s">
        <v>27</v>
      </c>
      <c r="E29" s="14" t="s">
        <v>28</v>
      </c>
      <c r="F29" s="14" t="s">
        <v>145</v>
      </c>
      <c r="G29" s="14" t="s">
        <v>34</v>
      </c>
    </row>
    <row r="30" spans="2:9" x14ac:dyDescent="0.35">
      <c r="B30" s="104"/>
      <c r="C30" s="104"/>
      <c r="D30" s="104"/>
      <c r="E30" s="105"/>
      <c r="F30" s="105"/>
      <c r="G30" s="104"/>
      <c r="I30" s="32" t="s">
        <v>94</v>
      </c>
    </row>
    <row r="31" spans="2:9" x14ac:dyDescent="0.35">
      <c r="B31" s="104"/>
      <c r="C31" s="104"/>
      <c r="D31" s="104"/>
      <c r="E31" s="104"/>
      <c r="F31" s="105"/>
      <c r="G31" s="104"/>
      <c r="I31" s="32" t="s">
        <v>94</v>
      </c>
    </row>
    <row r="32" spans="2:9" x14ac:dyDescent="0.35">
      <c r="B32" s="104"/>
      <c r="C32" s="104"/>
      <c r="D32" s="104"/>
      <c r="E32" s="104"/>
      <c r="F32" s="104"/>
      <c r="G32" s="104"/>
      <c r="I32" s="32" t="s">
        <v>94</v>
      </c>
    </row>
    <row r="33" spans="2:9" x14ac:dyDescent="0.35">
      <c r="B33" s="104"/>
      <c r="C33" s="104"/>
      <c r="D33" s="104"/>
      <c r="E33" s="104"/>
      <c r="F33" s="104"/>
      <c r="G33" s="104"/>
      <c r="I33" s="32" t="s">
        <v>114</v>
      </c>
    </row>
    <row r="34" spans="2:9" x14ac:dyDescent="0.35">
      <c r="B34" s="104"/>
      <c r="C34" s="104"/>
      <c r="D34" s="104"/>
      <c r="E34" s="104"/>
      <c r="F34" s="104"/>
      <c r="G34" s="104"/>
      <c r="I34" s="32" t="s">
        <v>94</v>
      </c>
    </row>
    <row r="35" spans="2:9" x14ac:dyDescent="0.35">
      <c r="B35" s="104"/>
      <c r="C35" s="104"/>
      <c r="D35" s="104"/>
      <c r="E35" s="104"/>
      <c r="F35" s="104"/>
      <c r="G35" s="104"/>
      <c r="I35" s="32" t="s">
        <v>94</v>
      </c>
    </row>
    <row r="37" spans="2:9" ht="15" thickBot="1" x14ac:dyDescent="0.4"/>
    <row r="38" spans="2:9" ht="19" thickBot="1" x14ac:dyDescent="0.5">
      <c r="B38" s="67"/>
      <c r="C38" s="93" t="s">
        <v>146</v>
      </c>
      <c r="D38" s="94">
        <v>203.03422499999999</v>
      </c>
      <c r="E38" s="95" t="s">
        <v>4</v>
      </c>
      <c r="G38" s="101" t="s">
        <v>107</v>
      </c>
      <c r="H38" s="102">
        <v>0.67</v>
      </c>
    </row>
    <row r="39" spans="2:9" ht="18.5" x14ac:dyDescent="0.45">
      <c r="B39" s="67"/>
      <c r="C39" s="96" t="s">
        <v>147</v>
      </c>
      <c r="D39" s="94">
        <v>390.61</v>
      </c>
      <c r="E39" s="95" t="s">
        <v>4</v>
      </c>
      <c r="G39" t="s">
        <v>149</v>
      </c>
    </row>
    <row r="40" spans="2:9" x14ac:dyDescent="0.35">
      <c r="G40" t="s">
        <v>127</v>
      </c>
    </row>
    <row r="42" spans="2:9" ht="21" x14ac:dyDescent="0.5">
      <c r="C42" s="97" t="s">
        <v>113</v>
      </c>
      <c r="D42" s="32"/>
    </row>
    <row r="43" spans="2:9" x14ac:dyDescent="0.35">
      <c r="C43" s="32"/>
      <c r="D43" s="98" t="s">
        <v>151</v>
      </c>
    </row>
    <row r="44" spans="2:9" x14ac:dyDescent="0.35">
      <c r="C44" s="99">
        <v>2025</v>
      </c>
      <c r="D44" s="100">
        <v>38.074775000000002</v>
      </c>
      <c r="E44" s="3"/>
    </row>
    <row r="45" spans="2:9" x14ac:dyDescent="0.35">
      <c r="C45" s="99">
        <v>2026</v>
      </c>
      <c r="D45" s="100">
        <v>52.722787500000003</v>
      </c>
      <c r="E45" s="3"/>
    </row>
    <row r="46" spans="2:9" x14ac:dyDescent="0.35">
      <c r="C46" s="99">
        <v>2027</v>
      </c>
      <c r="D46" s="100">
        <v>73.819162500000004</v>
      </c>
      <c r="E46" s="3"/>
    </row>
    <row r="47" spans="2:9" x14ac:dyDescent="0.35">
      <c r="C47" s="99">
        <v>2028</v>
      </c>
      <c r="D47" s="100">
        <v>38.417500000000004</v>
      </c>
      <c r="E47" s="3"/>
    </row>
    <row r="48" spans="2:9" x14ac:dyDescent="0.35">
      <c r="D48" s="57"/>
    </row>
    <row r="49" spans="3:6" x14ac:dyDescent="0.35">
      <c r="C49" s="31"/>
      <c r="D49" s="58"/>
      <c r="E49" s="57"/>
      <c r="F49" t="s">
        <v>148</v>
      </c>
    </row>
    <row r="50" spans="3:6" x14ac:dyDescent="0.35">
      <c r="D50" s="3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3A22-E07A-47F7-AC24-FD6B0965BDC0}">
  <sheetPr>
    <tabColor theme="9" tint="0.79998168889431442"/>
  </sheetPr>
  <dimension ref="A1:E71"/>
  <sheetViews>
    <sheetView zoomScale="110" zoomScaleNormal="110" workbookViewId="0">
      <selection sqref="A1:XFD1"/>
    </sheetView>
  </sheetViews>
  <sheetFormatPr defaultColWidth="9.1796875" defaultRowHeight="14.5" x14ac:dyDescent="0.35"/>
  <cols>
    <col min="1" max="1" width="9.1796875" style="6"/>
    <col min="2" max="2" width="12.1796875" style="6" customWidth="1"/>
    <col min="3" max="16384" width="9.1796875" style="6"/>
  </cols>
  <sheetData>
    <row r="1" spans="1:1" ht="16" x14ac:dyDescent="0.35">
      <c r="A1" s="25" t="s">
        <v>60</v>
      </c>
    </row>
    <row r="2" spans="1:1" x14ac:dyDescent="0.35">
      <c r="A2" s="26" t="s">
        <v>61</v>
      </c>
    </row>
    <row r="3" spans="1:1" x14ac:dyDescent="0.35">
      <c r="A3" s="26" t="s">
        <v>62</v>
      </c>
    </row>
    <row r="4" spans="1:1" x14ac:dyDescent="0.35">
      <c r="A4" s="26" t="s">
        <v>63</v>
      </c>
    </row>
    <row r="5" spans="1:1" x14ac:dyDescent="0.35">
      <c r="A5" s="27" t="s">
        <v>64</v>
      </c>
    </row>
    <row r="6" spans="1:1" x14ac:dyDescent="0.35">
      <c r="A6" s="27" t="s">
        <v>65</v>
      </c>
    </row>
    <row r="7" spans="1:1" x14ac:dyDescent="0.35">
      <c r="A7" s="28" t="s">
        <v>66</v>
      </c>
    </row>
    <row r="18" spans="1:1" ht="16" x14ac:dyDescent="0.35">
      <c r="A18" s="25" t="s">
        <v>67</v>
      </c>
    </row>
    <row r="19" spans="1:1" x14ac:dyDescent="0.35">
      <c r="A19" s="26" t="s">
        <v>68</v>
      </c>
    </row>
    <row r="20" spans="1:1" x14ac:dyDescent="0.35">
      <c r="A20" s="26" t="s">
        <v>69</v>
      </c>
    </row>
    <row r="21" spans="1:1" x14ac:dyDescent="0.35">
      <c r="A21" s="26" t="s">
        <v>63</v>
      </c>
    </row>
    <row r="22" spans="1:1" x14ac:dyDescent="0.35">
      <c r="A22" s="27" t="s">
        <v>70</v>
      </c>
    </row>
    <row r="23" spans="1:1" x14ac:dyDescent="0.35">
      <c r="A23" s="27" t="s">
        <v>71</v>
      </c>
    </row>
    <row r="24" spans="1:1" x14ac:dyDescent="0.35">
      <c r="A24" s="27" t="s">
        <v>72</v>
      </c>
    </row>
    <row r="25" spans="1:1" x14ac:dyDescent="0.35">
      <c r="A25" s="29"/>
    </row>
    <row r="26" spans="1:1" x14ac:dyDescent="0.35">
      <c r="A26" s="29"/>
    </row>
    <row r="27" spans="1:1" x14ac:dyDescent="0.35">
      <c r="A27" s="29"/>
    </row>
    <row r="28" spans="1:1" x14ac:dyDescent="0.35">
      <c r="A28" s="29"/>
    </row>
    <row r="29" spans="1:1" x14ac:dyDescent="0.35">
      <c r="A29" s="29"/>
    </row>
    <row r="30" spans="1:1" x14ac:dyDescent="0.35">
      <c r="A30" s="29"/>
    </row>
    <row r="31" spans="1:1" x14ac:dyDescent="0.35">
      <c r="A31" s="29"/>
    </row>
    <row r="32" spans="1:1" x14ac:dyDescent="0.35">
      <c r="A32" s="29"/>
    </row>
    <row r="33" spans="1:1" x14ac:dyDescent="0.35">
      <c r="A33" s="29"/>
    </row>
    <row r="34" spans="1:1" ht="16" x14ac:dyDescent="0.35">
      <c r="A34" s="25" t="s">
        <v>73</v>
      </c>
    </row>
    <row r="35" spans="1:1" x14ac:dyDescent="0.35">
      <c r="A35" s="26" t="s">
        <v>74</v>
      </c>
    </row>
    <row r="36" spans="1:1" x14ac:dyDescent="0.35">
      <c r="A36" s="26" t="s">
        <v>75</v>
      </c>
    </row>
    <row r="37" spans="1:1" x14ac:dyDescent="0.35">
      <c r="A37" s="26" t="s">
        <v>63</v>
      </c>
    </row>
    <row r="38" spans="1:1" x14ac:dyDescent="0.35">
      <c r="A38" s="27" t="s">
        <v>76</v>
      </c>
    </row>
    <row r="39" spans="1:1" x14ac:dyDescent="0.35">
      <c r="A39" s="27" t="s">
        <v>77</v>
      </c>
    </row>
    <row r="40" spans="1:1" x14ac:dyDescent="0.35">
      <c r="A40" s="27" t="s">
        <v>78</v>
      </c>
    </row>
    <row r="41" spans="1:1" x14ac:dyDescent="0.35">
      <c r="A41" s="29"/>
    </row>
    <row r="42" spans="1:1" x14ac:dyDescent="0.35">
      <c r="A42" s="29"/>
    </row>
    <row r="43" spans="1:1" x14ac:dyDescent="0.35">
      <c r="A43" s="29"/>
    </row>
    <row r="44" spans="1:1" x14ac:dyDescent="0.35">
      <c r="A44" s="29"/>
    </row>
    <row r="45" spans="1:1" x14ac:dyDescent="0.35">
      <c r="A45" s="29"/>
    </row>
    <row r="46" spans="1:1" x14ac:dyDescent="0.35">
      <c r="A46" s="29"/>
    </row>
    <row r="47" spans="1:1" x14ac:dyDescent="0.35">
      <c r="A47" s="29"/>
    </row>
    <row r="48" spans="1:1" x14ac:dyDescent="0.35">
      <c r="A48" s="29"/>
    </row>
    <row r="49" spans="1:1" ht="16" x14ac:dyDescent="0.35">
      <c r="A49" s="25" t="s">
        <v>79</v>
      </c>
    </row>
    <row r="50" spans="1:1" x14ac:dyDescent="0.35">
      <c r="A50" s="26" t="s">
        <v>80</v>
      </c>
    </row>
    <row r="51" spans="1:1" x14ac:dyDescent="0.35">
      <c r="A51" s="26" t="s">
        <v>81</v>
      </c>
    </row>
    <row r="52" spans="1:1" x14ac:dyDescent="0.35">
      <c r="A52" s="26" t="s">
        <v>82</v>
      </c>
    </row>
    <row r="53" spans="1:1" x14ac:dyDescent="0.35">
      <c r="A53" s="27" t="s">
        <v>83</v>
      </c>
    </row>
    <row r="54" spans="1:1" x14ac:dyDescent="0.35">
      <c r="A54" s="27" t="s">
        <v>84</v>
      </c>
    </row>
    <row r="55" spans="1:1" x14ac:dyDescent="0.35">
      <c r="A55" s="27" t="s">
        <v>85</v>
      </c>
    </row>
    <row r="56" spans="1:1" x14ac:dyDescent="0.35">
      <c r="A56" s="29"/>
    </row>
    <row r="57" spans="1:1" x14ac:dyDescent="0.35">
      <c r="A57" s="29"/>
    </row>
    <row r="58" spans="1:1" x14ac:dyDescent="0.35">
      <c r="A58" s="29"/>
    </row>
    <row r="59" spans="1:1" x14ac:dyDescent="0.35">
      <c r="A59" s="29"/>
    </row>
    <row r="60" spans="1:1" x14ac:dyDescent="0.35">
      <c r="A60" s="29"/>
    </row>
    <row r="61" spans="1:1" x14ac:dyDescent="0.35">
      <c r="A61" s="29"/>
    </row>
    <row r="62" spans="1:1" x14ac:dyDescent="0.35">
      <c r="A62" s="29"/>
    </row>
    <row r="68" spans="1:5" ht="21" x14ac:dyDescent="0.5">
      <c r="A68" s="35" t="s">
        <v>98</v>
      </c>
    </row>
    <row r="69" spans="1:5" x14ac:dyDescent="0.35">
      <c r="B69" s="7" t="s">
        <v>138</v>
      </c>
      <c r="C69" s="6" t="s">
        <v>137</v>
      </c>
    </row>
    <row r="70" spans="1:5" x14ac:dyDescent="0.35">
      <c r="B70" s="7" t="s">
        <v>139</v>
      </c>
      <c r="C70" s="6" t="s">
        <v>141</v>
      </c>
    </row>
    <row r="71" spans="1:5" x14ac:dyDescent="0.35">
      <c r="A71" s="7"/>
      <c r="B71" s="90" t="s">
        <v>140</v>
      </c>
      <c r="C71" s="6">
        <v>3.8</v>
      </c>
      <c r="E71" s="6" t="s">
        <v>106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3132-1B9A-47D5-AC0C-F2699EC1A76D}">
  <sheetPr>
    <tabColor theme="1" tint="0.499984740745262"/>
  </sheetPr>
  <dimension ref="B33:F39"/>
  <sheetViews>
    <sheetView workbookViewId="0">
      <selection activeCell="H32" sqref="H32"/>
    </sheetView>
  </sheetViews>
  <sheetFormatPr defaultColWidth="9.1796875" defaultRowHeight="14.5" x14ac:dyDescent="0.35"/>
  <cols>
    <col min="1" max="1" width="10.7265625" style="6" customWidth="1"/>
    <col min="2" max="2" width="10.1796875" style="6" customWidth="1"/>
    <col min="3" max="16384" width="9.1796875" style="6"/>
  </cols>
  <sheetData>
    <row r="33" spans="2:6" ht="21.5" thickBot="1" x14ac:dyDescent="0.55000000000000004">
      <c r="B33" s="68" t="s">
        <v>128</v>
      </c>
    </row>
    <row r="34" spans="2:6" x14ac:dyDescent="0.35">
      <c r="B34" s="69"/>
      <c r="C34" s="70" t="s">
        <v>14</v>
      </c>
      <c r="D34" s="71" t="s">
        <v>129</v>
      </c>
      <c r="E34" s="72" t="s">
        <v>130</v>
      </c>
      <c r="F34" s="73"/>
    </row>
    <row r="35" spans="2:6" x14ac:dyDescent="0.35">
      <c r="B35" s="74">
        <v>2019</v>
      </c>
      <c r="C35" s="75">
        <v>311</v>
      </c>
      <c r="D35" s="43">
        <v>51</v>
      </c>
      <c r="E35" s="76" t="s">
        <v>131</v>
      </c>
      <c r="F35" s="77"/>
    </row>
    <row r="36" spans="2:6" x14ac:dyDescent="0.35">
      <c r="B36" s="78">
        <v>2020</v>
      </c>
      <c r="C36" s="79">
        <v>312</v>
      </c>
      <c r="D36" s="6">
        <v>48</v>
      </c>
      <c r="E36" s="8" t="s">
        <v>132</v>
      </c>
      <c r="F36" s="80"/>
    </row>
    <row r="37" spans="2:6" x14ac:dyDescent="0.35">
      <c r="B37" s="78">
        <v>2021</v>
      </c>
      <c r="C37" s="79">
        <v>367</v>
      </c>
      <c r="D37" s="6">
        <v>54</v>
      </c>
      <c r="E37" s="81" t="s">
        <v>133</v>
      </c>
      <c r="F37" s="80"/>
    </row>
    <row r="38" spans="2:6" x14ac:dyDescent="0.35">
      <c r="B38" s="78">
        <v>2022</v>
      </c>
      <c r="C38" s="79">
        <v>409</v>
      </c>
      <c r="D38" s="6">
        <v>64</v>
      </c>
      <c r="E38" s="81" t="s">
        <v>134</v>
      </c>
      <c r="F38" s="80"/>
    </row>
    <row r="39" spans="2:6" ht="15" thickBot="1" x14ac:dyDescent="0.4">
      <c r="B39" s="82">
        <v>2023</v>
      </c>
      <c r="C39" s="83">
        <v>424</v>
      </c>
      <c r="D39" s="84">
        <v>62</v>
      </c>
      <c r="E39" s="85" t="s">
        <v>135</v>
      </c>
      <c r="F39" s="8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9728-804B-4ECD-8CA0-665A8A5E582D}">
  <sheetPr codeName="Sheet2">
    <tabColor theme="2" tint="-9.9978637043366805E-2"/>
  </sheetPr>
  <dimension ref="A2:F26"/>
  <sheetViews>
    <sheetView workbookViewId="0">
      <selection activeCell="M37" sqref="M37"/>
    </sheetView>
  </sheetViews>
  <sheetFormatPr defaultColWidth="8.7265625" defaultRowHeight="14.5" x14ac:dyDescent="0.35"/>
  <cols>
    <col min="1" max="1" width="12.7265625" style="8" customWidth="1"/>
    <col min="2" max="2" width="11.1796875" style="6" bestFit="1" customWidth="1"/>
    <col min="3" max="3" width="14.1796875" style="6" customWidth="1"/>
    <col min="4" max="4" width="16.54296875" style="6" customWidth="1"/>
    <col min="5" max="16384" width="8.7265625" style="6"/>
  </cols>
  <sheetData>
    <row r="2" spans="1:6" x14ac:dyDescent="0.35">
      <c r="A2" s="30" t="s">
        <v>86</v>
      </c>
    </row>
    <row r="4" spans="1:6" x14ac:dyDescent="0.35">
      <c r="A4" s="10" t="s">
        <v>18</v>
      </c>
    </row>
    <row r="6" spans="1:6" x14ac:dyDescent="0.35">
      <c r="A6" s="8" t="s">
        <v>19</v>
      </c>
      <c r="D6" s="9">
        <f>Forecast!F4</f>
        <v>4926.2033448000002</v>
      </c>
      <c r="F6" s="6" t="s">
        <v>101</v>
      </c>
    </row>
    <row r="8" spans="1:6" x14ac:dyDescent="0.35">
      <c r="A8" s="8" t="s">
        <v>99</v>
      </c>
      <c r="B8" s="38">
        <v>0.86</v>
      </c>
      <c r="C8" s="37" t="s">
        <v>100</v>
      </c>
    </row>
    <row r="9" spans="1:6" x14ac:dyDescent="0.35">
      <c r="B9" s="36"/>
      <c r="D9" s="6" t="s">
        <v>115</v>
      </c>
    </row>
    <row r="10" spans="1:6" x14ac:dyDescent="0.35">
      <c r="A10" s="8" t="s">
        <v>21</v>
      </c>
      <c r="B10" s="89">
        <f>Forecast!D5</f>
        <v>3.7999999999999999E-2</v>
      </c>
      <c r="C10" s="9"/>
    </row>
    <row r="11" spans="1:6" x14ac:dyDescent="0.35">
      <c r="B11" s="36"/>
    </row>
    <row r="12" spans="1:6" x14ac:dyDescent="0.35">
      <c r="A12" s="8" t="s">
        <v>22</v>
      </c>
      <c r="B12" s="39">
        <f>C26-C16</f>
        <v>2226.7578650127443</v>
      </c>
      <c r="C12" s="9"/>
    </row>
    <row r="13" spans="1:6" x14ac:dyDescent="0.35">
      <c r="A13" s="8" t="s">
        <v>23</v>
      </c>
      <c r="B13" s="39">
        <f>B12*(1000/8760)/0.86</f>
        <v>295.57686431622921</v>
      </c>
      <c r="F13" s="13"/>
    </row>
    <row r="15" spans="1:6" x14ac:dyDescent="0.35">
      <c r="F15" s="13"/>
    </row>
    <row r="16" spans="1:6" x14ac:dyDescent="0.35">
      <c r="B16" s="11">
        <v>2035</v>
      </c>
      <c r="C16" s="12">
        <f>D6</f>
        <v>4926.2033448000002</v>
      </c>
    </row>
    <row r="17" spans="2:3" x14ac:dyDescent="0.35">
      <c r="B17" s="6">
        <f>B16+1</f>
        <v>2036</v>
      </c>
      <c r="C17" s="9">
        <f t="shared" ref="C17:C26" si="0">C16+(C16*$B$10)</f>
        <v>5113.3990719024005</v>
      </c>
    </row>
    <row r="18" spans="2:3" x14ac:dyDescent="0.35">
      <c r="B18" s="6">
        <f t="shared" ref="B18:B26" si="1">B17+1</f>
        <v>2037</v>
      </c>
      <c r="C18" s="9">
        <f t="shared" si="0"/>
        <v>5307.7082366346913</v>
      </c>
    </row>
    <row r="19" spans="2:3" x14ac:dyDescent="0.35">
      <c r="B19" s="6">
        <f t="shared" si="1"/>
        <v>2038</v>
      </c>
      <c r="C19" s="9">
        <f t="shared" si="0"/>
        <v>5509.4011496268095</v>
      </c>
    </row>
    <row r="20" spans="2:3" x14ac:dyDescent="0.35">
      <c r="B20" s="6">
        <f t="shared" si="1"/>
        <v>2039</v>
      </c>
      <c r="C20" s="9">
        <f t="shared" si="0"/>
        <v>5718.758393312628</v>
      </c>
    </row>
    <row r="21" spans="2:3" x14ac:dyDescent="0.35">
      <c r="B21" s="6">
        <f t="shared" si="1"/>
        <v>2040</v>
      </c>
      <c r="C21" s="9">
        <f t="shared" si="0"/>
        <v>5936.0712122585082</v>
      </c>
    </row>
    <row r="22" spans="2:3" x14ac:dyDescent="0.35">
      <c r="B22" s="6">
        <f t="shared" si="1"/>
        <v>2041</v>
      </c>
      <c r="C22" s="9">
        <f t="shared" si="0"/>
        <v>6161.6419183243315</v>
      </c>
    </row>
    <row r="23" spans="2:3" x14ac:dyDescent="0.35">
      <c r="B23" s="6">
        <f t="shared" si="1"/>
        <v>2042</v>
      </c>
      <c r="C23" s="9">
        <f t="shared" si="0"/>
        <v>6395.7843112206565</v>
      </c>
    </row>
    <row r="24" spans="2:3" x14ac:dyDescent="0.35">
      <c r="B24" s="6">
        <f t="shared" si="1"/>
        <v>2043</v>
      </c>
      <c r="C24" s="9">
        <f t="shared" si="0"/>
        <v>6638.8241150470412</v>
      </c>
    </row>
    <row r="25" spans="2:3" x14ac:dyDescent="0.35">
      <c r="B25" s="6">
        <f t="shared" si="1"/>
        <v>2044</v>
      </c>
      <c r="C25" s="9">
        <f t="shared" si="0"/>
        <v>6891.0994314188292</v>
      </c>
    </row>
    <row r="26" spans="2:3" x14ac:dyDescent="0.35">
      <c r="B26" s="6">
        <f t="shared" si="1"/>
        <v>2045</v>
      </c>
      <c r="C26" s="9">
        <f t="shared" si="0"/>
        <v>7152.9612098127445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EC01-2B7B-4928-8EDE-EE9DA98DC5A9}">
  <sheetPr>
    <tabColor theme="7" tint="0.79998168889431442"/>
  </sheetPr>
  <dimension ref="A1:U24"/>
  <sheetViews>
    <sheetView workbookViewId="0">
      <selection activeCell="M27" sqref="M27"/>
    </sheetView>
  </sheetViews>
  <sheetFormatPr defaultRowHeight="14.5" x14ac:dyDescent="0.35"/>
  <cols>
    <col min="1" max="1" width="15.453125" customWidth="1"/>
    <col min="3" max="3" width="14.08984375" customWidth="1"/>
    <col min="4" max="4" width="14.1796875" customWidth="1"/>
    <col min="5" max="5" width="15.36328125" customWidth="1"/>
    <col min="6" max="6" width="18.90625" bestFit="1" customWidth="1"/>
    <col min="7" max="7" width="10.6328125" bestFit="1" customWidth="1"/>
    <col min="8" max="8" width="12.90625" bestFit="1" customWidth="1"/>
    <col min="10" max="21" width="9.36328125" bestFit="1" customWidth="1"/>
  </cols>
  <sheetData>
    <row r="1" spans="1:21" s="87" customFormat="1" ht="21" x14ac:dyDescent="0.5">
      <c r="A1" s="110" t="s">
        <v>150</v>
      </c>
      <c r="B1" s="88"/>
    </row>
    <row r="2" spans="1:21" ht="21" x14ac:dyDescent="0.5">
      <c r="A2" s="24" t="s">
        <v>87</v>
      </c>
    </row>
    <row r="3" spans="1:21" ht="32.25" customHeight="1" x14ac:dyDescent="0.35">
      <c r="A3" s="92" t="s">
        <v>37</v>
      </c>
      <c r="B3" s="92" t="s">
        <v>38</v>
      </c>
      <c r="C3" s="92" t="s">
        <v>39</v>
      </c>
      <c r="D3" s="92" t="s">
        <v>40</v>
      </c>
      <c r="E3" s="92" t="s">
        <v>41</v>
      </c>
      <c r="F3" s="92" t="s">
        <v>42</v>
      </c>
      <c r="G3" s="92" t="s">
        <v>43</v>
      </c>
      <c r="H3" s="92" t="s">
        <v>44</v>
      </c>
      <c r="I3" s="92" t="s">
        <v>45</v>
      </c>
      <c r="J3" s="92" t="s">
        <v>46</v>
      </c>
      <c r="K3" s="92" t="s">
        <v>47</v>
      </c>
      <c r="L3" s="92" t="s">
        <v>48</v>
      </c>
      <c r="M3" s="92" t="s">
        <v>49</v>
      </c>
      <c r="N3" s="92" t="s">
        <v>50</v>
      </c>
      <c r="O3" s="92" t="s">
        <v>51</v>
      </c>
      <c r="P3" s="92" t="s">
        <v>52</v>
      </c>
      <c r="Q3" s="92" t="s">
        <v>53</v>
      </c>
      <c r="R3" s="92" t="s">
        <v>54</v>
      </c>
      <c r="S3" s="92" t="s">
        <v>55</v>
      </c>
      <c r="T3" s="92" t="s">
        <v>56</v>
      </c>
      <c r="U3" s="92" t="s">
        <v>57</v>
      </c>
    </row>
    <row r="4" spans="1:21" x14ac:dyDescent="0.35">
      <c r="A4" s="109"/>
      <c r="B4" s="109"/>
      <c r="C4" s="109"/>
      <c r="D4" s="109"/>
      <c r="E4" s="109"/>
      <c r="F4" s="109"/>
      <c r="G4" s="91" t="s">
        <v>31</v>
      </c>
      <c r="H4" s="91" t="s">
        <v>58</v>
      </c>
      <c r="I4" s="91">
        <v>2024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x14ac:dyDescent="0.35">
      <c r="A5" s="109"/>
      <c r="B5" s="109"/>
      <c r="C5" s="109"/>
      <c r="D5" s="109"/>
      <c r="E5" s="109"/>
      <c r="F5" s="109"/>
      <c r="G5" s="91" t="s">
        <v>31</v>
      </c>
      <c r="H5" s="91" t="s">
        <v>58</v>
      </c>
      <c r="I5" s="91">
        <v>2024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1" x14ac:dyDescent="0.35">
      <c r="A6" s="109"/>
      <c r="B6" s="109"/>
      <c r="C6" s="109"/>
      <c r="D6" s="109"/>
      <c r="E6" s="109"/>
      <c r="F6" s="109"/>
      <c r="G6" s="91" t="s">
        <v>31</v>
      </c>
      <c r="H6" s="91" t="s">
        <v>58</v>
      </c>
      <c r="I6" s="91">
        <v>2024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</row>
    <row r="7" spans="1:21" x14ac:dyDescent="0.35">
      <c r="A7" s="109"/>
      <c r="B7" s="109"/>
      <c r="C7" s="109"/>
      <c r="D7" s="109"/>
      <c r="E7" s="109"/>
      <c r="F7" s="109"/>
      <c r="G7" s="91" t="s">
        <v>31</v>
      </c>
      <c r="H7" s="91" t="s">
        <v>58</v>
      </c>
      <c r="I7" s="91">
        <v>2024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1" x14ac:dyDescent="0.35">
      <c r="A8" s="109"/>
      <c r="B8" s="109"/>
      <c r="C8" s="109"/>
      <c r="D8" s="109"/>
      <c r="E8" s="109"/>
      <c r="F8" s="109"/>
      <c r="G8" s="91" t="s">
        <v>31</v>
      </c>
      <c r="H8" s="91" t="s">
        <v>58</v>
      </c>
      <c r="I8" s="91">
        <v>2024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x14ac:dyDescent="0.35">
      <c r="A9" s="109"/>
      <c r="B9" s="109"/>
      <c r="C9" s="109"/>
      <c r="D9" s="109"/>
      <c r="E9" s="109"/>
      <c r="F9" s="109"/>
      <c r="G9" s="91" t="s">
        <v>31</v>
      </c>
      <c r="H9" s="91" t="s">
        <v>58</v>
      </c>
      <c r="I9" s="91">
        <v>2024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</row>
    <row r="10" spans="1:21" x14ac:dyDescent="0.35">
      <c r="A10" s="109"/>
      <c r="B10" s="109"/>
      <c r="C10" s="109"/>
      <c r="D10" s="109"/>
      <c r="E10" s="109"/>
      <c r="F10" s="109"/>
      <c r="G10" s="91" t="s">
        <v>31</v>
      </c>
      <c r="H10" s="91" t="s">
        <v>58</v>
      </c>
      <c r="I10" s="91">
        <v>2024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</row>
    <row r="11" spans="1:21" x14ac:dyDescent="0.35">
      <c r="A11" s="109"/>
      <c r="B11" s="109"/>
      <c r="C11" s="109"/>
      <c r="D11" s="109"/>
      <c r="E11" s="109"/>
      <c r="F11" s="109"/>
      <c r="G11" s="91" t="s">
        <v>31</v>
      </c>
      <c r="H11" s="91" t="s">
        <v>58</v>
      </c>
      <c r="I11" s="91">
        <v>2024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</row>
    <row r="12" spans="1:21" x14ac:dyDescent="0.35">
      <c r="A12" s="109"/>
      <c r="B12" s="109"/>
      <c r="C12" s="109"/>
      <c r="D12" s="109"/>
      <c r="E12" s="109"/>
      <c r="F12" s="109"/>
      <c r="G12" s="91" t="s">
        <v>31</v>
      </c>
      <c r="H12" s="91" t="s">
        <v>58</v>
      </c>
      <c r="I12" s="91">
        <v>2024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</row>
    <row r="13" spans="1:21" x14ac:dyDescent="0.35">
      <c r="A13" s="109"/>
      <c r="B13" s="109"/>
      <c r="C13" s="109"/>
      <c r="D13" s="109"/>
      <c r="E13" s="109"/>
      <c r="F13" s="109"/>
      <c r="G13" s="91" t="s">
        <v>31</v>
      </c>
      <c r="H13" s="91" t="s">
        <v>58</v>
      </c>
      <c r="I13" s="91">
        <v>2024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</row>
    <row r="14" spans="1:21" x14ac:dyDescent="0.35">
      <c r="A14" s="109"/>
      <c r="B14" s="109"/>
      <c r="C14" s="109"/>
      <c r="D14" s="109"/>
      <c r="E14" s="109"/>
      <c r="F14" s="109"/>
      <c r="G14" s="91" t="s">
        <v>31</v>
      </c>
      <c r="H14" s="91" t="s">
        <v>58</v>
      </c>
      <c r="I14" s="91">
        <v>2024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1" x14ac:dyDescent="0.35">
      <c r="A15" s="109"/>
      <c r="B15" s="109"/>
      <c r="C15" s="109"/>
      <c r="D15" s="109"/>
      <c r="E15" s="109"/>
      <c r="F15" s="109"/>
      <c r="G15" s="91" t="s">
        <v>31</v>
      </c>
      <c r="H15" s="91" t="s">
        <v>58</v>
      </c>
      <c r="I15" s="91">
        <v>2024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</row>
    <row r="16" spans="1:21" x14ac:dyDescent="0.35">
      <c r="A16" s="109"/>
      <c r="B16" s="109"/>
      <c r="C16" s="109"/>
      <c r="D16" s="109"/>
      <c r="E16" s="109"/>
      <c r="F16" s="109"/>
      <c r="G16" s="91" t="s">
        <v>31</v>
      </c>
      <c r="H16" s="91" t="s">
        <v>58</v>
      </c>
      <c r="I16" s="91">
        <v>2024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</row>
    <row r="17" spans="1:21" x14ac:dyDescent="0.35">
      <c r="A17" s="109"/>
      <c r="B17" s="109"/>
      <c r="C17" s="109"/>
      <c r="D17" s="109"/>
      <c r="E17" s="109"/>
      <c r="F17" s="109"/>
      <c r="G17" s="91" t="s">
        <v>31</v>
      </c>
      <c r="H17" s="91" t="s">
        <v>58</v>
      </c>
      <c r="I17" s="91">
        <v>2024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</row>
    <row r="18" spans="1:21" x14ac:dyDescent="0.35">
      <c r="A18" s="109"/>
      <c r="B18" s="109"/>
      <c r="C18" s="109"/>
      <c r="D18" s="109"/>
      <c r="E18" s="109"/>
      <c r="F18" s="109"/>
      <c r="G18" s="91" t="s">
        <v>31</v>
      </c>
      <c r="H18" s="91" t="s">
        <v>58</v>
      </c>
      <c r="I18" s="91">
        <v>2024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spans="1:21" x14ac:dyDescent="0.35">
      <c r="A19" s="109"/>
      <c r="B19" s="109"/>
      <c r="C19" s="109"/>
      <c r="D19" s="109"/>
      <c r="E19" s="109"/>
      <c r="F19" s="109"/>
      <c r="G19" s="91" t="s">
        <v>31</v>
      </c>
      <c r="H19" s="91" t="s">
        <v>58</v>
      </c>
      <c r="I19" s="91">
        <v>2024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</row>
    <row r="20" spans="1:21" x14ac:dyDescent="0.35">
      <c r="A20" s="109"/>
      <c r="B20" s="109"/>
      <c r="C20" s="109"/>
      <c r="D20" s="109"/>
      <c r="E20" s="109"/>
      <c r="F20" s="109"/>
      <c r="G20" s="91" t="s">
        <v>31</v>
      </c>
      <c r="H20" s="91" t="s">
        <v>58</v>
      </c>
      <c r="I20" s="91">
        <v>2024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</row>
    <row r="21" spans="1:21" x14ac:dyDescent="0.35">
      <c r="A21" s="109"/>
      <c r="B21" s="109"/>
      <c r="C21" s="109"/>
      <c r="D21" s="109"/>
      <c r="E21" s="109"/>
      <c r="F21" s="109"/>
      <c r="G21" s="91" t="s">
        <v>31</v>
      </c>
      <c r="H21" s="91" t="s">
        <v>58</v>
      </c>
      <c r="I21" s="91">
        <v>2024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</row>
    <row r="22" spans="1:21" x14ac:dyDescent="0.35">
      <c r="A22" s="109"/>
      <c r="B22" s="109"/>
      <c r="C22" s="109"/>
      <c r="D22" s="109"/>
      <c r="E22" s="109"/>
      <c r="F22" s="109"/>
      <c r="G22" s="91" t="s">
        <v>31</v>
      </c>
      <c r="H22" s="91" t="s">
        <v>58</v>
      </c>
      <c r="I22" s="91">
        <v>2024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</row>
    <row r="23" spans="1:21" x14ac:dyDescent="0.35">
      <c r="I23" s="31" t="s">
        <v>59</v>
      </c>
      <c r="J23">
        <f t="shared" ref="J23:U23" si="0">SUM(J12:J22,J10,J8,J5:J6)</f>
        <v>0</v>
      </c>
      <c r="K23">
        <v>9.7520000000000007</v>
      </c>
      <c r="L23" s="31">
        <v>20.526</v>
      </c>
      <c r="M23" s="31">
        <v>15.319000000000001</v>
      </c>
      <c r="N23" s="31">
        <v>4.8689999999999998</v>
      </c>
      <c r="O23" s="31">
        <v>2.2000000000000002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f t="shared" si="0"/>
        <v>0</v>
      </c>
    </row>
    <row r="24" spans="1:21" x14ac:dyDescent="0.35">
      <c r="C24" t="s">
        <v>88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Forecast</vt:lpstr>
      <vt:lpstr>Final Project List</vt:lpstr>
      <vt:lpstr>Long-Term Growth Scenarios</vt:lpstr>
      <vt:lpstr>Existing Data Centers</vt:lpstr>
      <vt:lpstr>Assumption Calculations</vt:lpstr>
      <vt:lpstr>PY24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James Dean</dc:creator>
  <cp:lastModifiedBy>Elliot James Dean</cp:lastModifiedBy>
  <dcterms:created xsi:type="dcterms:W3CDTF">2015-06-05T18:17:20Z</dcterms:created>
  <dcterms:modified xsi:type="dcterms:W3CDTF">2024-11-18T17:37:31Z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2024-11-18T15:44:38Z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f1c9489c-5010-41dc-838d-f542787d22db</vt:lpwstr>
  </property>
  <property fmtid="{D5CDD505-2E9C-101B-9397-08002B2CF9AE}" pid="8" name="MSIP_Label_bc3dd1c7-2c40-4a31-84b2-bec599b321a0_ContentBits">
    <vt:lpwstr>0</vt:lpwstr>
  </property>
</Properties>
</file>