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aenergy-my.sharepoint.com/personal/lynn_marshall_energy_ca_gov/Documents/Documents/CED 2023/CARB/"/>
    </mc:Choice>
  </mc:AlternateContent>
  <xr:revisionPtr revIDLastSave="43" documentId="8_{4B1781FF-8D0B-46A5-AAA3-916D2E462697}" xr6:coauthVersionLast="47" xr6:coauthVersionMax="47" xr10:uidLastSave="{D383F824-AF97-4610-8FF2-1096E2D10039}"/>
  <bookViews>
    <workbookView xWindow="-108" yWindow="-108" windowWidth="23256" windowHeight="14016" xr2:uid="{4537F8D1-31C7-4A5E-907B-80281A74F280}"/>
  </bookViews>
  <sheets>
    <sheet name="Cover" sheetId="1" r:id="rId1"/>
    <sheet name="GHG Price Calculations" sheetId="2" r:id="rId2"/>
    <sheet name="Auction Data" sheetId="3" r:id="rId3"/>
  </sheets>
  <definedNames>
    <definedName name="DEFL">#REF!</definedName>
    <definedName name="_xlnm.Print_Area" localSheetId="2">'Auction Data'!$A$1:$I$63</definedName>
    <definedName name="_xlnm.Print_Area" localSheetId="1">'GHG Price Calculations'!$A$3:$S$65</definedName>
    <definedName name="_xlnm.Print_Titles" localSheetId="1">'GHG Price Calculations'!$A:$A,'GHG Price Calculations'!$5:$5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2" l="1"/>
  <c r="I45" i="2"/>
  <c r="J45" i="2"/>
  <c r="K45" i="2"/>
  <c r="L45" i="2"/>
  <c r="M45" i="2"/>
  <c r="N45" i="2"/>
  <c r="O45" i="2"/>
  <c r="P45" i="2"/>
  <c r="Q45" i="2"/>
  <c r="R45" i="2"/>
  <c r="S45" i="2"/>
  <c r="T45" i="2"/>
  <c r="U45" i="2"/>
  <c r="V45" i="2"/>
  <c r="W45" i="2"/>
  <c r="X45" i="2"/>
  <c r="Y45" i="2"/>
  <c r="Z45" i="2"/>
  <c r="AA45" i="2"/>
  <c r="AB45" i="2"/>
  <c r="AC45" i="2"/>
  <c r="AD45" i="2"/>
  <c r="AE45" i="2"/>
  <c r="AF45" i="2"/>
  <c r="AG45" i="2"/>
  <c r="AH45" i="2"/>
  <c r="AI45" i="2"/>
  <c r="AJ45" i="2"/>
  <c r="AK45" i="2"/>
  <c r="H46" i="2"/>
  <c r="I46" i="2"/>
  <c r="J46" i="2"/>
  <c r="K46" i="2"/>
  <c r="L46" i="2"/>
  <c r="M46" i="2"/>
  <c r="N46" i="2"/>
  <c r="O46" i="2"/>
  <c r="P46" i="2"/>
  <c r="Q46" i="2"/>
  <c r="R46" i="2"/>
  <c r="S46" i="2"/>
  <c r="T46" i="2"/>
  <c r="U46" i="2"/>
  <c r="V46" i="2"/>
  <c r="W46" i="2"/>
  <c r="X46" i="2"/>
  <c r="Y46" i="2"/>
  <c r="Z46" i="2"/>
  <c r="AA46" i="2"/>
  <c r="AB46" i="2"/>
  <c r="AC46" i="2"/>
  <c r="AD46" i="2"/>
  <c r="AE46" i="2"/>
  <c r="AF46" i="2"/>
  <c r="AG46" i="2"/>
  <c r="AH46" i="2"/>
  <c r="AI46" i="2"/>
  <c r="AJ46" i="2"/>
  <c r="AK46" i="2"/>
  <c r="H47" i="2"/>
  <c r="I47" i="2"/>
  <c r="J47" i="2"/>
  <c r="K47" i="2"/>
  <c r="L47" i="2"/>
  <c r="M47" i="2"/>
  <c r="N47" i="2"/>
  <c r="O47" i="2"/>
  <c r="Q47" i="2"/>
  <c r="R47" i="2"/>
  <c r="S47" i="2"/>
  <c r="T47" i="2"/>
  <c r="U47" i="2"/>
  <c r="V47" i="2"/>
  <c r="W47" i="2"/>
  <c r="X47" i="2"/>
  <c r="Y47" i="2"/>
  <c r="Z47" i="2"/>
  <c r="AA47" i="2"/>
  <c r="AB47" i="2"/>
  <c r="AC47" i="2"/>
  <c r="AD47" i="2"/>
  <c r="AE47" i="2"/>
  <c r="AF47" i="2"/>
  <c r="AG47" i="2"/>
  <c r="AH47" i="2"/>
  <c r="AI47" i="2"/>
  <c r="AJ47" i="2"/>
  <c r="AK47" i="2"/>
  <c r="AL45" i="2"/>
  <c r="AM45" i="2"/>
  <c r="AL46" i="2"/>
  <c r="AM46" i="2"/>
  <c r="G47" i="2"/>
  <c r="AL47" i="2"/>
  <c r="AM47" i="2"/>
  <c r="E55" i="3"/>
  <c r="E54" i="3"/>
  <c r="I49" i="3"/>
  <c r="I48" i="3"/>
  <c r="I47" i="3"/>
  <c r="I46" i="3"/>
  <c r="I45" i="3"/>
  <c r="I44" i="3"/>
  <c r="I43" i="3"/>
  <c r="I42" i="3"/>
  <c r="I41" i="3"/>
  <c r="I40" i="3"/>
  <c r="I39" i="3"/>
  <c r="I38" i="3"/>
  <c r="I37" i="3"/>
  <c r="A37" i="3"/>
  <c r="A41" i="3" s="1"/>
  <c r="A45" i="3" s="1"/>
  <c r="I36" i="3"/>
  <c r="I35" i="3"/>
  <c r="I34" i="3"/>
  <c r="I33" i="3"/>
  <c r="A33" i="3"/>
  <c r="I32" i="3"/>
  <c r="I31" i="3"/>
  <c r="I30" i="3"/>
  <c r="A30" i="3"/>
  <c r="I29" i="3"/>
  <c r="I28" i="3"/>
  <c r="I27" i="3"/>
  <c r="I26" i="3"/>
  <c r="I25" i="3"/>
  <c r="I24" i="3"/>
  <c r="I23" i="3"/>
  <c r="I22" i="3"/>
  <c r="I21" i="3"/>
  <c r="I20" i="3"/>
  <c r="I19" i="3"/>
  <c r="I18" i="3"/>
  <c r="I17" i="3"/>
  <c r="I16" i="3"/>
  <c r="I15" i="3"/>
  <c r="I14" i="3"/>
  <c r="I13" i="3"/>
  <c r="I12" i="3"/>
  <c r="I11" i="3"/>
  <c r="I10" i="3"/>
  <c r="I9" i="3"/>
  <c r="I8" i="3"/>
  <c r="I7" i="3"/>
  <c r="I6" i="3"/>
  <c r="C58" i="2"/>
  <c r="B58" i="2"/>
  <c r="D58" i="2" s="1"/>
  <c r="D55" i="2"/>
  <c r="A54" i="2"/>
  <c r="C55" i="2" s="1"/>
  <c r="C50" i="2"/>
  <c r="A50" i="2"/>
  <c r="A49" i="2"/>
  <c r="C47" i="2"/>
  <c r="B47" i="2"/>
  <c r="B50" i="2" s="1"/>
  <c r="D50" i="2" s="1"/>
  <c r="C46" i="2"/>
  <c r="AM32" i="2"/>
  <c r="AL32" i="2"/>
  <c r="AK32" i="2"/>
  <c r="AJ32" i="2"/>
  <c r="AI32" i="2"/>
  <c r="AH32" i="2"/>
  <c r="AG32" i="2"/>
  <c r="AF32" i="2"/>
  <c r="AE32" i="2"/>
  <c r="AD32" i="2"/>
  <c r="AC32" i="2"/>
  <c r="AB32" i="2"/>
  <c r="AA32" i="2"/>
  <c r="Z32" i="2"/>
  <c r="Y32" i="2"/>
  <c r="X32" i="2"/>
  <c r="W32" i="2"/>
  <c r="V32" i="2"/>
  <c r="U32" i="2"/>
  <c r="T32" i="2"/>
  <c r="S32" i="2"/>
  <c r="R32" i="2"/>
  <c r="Q32" i="2"/>
  <c r="P32" i="2"/>
  <c r="O32" i="2"/>
  <c r="N32" i="2"/>
  <c r="M32" i="2"/>
  <c r="L32" i="2"/>
  <c r="K32" i="2"/>
  <c r="J32" i="2"/>
  <c r="I32" i="2"/>
  <c r="H32" i="2"/>
  <c r="G32" i="2"/>
  <c r="F32" i="2"/>
  <c r="E32" i="2"/>
  <c r="D32" i="2"/>
  <c r="C32" i="2"/>
  <c r="K30" i="2"/>
  <c r="J30" i="2"/>
  <c r="A30" i="2"/>
  <c r="K29" i="2"/>
  <c r="J29" i="2"/>
  <c r="C29" i="2"/>
  <c r="B29" i="2"/>
  <c r="L28" i="2"/>
  <c r="K28" i="2"/>
  <c r="J28" i="2"/>
  <c r="I28" i="2"/>
  <c r="H28" i="2"/>
  <c r="G28" i="2"/>
  <c r="F28" i="2"/>
  <c r="E28" i="2"/>
  <c r="D28" i="2"/>
  <c r="C28" i="2"/>
  <c r="B28" i="2"/>
  <c r="L24" i="2"/>
  <c r="J24" i="2"/>
  <c r="H24" i="2"/>
  <c r="G24" i="2"/>
  <c r="A23" i="2"/>
  <c r="AG22" i="2"/>
  <c r="AF22" i="2"/>
  <c r="AE22" i="2"/>
  <c r="AD22" i="2"/>
  <c r="AC22" i="2"/>
  <c r="AB22" i="2"/>
  <c r="AA22" i="2"/>
  <c r="Z22" i="2"/>
  <c r="Y22" i="2"/>
  <c r="X22" i="2"/>
  <c r="W22" i="2"/>
  <c r="V22" i="2"/>
  <c r="U22" i="2"/>
  <c r="T22" i="2"/>
  <c r="S22" i="2"/>
  <c r="R22" i="2"/>
  <c r="Q22" i="2"/>
  <c r="P22" i="2"/>
  <c r="O22" i="2"/>
  <c r="N22" i="2"/>
  <c r="AM18" i="2"/>
  <c r="AL18" i="2"/>
  <c r="AK18" i="2"/>
  <c r="AJ18" i="2"/>
  <c r="AI18" i="2"/>
  <c r="AH18" i="2"/>
  <c r="AG18" i="2"/>
  <c r="AF18" i="2"/>
  <c r="AE18" i="2"/>
  <c r="AD18" i="2"/>
  <c r="AC18" i="2"/>
  <c r="AB18" i="2"/>
  <c r="AA18" i="2"/>
  <c r="Z18" i="2"/>
  <c r="Y18" i="2"/>
  <c r="X18" i="2"/>
  <c r="W18" i="2"/>
  <c r="V18" i="2"/>
  <c r="U18" i="2"/>
  <c r="T18" i="2"/>
  <c r="S18" i="2"/>
  <c r="R18" i="2"/>
  <c r="Q18" i="2"/>
  <c r="P18" i="2"/>
  <c r="O18" i="2"/>
  <c r="N18" i="2"/>
  <c r="M18" i="2"/>
  <c r="L18" i="2"/>
  <c r="M15" i="2" s="1"/>
  <c r="N15" i="2" s="1"/>
  <c r="O15" i="2" s="1"/>
  <c r="P15" i="2" s="1"/>
  <c r="Q15" i="2" s="1"/>
  <c r="R15" i="2" s="1"/>
  <c r="S15" i="2" s="1"/>
  <c r="K18" i="2"/>
  <c r="J18" i="2"/>
  <c r="I18" i="2"/>
  <c r="H18" i="2"/>
  <c r="G18" i="2"/>
  <c r="F18" i="2"/>
  <c r="E18" i="2"/>
  <c r="D18" i="2"/>
  <c r="D13" i="2" s="1"/>
  <c r="C18" i="2"/>
  <c r="M16" i="2"/>
  <c r="N16" i="2" s="1"/>
  <c r="O16" i="2" s="1"/>
  <c r="P16" i="2" s="1"/>
  <c r="Q16" i="2" s="1"/>
  <c r="R16" i="2" s="1"/>
  <c r="S16" i="2" s="1"/>
  <c r="T16" i="2" s="1"/>
  <c r="U16" i="2" s="1"/>
  <c r="V16" i="2" s="1"/>
  <c r="W16" i="2" s="1"/>
  <c r="X16" i="2" s="1"/>
  <c r="Y16" i="2" s="1"/>
  <c r="Z16" i="2" s="1"/>
  <c r="AA16" i="2" s="1"/>
  <c r="AB16" i="2" s="1"/>
  <c r="AC16" i="2" s="1"/>
  <c r="AD16" i="2" s="1"/>
  <c r="AE16" i="2" s="1"/>
  <c r="AF16" i="2" s="1"/>
  <c r="AG16" i="2" s="1"/>
  <c r="AH16" i="2" s="1"/>
  <c r="AI16" i="2" s="1"/>
  <c r="AJ16" i="2" s="1"/>
  <c r="AK16" i="2" s="1"/>
  <c r="AL16" i="2" s="1"/>
  <c r="AM16" i="2" s="1"/>
  <c r="L16" i="2"/>
  <c r="L15" i="2"/>
  <c r="L14" i="2"/>
  <c r="L30" i="2" s="1"/>
  <c r="L13" i="2"/>
  <c r="L29" i="2" s="1"/>
  <c r="M12" i="2"/>
  <c r="M7" i="2" s="1"/>
  <c r="M24" i="2" s="1"/>
  <c r="L7" i="2"/>
  <c r="K7" i="2"/>
  <c r="K24" i="2" s="1"/>
  <c r="J7" i="2"/>
  <c r="I7" i="2"/>
  <c r="I24" i="2" s="1"/>
  <c r="H7" i="2"/>
  <c r="G7" i="2"/>
  <c r="F7" i="2"/>
  <c r="F24" i="2" s="1"/>
  <c r="E7" i="2"/>
  <c r="E24" i="2" s="1"/>
  <c r="D7" i="2"/>
  <c r="D24" i="2" s="1"/>
  <c r="C7" i="2"/>
  <c r="C24" i="2" s="1"/>
  <c r="B7" i="2"/>
  <c r="B24" i="2" s="1"/>
  <c r="AH5" i="2"/>
  <c r="D47" i="2" l="1"/>
  <c r="T15" i="2"/>
  <c r="E56" i="3"/>
  <c r="N12" i="2"/>
  <c r="M28" i="2"/>
  <c r="M14" i="2"/>
  <c r="M13" i="2"/>
  <c r="E13" i="2"/>
  <c r="D29" i="2"/>
  <c r="AI5" i="2"/>
  <c r="AH22" i="2"/>
  <c r="A34" i="3"/>
  <c r="A38" i="3" s="1"/>
  <c r="A42" i="3" s="1"/>
  <c r="A46" i="3" s="1"/>
  <c r="A31" i="3"/>
  <c r="AJ5" i="2" l="1"/>
  <c r="AI22" i="2"/>
  <c r="E29" i="2"/>
  <c r="F13" i="2"/>
  <c r="M29" i="2"/>
  <c r="N13" i="2"/>
  <c r="M30" i="2"/>
  <c r="N14" i="2"/>
  <c r="N7" i="2"/>
  <c r="N24" i="2" s="1"/>
  <c r="N28" i="2"/>
  <c r="O12" i="2"/>
  <c r="E57" i="3"/>
  <c r="A32" i="3"/>
  <c r="A35" i="3"/>
  <c r="A39" i="3" s="1"/>
  <c r="A43" i="3" s="1"/>
  <c r="A47" i="3" s="1"/>
  <c r="U15" i="2"/>
  <c r="V15" i="2" l="1"/>
  <c r="O7" i="2"/>
  <c r="O24" i="2" s="1"/>
  <c r="P12" i="2"/>
  <c r="O28" i="2"/>
  <c r="N30" i="2"/>
  <c r="O14" i="2"/>
  <c r="O13" i="2"/>
  <c r="N29" i="2"/>
  <c r="G13" i="2"/>
  <c r="F29" i="2"/>
  <c r="A36" i="3"/>
  <c r="E58" i="3"/>
  <c r="AK5" i="2"/>
  <c r="AJ22" i="2"/>
  <c r="A40" i="3" l="1"/>
  <c r="G29" i="2"/>
  <c r="H13" i="2"/>
  <c r="P13" i="2"/>
  <c r="O29" i="2"/>
  <c r="O30" i="2"/>
  <c r="P14" i="2"/>
  <c r="P7" i="2"/>
  <c r="P24" i="2" s="1"/>
  <c r="P28" i="2"/>
  <c r="Q12" i="2"/>
  <c r="AL5" i="2"/>
  <c r="AK22" i="2"/>
  <c r="E59" i="3"/>
  <c r="W15" i="2"/>
  <c r="Q7" i="2" l="1"/>
  <c r="Q24" i="2" s="1"/>
  <c r="R12" i="2"/>
  <c r="Q28" i="2"/>
  <c r="X15" i="2"/>
  <c r="P30" i="2"/>
  <c r="Q14" i="2"/>
  <c r="Q13" i="2"/>
  <c r="P29" i="2"/>
  <c r="H29" i="2"/>
  <c r="I13" i="2"/>
  <c r="I29" i="2" s="1"/>
  <c r="E60" i="3"/>
  <c r="AM5" i="2"/>
  <c r="AL22" i="2"/>
  <c r="A44" i="3"/>
  <c r="AM22" i="2" l="1"/>
  <c r="R13" i="2"/>
  <c r="Q29" i="2"/>
  <c r="A48" i="3"/>
  <c r="F65" i="3"/>
  <c r="F64" i="3"/>
  <c r="F56" i="3"/>
  <c r="G58" i="3"/>
  <c r="F63" i="3"/>
  <c r="F58" i="3"/>
  <c r="F54" i="3"/>
  <c r="F62" i="3"/>
  <c r="F53" i="3"/>
  <c r="G56" i="3"/>
  <c r="H56" i="3" s="1"/>
  <c r="E11" i="2" s="1"/>
  <c r="G64" i="3"/>
  <c r="H64" i="3" s="1"/>
  <c r="G63" i="3"/>
  <c r="H63" i="3" s="1"/>
  <c r="G54" i="3"/>
  <c r="H54" i="3" s="1"/>
  <c r="C11" i="2" s="1"/>
  <c r="G53" i="3"/>
  <c r="H53" i="3" s="1"/>
  <c r="B11" i="2" s="1"/>
  <c r="F55" i="3"/>
  <c r="Q30" i="2"/>
  <c r="R14" i="2"/>
  <c r="E61" i="3"/>
  <c r="L11" i="2" s="1"/>
  <c r="G60" i="3"/>
  <c r="H60" i="3" s="1"/>
  <c r="F60" i="3"/>
  <c r="Y15" i="2"/>
  <c r="B57" i="2"/>
  <c r="D57" i="2" s="1"/>
  <c r="E57" i="2" s="1" a="1"/>
  <c r="F57" i="3"/>
  <c r="S12" i="2"/>
  <c r="R28" i="2"/>
  <c r="R7" i="2"/>
  <c r="R24" i="2" s="1"/>
  <c r="L6" i="2" l="1"/>
  <c r="L23" i="2"/>
  <c r="C23" i="2"/>
  <c r="C6" i="2"/>
  <c r="T12" i="2"/>
  <c r="S28" i="2"/>
  <c r="S7" i="2"/>
  <c r="S24" i="2" s="1"/>
  <c r="H58" i="3"/>
  <c r="G11" i="2" s="1"/>
  <c r="B6" i="2"/>
  <c r="B23" i="2"/>
  <c r="G65" i="3"/>
  <c r="H65" i="3" s="1"/>
  <c r="I11" i="2" s="1"/>
  <c r="G57" i="3"/>
  <c r="H57" i="3" s="1"/>
  <c r="F11" i="2" s="1"/>
  <c r="F59" i="3"/>
  <c r="G62" i="3"/>
  <c r="H62" i="3" s="1"/>
  <c r="K11" i="2" s="1"/>
  <c r="G55" i="3"/>
  <c r="H55" i="3" s="1"/>
  <c r="D11" i="2" s="1"/>
  <c r="S13" i="2"/>
  <c r="R29" i="2"/>
  <c r="E59" i="2"/>
  <c r="F58" i="2"/>
  <c r="E58" i="2"/>
  <c r="F57" i="2"/>
  <c r="F59" i="2"/>
  <c r="E57" i="2"/>
  <c r="Z15" i="2"/>
  <c r="F61" i="3"/>
  <c r="G61" i="3"/>
  <c r="S14" i="2"/>
  <c r="R30" i="2"/>
  <c r="E23" i="2"/>
  <c r="E6" i="2"/>
  <c r="G59" i="3"/>
  <c r="F6" i="2" l="1"/>
  <c r="F23" i="2"/>
  <c r="I23" i="2"/>
  <c r="I6" i="2"/>
  <c r="T14" i="2"/>
  <c r="B46" i="2"/>
  <c r="S30" i="2"/>
  <c r="D6" i="2"/>
  <c r="D23" i="2"/>
  <c r="G6" i="2"/>
  <c r="G23" i="2"/>
  <c r="K6" i="2"/>
  <c r="K23" i="2"/>
  <c r="U12" i="2"/>
  <c r="T28" i="2"/>
  <c r="T7" i="2"/>
  <c r="T24" i="2" s="1"/>
  <c r="S29" i="2"/>
  <c r="T13" i="2"/>
  <c r="H59" i="3"/>
  <c r="H11" i="2" s="1"/>
  <c r="H61" i="3"/>
  <c r="J11" i="2" s="1"/>
  <c r="AA15" i="2"/>
  <c r="B45" i="2"/>
  <c r="D45" i="2" s="1"/>
  <c r="B54" i="2"/>
  <c r="D54" i="2" s="1"/>
  <c r="E54" i="2" s="1" a="1"/>
  <c r="J23" i="2" l="1"/>
  <c r="J6" i="2"/>
  <c r="B49" i="2"/>
  <c r="D49" i="2" s="1"/>
  <c r="E49" i="2" s="1" a="1"/>
  <c r="D46" i="2"/>
  <c r="E45" i="2" s="1" a="1"/>
  <c r="T29" i="2"/>
  <c r="U13" i="2"/>
  <c r="U14" i="2"/>
  <c r="T30" i="2"/>
  <c r="T8" i="2"/>
  <c r="H6" i="2"/>
  <c r="H23" i="2"/>
  <c r="E56" i="2"/>
  <c r="F56" i="2"/>
  <c r="F55" i="2"/>
  <c r="E55" i="2"/>
  <c r="F54" i="2"/>
  <c r="E54" i="2"/>
  <c r="U28" i="2"/>
  <c r="V12" i="2"/>
  <c r="U7" i="2"/>
  <c r="U24" i="2" s="1"/>
  <c r="AB15" i="2"/>
  <c r="V14" i="2" l="1"/>
  <c r="U8" i="2"/>
  <c r="U30" i="2"/>
  <c r="U29" i="2"/>
  <c r="V13" i="2"/>
  <c r="F45" i="2"/>
  <c r="E45" i="2"/>
  <c r="E47" i="2"/>
  <c r="F46" i="2"/>
  <c r="F47" i="2"/>
  <c r="E46" i="2"/>
  <c r="AC15" i="2"/>
  <c r="T25" i="2"/>
  <c r="F50" i="2"/>
  <c r="E50" i="2"/>
  <c r="F49" i="2"/>
  <c r="E49" i="2"/>
  <c r="F51" i="2"/>
  <c r="E51" i="2"/>
  <c r="W12" i="2"/>
  <c r="V28" i="2"/>
  <c r="V7" i="2"/>
  <c r="V24" i="2" s="1"/>
  <c r="V29" i="2" l="1"/>
  <c r="W13" i="2"/>
  <c r="X12" i="2"/>
  <c r="W28" i="2"/>
  <c r="W7" i="2"/>
  <c r="W14" i="2"/>
  <c r="V30" i="2"/>
  <c r="V8" i="2"/>
  <c r="AD15" i="2"/>
  <c r="U25" i="2"/>
  <c r="N8" i="2"/>
  <c r="S8" i="2"/>
  <c r="R8" i="2"/>
  <c r="P8" i="2"/>
  <c r="Q8" i="2"/>
  <c r="O8" i="2"/>
  <c r="M8" i="2"/>
  <c r="M25" i="2" s="1"/>
  <c r="S25" i="2" l="1"/>
  <c r="O25" i="2"/>
  <c r="Q25" i="2"/>
  <c r="N25" i="2"/>
  <c r="R25" i="2"/>
  <c r="V25" i="2"/>
  <c r="W8" i="2"/>
  <c r="X14" i="2"/>
  <c r="W30" i="2"/>
  <c r="W24" i="2"/>
  <c r="Y12" i="2"/>
  <c r="X28" i="2"/>
  <c r="X7" i="2"/>
  <c r="W29" i="2"/>
  <c r="X13" i="2"/>
  <c r="P25" i="2"/>
  <c r="AE15" i="2"/>
  <c r="W25" i="2" l="1"/>
  <c r="AF15" i="2"/>
  <c r="X24" i="2"/>
  <c r="Y28" i="2"/>
  <c r="Z12" i="2"/>
  <c r="Y7" i="2"/>
  <c r="X8" i="2"/>
  <c r="X30" i="2"/>
  <c r="Y14" i="2"/>
  <c r="Y13" i="2"/>
  <c r="X29" i="2"/>
  <c r="Y8" i="2" l="1"/>
  <c r="Z14" i="2"/>
  <c r="Y30" i="2"/>
  <c r="Y24" i="2"/>
  <c r="Z28" i="2"/>
  <c r="AA12" i="2"/>
  <c r="Z7" i="2"/>
  <c r="Z13" i="2"/>
  <c r="Y29" i="2"/>
  <c r="X25" i="2"/>
  <c r="AG15" i="2"/>
  <c r="Z29" i="2" l="1"/>
  <c r="AA13" i="2"/>
  <c r="AH15" i="2"/>
  <c r="Z24" i="2"/>
  <c r="AA7" i="2"/>
  <c r="AB12" i="2"/>
  <c r="AA28" i="2"/>
  <c r="Z8" i="2"/>
  <c r="AA14" i="2"/>
  <c r="Z30" i="2"/>
  <c r="Y25" i="2"/>
  <c r="Z25" i="2" l="1"/>
  <c r="AA8" i="2"/>
  <c r="AB14" i="2"/>
  <c r="AA30" i="2"/>
  <c r="AB7" i="2"/>
  <c r="AC12" i="2"/>
  <c r="AB28" i="2"/>
  <c r="AA24" i="2"/>
  <c r="AI15" i="2"/>
  <c r="AA29" i="2"/>
  <c r="AB13" i="2"/>
  <c r="AJ15" i="2" l="1"/>
  <c r="AB24" i="2"/>
  <c r="AB8" i="2"/>
  <c r="AB30" i="2"/>
  <c r="AC14" i="2"/>
  <c r="AA25" i="2"/>
  <c r="AB29" i="2"/>
  <c r="AC13" i="2"/>
  <c r="AC28" i="2"/>
  <c r="AC7" i="2"/>
  <c r="AD12" i="2"/>
  <c r="AD13" i="2" l="1"/>
  <c r="AC29" i="2"/>
  <c r="AC24" i="2"/>
  <c r="AD7" i="2"/>
  <c r="AD28" i="2"/>
  <c r="AE12" i="2"/>
  <c r="AC8" i="2"/>
  <c r="AC30" i="2"/>
  <c r="AD14" i="2"/>
  <c r="AB25" i="2"/>
  <c r="AK15" i="2"/>
  <c r="AE7" i="2" l="1"/>
  <c r="AE28" i="2"/>
  <c r="AF12" i="2"/>
  <c r="AD8" i="2"/>
  <c r="AD25" i="2" s="1"/>
  <c r="AD30" i="2"/>
  <c r="AE14" i="2"/>
  <c r="AL15" i="2"/>
  <c r="AC25" i="2"/>
  <c r="AD24" i="2"/>
  <c r="AE13" i="2"/>
  <c r="AD29" i="2"/>
  <c r="AF13" i="2" l="1"/>
  <c r="AE29" i="2"/>
  <c r="AM15" i="2"/>
  <c r="AE30" i="2"/>
  <c r="AE8" i="2"/>
  <c r="AE25" i="2" s="1"/>
  <c r="AF14" i="2"/>
  <c r="AF7" i="2"/>
  <c r="AG12" i="2"/>
  <c r="AF28" i="2"/>
  <c r="AE24" i="2"/>
  <c r="AF30" i="2" l="1"/>
  <c r="AF8" i="2"/>
  <c r="AF25" i="2" s="1"/>
  <c r="AG14" i="2"/>
  <c r="AG7" i="2"/>
  <c r="AH12" i="2"/>
  <c r="AG28" i="2"/>
  <c r="AF24" i="2"/>
  <c r="AF29" i="2"/>
  <c r="AG13" i="2"/>
  <c r="AG29" i="2" l="1"/>
  <c r="AH13" i="2"/>
  <c r="AG30" i="2"/>
  <c r="AH14" i="2"/>
  <c r="AG8" i="2"/>
  <c r="AG25" i="2" s="1"/>
  <c r="AH7" i="2"/>
  <c r="AI12" i="2"/>
  <c r="AH28" i="2"/>
  <c r="AG24" i="2"/>
  <c r="AI7" i="2" l="1"/>
  <c r="AJ12" i="2"/>
  <c r="AI28" i="2"/>
  <c r="AH24" i="2"/>
  <c r="AI13" i="2"/>
  <c r="AH29" i="2"/>
  <c r="AH30" i="2"/>
  <c r="AH8" i="2"/>
  <c r="AH25" i="2" s="1"/>
  <c r="AI14" i="2"/>
  <c r="AI30" i="2" l="1"/>
  <c r="AJ14" i="2"/>
  <c r="AI8" i="2"/>
  <c r="AI25" i="2" s="1"/>
  <c r="AI29" i="2"/>
  <c r="AJ13" i="2"/>
  <c r="AJ7" i="2"/>
  <c r="AK12" i="2"/>
  <c r="AJ28" i="2"/>
  <c r="AI24" i="2"/>
  <c r="AK7" i="2" l="1"/>
  <c r="AL12" i="2"/>
  <c r="AK28" i="2"/>
  <c r="AJ24" i="2"/>
  <c r="AJ29" i="2"/>
  <c r="AK13" i="2"/>
  <c r="AJ30" i="2"/>
  <c r="AK14" i="2"/>
  <c r="AJ8" i="2"/>
  <c r="AJ25" i="2" s="1"/>
  <c r="AK30" i="2" l="1"/>
  <c r="AL14" i="2"/>
  <c r="AK8" i="2"/>
  <c r="AK25" i="2" s="1"/>
  <c r="AK29" i="2"/>
  <c r="AL13" i="2"/>
  <c r="AM12" i="2"/>
  <c r="AL28" i="2"/>
  <c r="AL7" i="2"/>
  <c r="AK24" i="2"/>
  <c r="AL24" i="2" l="1"/>
  <c r="AM28" i="2"/>
  <c r="AM7" i="2"/>
  <c r="AL29" i="2"/>
  <c r="AM13" i="2"/>
  <c r="AM29" i="2" s="1"/>
  <c r="AM14" i="2"/>
  <c r="AL30" i="2"/>
  <c r="AL8" i="2"/>
  <c r="AL25" i="2" s="1"/>
  <c r="AM8" i="2" l="1"/>
  <c r="AM25" i="2" s="1"/>
  <c r="AM30" i="2"/>
  <c r="AM24" i="2"/>
</calcChain>
</file>

<file path=xl/sharedStrings.xml><?xml version="1.0" encoding="utf-8"?>
<sst xmlns="http://schemas.openxmlformats.org/spreadsheetml/2006/main" count="101" uniqueCount="98">
  <si>
    <t>PROPOSED AMENDMENTS TO THE CALIFORNIA CAP ON GREENHOUSE GAS EMISSIONS AND</t>
  </si>
  <si>
    <t>MARKET-BASED COMPLIANCE MECHANISMS</t>
  </si>
  <si>
    <t>Preliminary 2023 IEPR GHG Allowance Price Projections</t>
  </si>
  <si>
    <r>
      <t xml:space="preserve">Carbon Price </t>
    </r>
    <r>
      <rPr>
        <b/>
        <sz val="11"/>
        <color indexed="8"/>
        <rFont val="Calibri"/>
        <family val="2"/>
      </rPr>
      <t>(Nominal$/metric ton CO</t>
    </r>
    <r>
      <rPr>
        <b/>
        <vertAlign val="subscript"/>
        <sz val="11"/>
        <color indexed="8"/>
        <rFont val="Calibri"/>
        <family val="2"/>
      </rPr>
      <t>2</t>
    </r>
    <r>
      <rPr>
        <b/>
        <sz val="11"/>
        <color indexed="8"/>
        <rFont val="Calibri"/>
        <family val="2"/>
      </rPr>
      <t>e)</t>
    </r>
    <r>
      <rPr>
        <b/>
        <vertAlign val="superscript"/>
        <sz val="11"/>
        <color indexed="8"/>
        <rFont val="Calibri"/>
        <family val="2"/>
      </rPr>
      <t>1</t>
    </r>
  </si>
  <si>
    <t>Annual Average Auction Sale Price</t>
  </si>
  <si>
    <t>Price Floor</t>
  </si>
  <si>
    <r>
      <t>Annual Average Auction Sale Price</t>
    </r>
    <r>
      <rPr>
        <vertAlign val="superscript"/>
        <sz val="11"/>
        <color theme="1"/>
        <rFont val="Calibri"/>
        <family val="2"/>
        <scheme val="minor"/>
      </rPr>
      <t>2</t>
    </r>
  </si>
  <si>
    <r>
      <t>Annual Auction Reserve  Price</t>
    </r>
    <r>
      <rPr>
        <vertAlign val="superscript"/>
        <sz val="11"/>
        <color theme="1"/>
        <rFont val="Calibri"/>
        <family val="2"/>
        <scheme val="minor"/>
      </rPr>
      <t>3</t>
    </r>
  </si>
  <si>
    <r>
      <t xml:space="preserve">Tier 1 APCR / post-2020 price ceiling </t>
    </r>
    <r>
      <rPr>
        <vertAlign val="superscript"/>
        <sz val="11"/>
        <color theme="1"/>
        <rFont val="Calibri"/>
        <family val="2"/>
        <scheme val="minor"/>
      </rPr>
      <t>4</t>
    </r>
  </si>
  <si>
    <t>Tier 1 Price</t>
  </si>
  <si>
    <t>Tier 2 Price</t>
  </si>
  <si>
    <t>Price Ceiling</t>
  </si>
  <si>
    <r>
      <t>CPI: Urban Consumer - All Items, (Index, 2022=1)</t>
    </r>
    <r>
      <rPr>
        <vertAlign val="superscript"/>
        <sz val="11"/>
        <color theme="1"/>
        <rFont val="Calibri"/>
        <family val="2"/>
        <scheme val="minor"/>
      </rPr>
      <t>5</t>
    </r>
  </si>
  <si>
    <t>CPI Annual Rate of Change</t>
  </si>
  <si>
    <r>
      <t xml:space="preserve">Carbon Price </t>
    </r>
    <r>
      <rPr>
        <b/>
        <sz val="11"/>
        <color indexed="8"/>
        <rFont val="Calibri"/>
        <family val="2"/>
      </rPr>
      <t>(2022$/metric ton CO</t>
    </r>
    <r>
      <rPr>
        <b/>
        <vertAlign val="subscript"/>
        <sz val="11"/>
        <color indexed="8"/>
        <rFont val="Calibri"/>
        <family val="2"/>
      </rPr>
      <t>2</t>
    </r>
    <r>
      <rPr>
        <b/>
        <sz val="11"/>
        <color indexed="8"/>
        <rFont val="Calibri"/>
        <family val="2"/>
      </rPr>
      <t>e)</t>
    </r>
  </si>
  <si>
    <t>Reserve Price</t>
  </si>
  <si>
    <t>Tier 1 APCR / Post-2020 Price Ceiling</t>
  </si>
  <si>
    <r>
      <t xml:space="preserve">GDP Implicit Deflator Series  2022=1 </t>
    </r>
    <r>
      <rPr>
        <vertAlign val="superscript"/>
        <sz val="11"/>
        <color theme="1"/>
        <rFont val="Calibri"/>
        <family val="2"/>
        <scheme val="minor"/>
      </rPr>
      <t>5</t>
    </r>
  </si>
  <si>
    <t>Annual Percent Change</t>
  </si>
  <si>
    <r>
      <rPr>
        <vertAlign val="superscript"/>
        <sz val="11"/>
        <color theme="1"/>
        <rFont val="Calibri"/>
        <family val="2"/>
      </rPr>
      <t>2</t>
    </r>
    <r>
      <rPr>
        <sz val="11"/>
        <color theme="1"/>
        <rFont val="Calibri"/>
        <family val="2"/>
      </rPr>
      <t xml:space="preserve"> 2013 through 2022 prices are the volume-weighed average Vintage Settlement Price of all  auctions (February, May, August and November). For 2023, the Q3 auction price is used.</t>
    </r>
  </si>
  <si>
    <r>
      <rPr>
        <vertAlign val="superscript"/>
        <sz val="11"/>
        <color theme="1"/>
        <rFont val="Calibri"/>
        <family val="2"/>
      </rPr>
      <t xml:space="preserve">3 </t>
    </r>
    <r>
      <rPr>
        <sz val="11"/>
        <color theme="1"/>
        <rFont val="Calibri"/>
        <family val="2"/>
      </rPr>
      <t>Price increases in calendar years subsequent to 2019 will be equal to the offer price for each tier from the previous calendar year increased by five percent plus the rate of inflation as measured by the Consumer Price Index for All Urban Consumers.</t>
    </r>
  </si>
  <si>
    <r>
      <rPr>
        <vertAlign val="superscript"/>
        <sz val="12"/>
        <color indexed="8"/>
        <rFont val="Calibri"/>
        <family val="2"/>
      </rPr>
      <t>4</t>
    </r>
    <r>
      <rPr>
        <sz val="11"/>
        <color indexed="8"/>
        <rFont val="Calibri"/>
        <family val="2"/>
      </rPr>
      <t xml:space="preserve"> 17 CCR § § 95915. Price Ceiling Sales.</t>
    </r>
  </si>
  <si>
    <t>Regression Estimates for exponential curves</t>
  </si>
  <si>
    <t>Current and Target Price in YEAR, Nominal</t>
  </si>
  <si>
    <t>Mid case</t>
  </si>
  <si>
    <t>Fitted exponential coefs</t>
  </si>
  <si>
    <t>REAL</t>
  </si>
  <si>
    <t>Mid</t>
  </si>
  <si>
    <t>t</t>
  </si>
  <si>
    <t>APCR</t>
  </si>
  <si>
    <t>high price</t>
  </si>
  <si>
    <r>
      <rPr>
        <b/>
        <sz val="12"/>
        <rFont val="Arial"/>
        <family val="2"/>
      </rPr>
      <t>CALIFORNIA CAP-AND-TRADE PROGRAM</t>
    </r>
  </si>
  <si>
    <r>
      <rPr>
        <b/>
        <sz val="12"/>
        <rFont val="Arial"/>
        <family val="2"/>
      </rPr>
      <t>SUMMARY OF JOINT AUCTION SETTLEMENT PRICES AND RESULTS</t>
    </r>
  </si>
  <si>
    <r>
      <rPr>
        <b/>
        <sz val="12"/>
        <rFont val="Arial"/>
        <family val="2"/>
      </rPr>
      <t>Auction Name</t>
    </r>
  </si>
  <si>
    <r>
      <rPr>
        <b/>
        <sz val="12"/>
        <rFont val="Arial"/>
        <family val="2"/>
      </rPr>
      <t>Total Current Vintage Allowances Offered</t>
    </r>
  </si>
  <si>
    <r>
      <rPr>
        <b/>
        <sz val="12"/>
        <rFont val="Arial"/>
        <family val="2"/>
      </rPr>
      <t>Total Current Vintage Allowances Sold</t>
    </r>
  </si>
  <si>
    <r>
      <rPr>
        <b/>
        <sz val="12"/>
        <rFont val="Arial"/>
        <family val="2"/>
      </rPr>
      <t>Current Auction Settlement Price</t>
    </r>
  </si>
  <si>
    <r>
      <rPr>
        <b/>
        <sz val="12"/>
        <rFont val="Arial"/>
        <family val="2"/>
      </rPr>
      <t>Total Future Vintage Allowances Offered</t>
    </r>
  </si>
  <si>
    <r>
      <rPr>
        <b/>
        <sz val="12"/>
        <rFont val="Arial"/>
        <family val="2"/>
      </rPr>
      <t>Total Future Vintage Allowances Sold</t>
    </r>
  </si>
  <si>
    <r>
      <rPr>
        <b/>
        <sz val="12"/>
        <rFont val="Arial"/>
        <family val="2"/>
      </rPr>
      <t>Advance Auction Settlement Price</t>
    </r>
  </si>
  <si>
    <t>Revenues</t>
  </si>
  <si>
    <r>
      <rPr>
        <b/>
        <sz val="12"/>
        <rFont val="Calibri"/>
        <family val="2"/>
      </rPr>
      <t>August 2023 Joint Auction #36</t>
    </r>
  </si>
  <si>
    <t>May 2023 Joint Auction #35</t>
  </si>
  <si>
    <t>February 2023 Joint Auction #34</t>
  </si>
  <si>
    <t>November 2022 Joint Auction #33</t>
  </si>
  <si>
    <r>
      <rPr>
        <b/>
        <sz val="12"/>
        <rFont val="Trebuchet MS"/>
        <family val="2"/>
      </rPr>
      <t>August 2022 Joint Auction #32</t>
    </r>
  </si>
  <si>
    <r>
      <rPr>
        <b/>
        <sz val="12"/>
        <rFont val="Trebuchet MS"/>
        <family val="2"/>
      </rPr>
      <t>May 2022 Joint Auction #31</t>
    </r>
  </si>
  <si>
    <r>
      <rPr>
        <b/>
        <sz val="12"/>
        <rFont val="Trebuchet MS"/>
        <family val="2"/>
      </rPr>
      <t>February 2022 Joint Auction #30</t>
    </r>
  </si>
  <si>
    <r>
      <rPr>
        <b/>
        <sz val="12"/>
        <rFont val="Trebuchet MS"/>
        <family val="2"/>
      </rPr>
      <t>November 2021 Joint Auction #29</t>
    </r>
  </si>
  <si>
    <r>
      <rPr>
        <b/>
        <sz val="12"/>
        <rFont val="Trebuchet MS"/>
        <family val="2"/>
      </rPr>
      <t>August 2021 Joint Auction #28</t>
    </r>
  </si>
  <si>
    <r>
      <rPr>
        <b/>
        <sz val="12"/>
        <rFont val="Trebuchet MS"/>
        <family val="2"/>
      </rPr>
      <t>May 2021 Joint Auction #27</t>
    </r>
  </si>
  <si>
    <t>February 2021 Joint Auction #26</t>
  </si>
  <si>
    <r>
      <rPr>
        <b/>
        <sz val="12"/>
        <rFont val="Arial"/>
        <family val="2"/>
      </rPr>
      <t>November 2020 Joint Auction #25</t>
    </r>
  </si>
  <si>
    <r>
      <rPr>
        <b/>
        <sz val="12"/>
        <rFont val="Arial"/>
        <family val="2"/>
      </rPr>
      <t>August 2020 Joint Auction #24</t>
    </r>
  </si>
  <si>
    <r>
      <rPr>
        <b/>
        <sz val="12"/>
        <rFont val="Arial"/>
        <family val="2"/>
      </rPr>
      <t>May 2020 Joint Auction #23</t>
    </r>
  </si>
  <si>
    <t>February 2020 Joint Auction #22</t>
  </si>
  <si>
    <r>
      <rPr>
        <b/>
        <sz val="12"/>
        <rFont val="Arial"/>
        <family val="2"/>
      </rPr>
      <t>November 2019 Joint Auction #21</t>
    </r>
  </si>
  <si>
    <r>
      <rPr>
        <b/>
        <sz val="12"/>
        <rFont val="Arial"/>
        <family val="2"/>
      </rPr>
      <t>August 2019 Joint Auction #20</t>
    </r>
  </si>
  <si>
    <r>
      <rPr>
        <b/>
        <sz val="12"/>
        <rFont val="Arial"/>
        <family val="2"/>
      </rPr>
      <t>May 2019 Joint Auction #19</t>
    </r>
  </si>
  <si>
    <r>
      <rPr>
        <b/>
        <sz val="12"/>
        <rFont val="Arial"/>
        <family val="2"/>
      </rPr>
      <t>February 2019 Joint Auction #18</t>
    </r>
  </si>
  <si>
    <t>November 2018 Joint Auction #17</t>
  </si>
  <si>
    <t>August 2018 Joint Auction #16</t>
  </si>
  <si>
    <t>May 2018 Joint Auction #15</t>
  </si>
  <si>
    <t>February 2018 Joint Auction #14</t>
  </si>
  <si>
    <r>
      <rPr>
        <b/>
        <sz val="12"/>
        <rFont val="Arial"/>
        <family val="2"/>
      </rPr>
      <t>November 2017 Joint Auction #13</t>
    </r>
  </si>
  <si>
    <r>
      <rPr>
        <b/>
        <sz val="12"/>
        <rFont val="Arial"/>
        <family val="2"/>
      </rPr>
      <t>August 2017 Joint Auction #12</t>
    </r>
  </si>
  <si>
    <r>
      <rPr>
        <b/>
        <sz val="12"/>
        <rFont val="Arial"/>
        <family val="2"/>
      </rPr>
      <t>May 2017 Joint Auction #11</t>
    </r>
  </si>
  <si>
    <r>
      <rPr>
        <b/>
        <sz val="12"/>
        <rFont val="Arial"/>
        <family val="2"/>
      </rPr>
      <t>February 2017 Joint Auction #10</t>
    </r>
  </si>
  <si>
    <r>
      <rPr>
        <b/>
        <sz val="12"/>
        <rFont val="Arial"/>
        <family val="2"/>
      </rPr>
      <t>November 2016 Joint Auction #9</t>
    </r>
  </si>
  <si>
    <r>
      <rPr>
        <b/>
        <sz val="12"/>
        <rFont val="Arial"/>
        <family val="2"/>
      </rPr>
      <t>August 2016 Joint Auction #8</t>
    </r>
  </si>
  <si>
    <r>
      <rPr>
        <b/>
        <sz val="12"/>
        <rFont val="Arial"/>
        <family val="2"/>
      </rPr>
      <t>May 2016 Joint Auction #7</t>
    </r>
  </si>
  <si>
    <r>
      <rPr>
        <b/>
        <sz val="12"/>
        <rFont val="Arial"/>
        <family val="2"/>
      </rPr>
      <t>February 2016 Joint Auction #6</t>
    </r>
  </si>
  <si>
    <r>
      <rPr>
        <b/>
        <sz val="12"/>
        <rFont val="Arial"/>
        <family val="2"/>
      </rPr>
      <t>November 2015 Joint Auction #5</t>
    </r>
  </si>
  <si>
    <r>
      <rPr>
        <b/>
        <sz val="12"/>
        <rFont val="Arial"/>
        <family val="2"/>
      </rPr>
      <t>August 2015 Joint Auction #4</t>
    </r>
  </si>
  <si>
    <r>
      <rPr>
        <b/>
        <sz val="12"/>
        <rFont val="Arial"/>
        <family val="2"/>
      </rPr>
      <t>May 2015 Joint Auction #3</t>
    </r>
  </si>
  <si>
    <r>
      <rPr>
        <b/>
        <sz val="12"/>
        <rFont val="Arial"/>
        <family val="2"/>
      </rPr>
      <t>February 2015 Joint Auction #2</t>
    </r>
  </si>
  <si>
    <r>
      <rPr>
        <b/>
        <sz val="12"/>
        <rFont val="Arial"/>
        <family val="2"/>
      </rPr>
      <t>November 2014 Joint Auction #1</t>
    </r>
  </si>
  <si>
    <r>
      <rPr>
        <b/>
        <sz val="12"/>
        <rFont val="Arial"/>
        <family val="2"/>
      </rPr>
      <t>August 2014 Auction #8</t>
    </r>
  </si>
  <si>
    <r>
      <rPr>
        <b/>
        <sz val="12"/>
        <rFont val="Arial"/>
        <family val="2"/>
      </rPr>
      <t>May 2014 Auction #7</t>
    </r>
  </si>
  <si>
    <r>
      <rPr>
        <b/>
        <sz val="12"/>
        <rFont val="Arial"/>
        <family val="2"/>
      </rPr>
      <t>February 2014 Auction #6</t>
    </r>
  </si>
  <si>
    <r>
      <rPr>
        <b/>
        <sz val="12"/>
        <rFont val="Arial"/>
        <family val="2"/>
      </rPr>
      <t>November 2013 Auction #5</t>
    </r>
  </si>
  <si>
    <r>
      <rPr>
        <b/>
        <sz val="12"/>
        <rFont val="Arial"/>
        <family val="2"/>
      </rPr>
      <t>August 2013 Auction #4</t>
    </r>
  </si>
  <si>
    <r>
      <rPr>
        <b/>
        <sz val="12"/>
        <rFont val="Arial"/>
        <family val="2"/>
      </rPr>
      <t>May 2013 Auction #3</t>
    </r>
  </si>
  <si>
    <r>
      <rPr>
        <b/>
        <sz val="12"/>
        <rFont val="Arial"/>
        <family val="2"/>
      </rPr>
      <t>February 2013 Auction #2</t>
    </r>
  </si>
  <si>
    <r>
      <rPr>
        <b/>
        <sz val="12"/>
        <rFont val="Arial"/>
        <family val="2"/>
      </rPr>
      <t>November 2012 Auction #1</t>
    </r>
  </si>
  <si>
    <t xml:space="preserve">Source: http://www.arb.ca.gov/cc/capandtrade/auction/auction.htm </t>
  </si>
  <si>
    <t>Annual</t>
  </si>
  <si>
    <t>volume</t>
  </si>
  <si>
    <t>revenues</t>
  </si>
  <si>
    <t>price</t>
  </si>
  <si>
    <t>NOTE: Auction revenues will include consigned allowances, so revenues column include proceeds distributed to utilities</t>
  </si>
  <si>
    <t xml:space="preserve">State versus consignment revenues may be found at: </t>
  </si>
  <si>
    <t>https://www.arb.ca.gov/cc/capandtrade/auction/proceeds_summary.pdf</t>
  </si>
  <si>
    <t>`</t>
  </si>
  <si>
    <r>
      <rPr>
        <vertAlign val="superscript"/>
        <sz val="12"/>
        <color indexed="8"/>
        <rFont val="Calibri"/>
        <family val="2"/>
      </rPr>
      <t>5</t>
    </r>
    <r>
      <rPr>
        <sz val="11"/>
        <color indexed="8"/>
        <rFont val="Calibri"/>
        <family val="2"/>
      </rPr>
      <t xml:space="preserve"> Moody's Analytics, May 2023</t>
    </r>
  </si>
  <si>
    <r>
      <rPr>
        <vertAlign val="superscript"/>
        <sz val="11"/>
        <color indexed="8"/>
        <rFont val="Calibri"/>
        <family val="2"/>
      </rPr>
      <t>1 P</t>
    </r>
    <r>
      <rPr>
        <sz val="11"/>
        <color indexed="8"/>
        <rFont val="Calibri"/>
        <family val="2"/>
      </rPr>
      <t xml:space="preserve">rices are assumed to reach Tier 1 Price in 2035.
</t>
    </r>
  </si>
  <si>
    <t>2023 IEPR Forecast</t>
  </si>
  <si>
    <t>2023 IEPR Mid Price Scenario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</si>
</sst>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_);[Red]\(&quot;$&quot;#,##0.00\)"/>
    <numFmt numFmtId="43" formatCode="_(* #,##0.00_);_(* \(#,##0.00\);_(* &quot;-&quot;??_);_(@_)"/>
    <numFmt numFmtId="164" formatCode="_(* #,##0.000000000000000000_);_(* \(#,##0.000000000000000000\);_(* &quot;-&quot;??_);_(@_)"/>
    <numFmt numFmtId="165" formatCode="_(* #,##0.0000_);_(* \(#,##0.0000\);_(* &quot;-&quot;??_);_(@_)"/>
    <numFmt numFmtId="166" formatCode="_(* #,##0_);_(* \(#,##0\);_(* &quot;-&quot;??_);_(@_)"/>
    <numFmt numFmtId="167" formatCode="0.00000000000"/>
    <numFmt numFmtId="168" formatCode="_(* #,##0.000_);_(* \(#,##0.000\);_(* &quot;-&quot;??_);_(@_)"/>
    <numFmt numFmtId="169" formatCode="0_);\(0\)"/>
    <numFmt numFmtId="170" formatCode="0.0000"/>
    <numFmt numFmtId="171" formatCode="0.0%"/>
    <numFmt numFmtId="172" formatCode="0.000"/>
    <numFmt numFmtId="173" formatCode="0.00000"/>
    <numFmt numFmtId="174" formatCode="_(* #,##0.0_);_(* \(#,##0.0\);_(* &quot;-&quot;??_);_(@_)"/>
    <numFmt numFmtId="175" formatCode="&quot;$&quot;0.00"/>
    <numFmt numFmtId="176" formatCode="\$0.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1"/>
      <color theme="1"/>
      <name val="Arial"/>
      <family val="2"/>
    </font>
    <font>
      <b/>
      <sz val="11"/>
      <color indexed="8"/>
      <name val="Calibri"/>
      <family val="2"/>
    </font>
    <font>
      <b/>
      <vertAlign val="subscript"/>
      <sz val="11"/>
      <color indexed="8"/>
      <name val="Calibri"/>
      <family val="2"/>
    </font>
    <font>
      <b/>
      <vertAlign val="superscript"/>
      <sz val="11"/>
      <color indexed="8"/>
      <name val="Calibri"/>
      <family val="2"/>
    </font>
    <font>
      <vertAlign val="superscript"/>
      <sz val="11"/>
      <color theme="1"/>
      <name val="Calibri"/>
      <family val="2"/>
      <scheme val="minor"/>
    </font>
    <font>
      <sz val="11"/>
      <color indexed="8"/>
      <name val="Calibri"/>
      <family val="2"/>
    </font>
    <font>
      <vertAlign val="superscript"/>
      <sz val="11"/>
      <color indexed="8"/>
      <name val="Calibri"/>
      <family val="2"/>
    </font>
    <font>
      <sz val="11"/>
      <color theme="1"/>
      <name val="Calibri"/>
      <family val="2"/>
    </font>
    <font>
      <vertAlign val="superscript"/>
      <sz val="11"/>
      <color theme="1"/>
      <name val="Calibri"/>
      <family val="2"/>
    </font>
    <font>
      <vertAlign val="superscript"/>
      <sz val="12"/>
      <color indexed="8"/>
      <name val="Calibri"/>
      <family val="2"/>
    </font>
    <font>
      <sz val="10"/>
      <color rgb="FF000000"/>
      <name val="Times New Roman"/>
      <family val="1"/>
    </font>
    <font>
      <b/>
      <sz val="12"/>
      <name val="Arial"/>
      <family val="2"/>
    </font>
    <font>
      <b/>
      <sz val="11"/>
      <name val="Arial"/>
      <family val="2"/>
    </font>
    <font>
      <b/>
      <sz val="12"/>
      <color indexed="8"/>
      <name val="Trebuchet MS"/>
      <family val="2"/>
    </font>
    <font>
      <sz val="12"/>
      <color indexed="8"/>
      <name val="Arial"/>
      <family val="2"/>
    </font>
    <font>
      <sz val="12"/>
      <color rgb="FF000000"/>
      <name val="Arial"/>
      <family val="2"/>
    </font>
    <font>
      <b/>
      <sz val="12"/>
      <name val="Calibri"/>
      <family val="2"/>
    </font>
    <font>
      <sz val="12"/>
      <color rgb="FF000000"/>
      <name val="AvenirNextforSAS"/>
      <family val="2"/>
    </font>
    <font>
      <b/>
      <sz val="12"/>
      <name val="Trebuchet MS"/>
      <family val="2"/>
    </font>
    <font>
      <b/>
      <sz val="12"/>
      <color indexed="8"/>
      <name val="Arial"/>
      <family val="2"/>
    </font>
    <font>
      <sz val="1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4F81BC"/>
      </patternFill>
    </fill>
    <fill>
      <patternFill patternType="solid">
        <fgColor rgb="FFCDE9F7"/>
      </patternFill>
    </fill>
    <fill>
      <patternFill patternType="solid">
        <fgColor rgb="FFCDE9F7"/>
        <bgColor indexed="64"/>
      </patternFill>
    </fill>
    <fill>
      <patternFill patternType="solid">
        <fgColor rgb="FFBBE3F7"/>
      </patternFill>
    </fill>
    <fill>
      <patternFill patternType="solid">
        <fgColor rgb="FFDBE4F0"/>
        <bgColor indexed="64"/>
      </patternFill>
    </fill>
    <fill>
      <patternFill patternType="solid">
        <fgColor rgb="FFDBE4F0"/>
      </patternFill>
    </fill>
    <fill>
      <patternFill patternType="solid">
        <fgColor rgb="FFB8CCE3"/>
        <bgColor indexed="64"/>
      </patternFill>
    </fill>
    <fill>
      <patternFill patternType="solid">
        <fgColor rgb="FFB8CCE3"/>
      </patternFill>
    </fill>
  </fills>
  <borders count="2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F5A7B"/>
      </top>
      <bottom style="thin">
        <color rgb="FF000000"/>
      </bottom>
      <diagonal/>
    </border>
    <border>
      <left style="thin">
        <color rgb="FF000000"/>
      </left>
      <right/>
      <top style="thin">
        <color rgb="FF0F5A7B"/>
      </top>
      <bottom style="thin">
        <color rgb="FF000000"/>
      </bottom>
      <diagonal/>
    </border>
    <border>
      <left style="thin">
        <color rgb="FF000000"/>
      </left>
      <right style="thin">
        <color rgb="FF000000"/>
      </right>
      <top style="thin">
        <color rgb="FF001F5F"/>
      </top>
      <bottom style="thin">
        <color rgb="FF000000"/>
      </bottom>
      <diagonal/>
    </border>
    <border>
      <left style="thin">
        <color rgb="FF000000"/>
      </left>
      <right/>
      <top style="thin">
        <color rgb="FF001F5F"/>
      </top>
      <bottom style="thin">
        <color rgb="FF000000"/>
      </bottom>
      <diagonal/>
    </border>
    <border>
      <left style="thin">
        <color rgb="FF000000"/>
      </left>
      <right style="thin">
        <color rgb="FF000000"/>
      </right>
      <top/>
      <bottom style="thin">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5" fillId="0" borderId="0"/>
  </cellStyleXfs>
  <cellXfs count="152">
    <xf numFmtId="0" fontId="0" fillId="0" borderId="0" xfId="0"/>
    <xf numFmtId="164" fontId="0" fillId="0" borderId="0" xfId="1" applyNumberFormat="1" applyFont="1"/>
    <xf numFmtId="165" fontId="0" fillId="0" borderId="0" xfId="1" applyNumberFormat="1" applyFont="1"/>
    <xf numFmtId="166" fontId="0" fillId="0" borderId="0" xfId="1" applyNumberFormat="1" applyFont="1"/>
    <xf numFmtId="0" fontId="3" fillId="0" borderId="0" xfId="0" applyFont="1"/>
    <xf numFmtId="167" fontId="0" fillId="0" borderId="0" xfId="1" applyNumberFormat="1" applyFont="1"/>
    <xf numFmtId="0" fontId="4" fillId="0" borderId="0" xfId="0" applyFont="1" applyAlignment="1">
      <alignment horizontal="left" vertical="top" wrapText="1"/>
    </xf>
    <xf numFmtId="167" fontId="0" fillId="0" borderId="0" xfId="0" applyNumberFormat="1"/>
    <xf numFmtId="168" fontId="0" fillId="0" borderId="0" xfId="1" applyNumberFormat="1" applyFont="1"/>
    <xf numFmtId="168" fontId="0" fillId="0" borderId="0" xfId="0" applyNumberFormat="1"/>
    <xf numFmtId="8" fontId="0" fillId="0" borderId="0" xfId="0" applyNumberFormat="1" applyAlignment="1">
      <alignment wrapText="1"/>
    </xf>
    <xf numFmtId="0" fontId="5" fillId="0" borderId="0" xfId="0" applyFont="1" applyAlignment="1">
      <alignment wrapText="1"/>
    </xf>
    <xf numFmtId="169" fontId="0" fillId="0" borderId="0" xfId="1" applyNumberFormat="1" applyFont="1"/>
    <xf numFmtId="43" fontId="0" fillId="0" borderId="0" xfId="0" applyNumberFormat="1"/>
    <xf numFmtId="43" fontId="3" fillId="0" borderId="0" xfId="1" applyFont="1" applyFill="1"/>
    <xf numFmtId="43" fontId="3" fillId="0" borderId="0" xfId="1" applyFont="1"/>
    <xf numFmtId="166" fontId="3" fillId="0" borderId="0" xfId="1" applyNumberFormat="1" applyFont="1"/>
    <xf numFmtId="43" fontId="3" fillId="2" borderId="0" xfId="1" applyFont="1" applyFill="1"/>
    <xf numFmtId="2" fontId="0" fillId="0" borderId="0" xfId="0" applyNumberFormat="1"/>
    <xf numFmtId="43" fontId="0" fillId="0" borderId="0" xfId="1" applyFont="1"/>
    <xf numFmtId="0" fontId="0" fillId="2" borderId="0" xfId="0" applyFill="1"/>
    <xf numFmtId="43" fontId="0" fillId="0" borderId="0" xfId="1" applyFont="1" applyFill="1"/>
    <xf numFmtId="43" fontId="2" fillId="0" borderId="0" xfId="1" applyFont="1" applyFill="1"/>
    <xf numFmtId="166" fontId="0" fillId="2" borderId="0" xfId="1" applyNumberFormat="1" applyFont="1" applyFill="1"/>
    <xf numFmtId="43" fontId="0" fillId="2" borderId="0" xfId="1" applyFont="1" applyFill="1"/>
    <xf numFmtId="170" fontId="1" fillId="0" borderId="0" xfId="2" applyNumberFormat="1" applyFont="1" applyFill="1"/>
    <xf numFmtId="43" fontId="1" fillId="0" borderId="0" xfId="1" applyFont="1" applyFill="1"/>
    <xf numFmtId="168" fontId="1" fillId="0" borderId="0" xfId="1" applyNumberFormat="1" applyFont="1" applyFill="1"/>
    <xf numFmtId="0" fontId="0" fillId="0" borderId="0" xfId="0" applyAlignment="1">
      <alignment wrapText="1"/>
    </xf>
    <xf numFmtId="10" fontId="1" fillId="0" borderId="0" xfId="2" applyNumberFormat="1" applyFont="1" applyFill="1"/>
    <xf numFmtId="10" fontId="0" fillId="0" borderId="0" xfId="1" applyNumberFormat="1" applyFont="1"/>
    <xf numFmtId="0" fontId="5" fillId="0" borderId="0" xfId="0" applyFont="1"/>
    <xf numFmtId="171" fontId="0" fillId="0" borderId="0" xfId="2" applyNumberFormat="1" applyFont="1"/>
    <xf numFmtId="0" fontId="10" fillId="0" borderId="0" xfId="0" applyFont="1" applyAlignment="1">
      <alignment horizontal="left" wrapText="1"/>
    </xf>
    <xf numFmtId="0" fontId="10" fillId="0" borderId="0" xfId="0" applyFont="1" applyAlignment="1">
      <alignment vertical="top"/>
    </xf>
    <xf numFmtId="0" fontId="12" fillId="0" borderId="0" xfId="0" applyFont="1" applyAlignment="1">
      <alignment vertical="top" wrapText="1"/>
    </xf>
    <xf numFmtId="0" fontId="10" fillId="0" borderId="0" xfId="0" applyFont="1" applyAlignment="1">
      <alignment wrapText="1"/>
    </xf>
    <xf numFmtId="0" fontId="10" fillId="0" borderId="0" xfId="0" applyFont="1"/>
    <xf numFmtId="0" fontId="10" fillId="0" borderId="1"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3" fillId="0" borderId="0" xfId="0" applyFont="1" applyAlignment="1">
      <alignment wrapText="1"/>
    </xf>
    <xf numFmtId="0" fontId="0" fillId="0" borderId="4" xfId="0" applyBorder="1" applyAlignment="1">
      <alignment horizontal="right" indent="5"/>
    </xf>
    <xf numFmtId="43" fontId="0" fillId="3" borderId="0" xfId="1" applyFont="1" applyFill="1" applyBorder="1"/>
    <xf numFmtId="169" fontId="0" fillId="0" borderId="0" xfId="0" applyNumberFormat="1" applyAlignment="1">
      <alignment horizontal="left" vertical="top"/>
    </xf>
    <xf numFmtId="172" fontId="0" fillId="0" borderId="0" xfId="0" applyNumberFormat="1" applyAlignment="1">
      <alignment horizontal="left" vertical="top"/>
    </xf>
    <xf numFmtId="172" fontId="3" fillId="0" borderId="0" xfId="1" applyNumberFormat="1" applyFont="1" applyFill="1" applyBorder="1" applyAlignment="1">
      <alignment horizontal="left" vertical="top"/>
    </xf>
    <xf numFmtId="172" fontId="3" fillId="0" borderId="5" xfId="1" applyNumberFormat="1" applyFont="1" applyFill="1" applyBorder="1" applyAlignment="1">
      <alignment horizontal="left" vertical="top"/>
    </xf>
    <xf numFmtId="172" fontId="0" fillId="0" borderId="5" xfId="0" applyNumberFormat="1" applyBorder="1" applyAlignment="1">
      <alignment horizontal="left" vertical="top"/>
    </xf>
    <xf numFmtId="43" fontId="3" fillId="0" borderId="0" xfId="0" applyNumberFormat="1" applyFont="1"/>
    <xf numFmtId="0" fontId="0" fillId="0" borderId="4" xfId="0" applyBorder="1" applyAlignment="1">
      <alignment horizontal="right"/>
    </xf>
    <xf numFmtId="173" fontId="0" fillId="0" borderId="0" xfId="0" applyNumberFormat="1" applyAlignment="1">
      <alignment horizontal="left" vertical="top"/>
    </xf>
    <xf numFmtId="43" fontId="0" fillId="0" borderId="4" xfId="0" applyNumberFormat="1" applyBorder="1" applyAlignment="1">
      <alignment horizontal="right"/>
    </xf>
    <xf numFmtId="43" fontId="0" fillId="0" borderId="0" xfId="1" applyFont="1" applyBorder="1"/>
    <xf numFmtId="172" fontId="0" fillId="0" borderId="0" xfId="0" applyNumberFormat="1"/>
    <xf numFmtId="172" fontId="3" fillId="0" borderId="0" xfId="0" applyNumberFormat="1" applyFont="1"/>
    <xf numFmtId="172" fontId="0" fillId="0" borderId="5" xfId="0" applyNumberFormat="1" applyBorder="1"/>
    <xf numFmtId="172" fontId="0" fillId="0" borderId="6" xfId="0" applyNumberFormat="1" applyBorder="1" applyAlignment="1">
      <alignment horizontal="left" vertical="top"/>
    </xf>
    <xf numFmtId="172" fontId="0" fillId="0" borderId="7" xfId="0" applyNumberFormat="1" applyBorder="1" applyAlignment="1">
      <alignment horizontal="left" vertical="top"/>
    </xf>
    <xf numFmtId="0" fontId="0" fillId="0" borderId="8" xfId="0" applyBorder="1" applyAlignment="1">
      <alignment horizontal="right" indent="5"/>
    </xf>
    <xf numFmtId="174" fontId="3" fillId="0" borderId="6" xfId="0" applyNumberFormat="1" applyFont="1" applyBorder="1"/>
    <xf numFmtId="169" fontId="0" fillId="0" borderId="6" xfId="0" applyNumberFormat="1" applyBorder="1" applyAlignment="1">
      <alignment horizontal="left" vertical="top"/>
    </xf>
    <xf numFmtId="166" fontId="3" fillId="0" borderId="0" xfId="1" applyNumberFormat="1" applyFont="1" applyFill="1"/>
    <xf numFmtId="0" fontId="3" fillId="0" borderId="0" xfId="0" applyFont="1" applyAlignment="1">
      <alignment vertical="center"/>
    </xf>
    <xf numFmtId="43" fontId="3" fillId="0" borderId="0" xfId="0" applyNumberFormat="1" applyFont="1" applyAlignment="1">
      <alignment vertical="center"/>
    </xf>
    <xf numFmtId="166" fontId="3" fillId="0" borderId="0" xfId="1" applyNumberFormat="1" applyFont="1" applyAlignment="1">
      <alignment vertical="center"/>
    </xf>
    <xf numFmtId="0" fontId="0" fillId="0" borderId="9" xfId="0" applyBorder="1"/>
    <xf numFmtId="166" fontId="0" fillId="0" borderId="9" xfId="1" applyNumberFormat="1" applyFont="1" applyBorder="1"/>
    <xf numFmtId="0" fontId="15" fillId="0" borderId="0" xfId="3" applyAlignment="1">
      <alignment horizontal="left" vertical="top"/>
    </xf>
    <xf numFmtId="0" fontId="16" fillId="0" borderId="0" xfId="3" applyFont="1" applyAlignment="1">
      <alignment horizontal="left" vertical="top"/>
    </xf>
    <xf numFmtId="0" fontId="15" fillId="0" borderId="0" xfId="3" applyAlignment="1">
      <alignment horizontal="center"/>
    </xf>
    <xf numFmtId="0" fontId="15" fillId="0" borderId="0" xfId="3" applyAlignment="1">
      <alignment horizontal="center" vertical="top"/>
    </xf>
    <xf numFmtId="166" fontId="15" fillId="0" borderId="0" xfId="1" applyNumberFormat="1" applyFont="1" applyFill="1" applyBorder="1" applyAlignment="1">
      <alignment horizontal="center"/>
    </xf>
    <xf numFmtId="0" fontId="17" fillId="0" borderId="0" xfId="3" applyFont="1" applyAlignment="1">
      <alignment horizontal="center" vertical="top"/>
    </xf>
    <xf numFmtId="3" fontId="15" fillId="0" borderId="0" xfId="3" applyNumberFormat="1" applyAlignment="1">
      <alignment horizontal="center" vertical="top"/>
    </xf>
    <xf numFmtId="0" fontId="16" fillId="4" borderId="10" xfId="3" applyFont="1" applyFill="1" applyBorder="1" applyAlignment="1">
      <alignment horizontal="left" vertical="top" wrapText="1"/>
    </xf>
    <xf numFmtId="0" fontId="16" fillId="4" borderId="11" xfId="3" applyFont="1" applyFill="1" applyBorder="1" applyAlignment="1">
      <alignment horizontal="center" wrapText="1"/>
    </xf>
    <xf numFmtId="166" fontId="16" fillId="4" borderId="11" xfId="1" applyNumberFormat="1" applyFont="1" applyFill="1" applyBorder="1" applyAlignment="1">
      <alignment horizontal="center" wrapText="1"/>
    </xf>
    <xf numFmtId="0" fontId="18" fillId="0" borderId="12" xfId="0" applyFont="1" applyBorder="1" applyAlignment="1">
      <alignment horizontal="left" vertical="top" wrapText="1"/>
    </xf>
    <xf numFmtId="3" fontId="19" fillId="0" borderId="13" xfId="0" applyNumberFormat="1" applyFont="1" applyBorder="1" applyAlignment="1">
      <alignment horizontal="left" vertical="top" indent="2" shrinkToFit="1"/>
    </xf>
    <xf numFmtId="175" fontId="19" fillId="0" borderId="13" xfId="0" applyNumberFormat="1" applyFont="1" applyBorder="1" applyAlignment="1">
      <alignment horizontal="left" vertical="top" indent="2" shrinkToFit="1"/>
    </xf>
    <xf numFmtId="3" fontId="19" fillId="0" borderId="13" xfId="0" applyNumberFormat="1" applyFont="1" applyBorder="1" applyAlignment="1">
      <alignment horizontal="left" vertical="top" indent="4" shrinkToFit="1"/>
    </xf>
    <xf numFmtId="3" fontId="19" fillId="0" borderId="13" xfId="0" applyNumberFormat="1" applyFont="1" applyBorder="1" applyAlignment="1">
      <alignment horizontal="left" vertical="top" indent="3" shrinkToFit="1"/>
    </xf>
    <xf numFmtId="175" fontId="19" fillId="0" borderId="14" xfId="0" applyNumberFormat="1" applyFont="1" applyBorder="1" applyAlignment="1">
      <alignment horizontal="left" vertical="top" indent="2" shrinkToFit="1"/>
    </xf>
    <xf numFmtId="166" fontId="20" fillId="0" borderId="11" xfId="1" applyNumberFormat="1" applyFont="1" applyFill="1" applyBorder="1" applyAlignment="1">
      <alignment horizontal="center" wrapText="1"/>
    </xf>
    <xf numFmtId="0" fontId="21" fillId="5" borderId="15" xfId="0" applyFont="1" applyFill="1" applyBorder="1" applyAlignment="1">
      <alignment horizontal="left" vertical="top" wrapText="1"/>
    </xf>
    <xf numFmtId="3" fontId="22" fillId="5" borderId="15" xfId="0" applyNumberFormat="1" applyFont="1" applyFill="1" applyBorder="1" applyAlignment="1">
      <alignment horizontal="right" vertical="top" shrinkToFit="1"/>
    </xf>
    <xf numFmtId="176" fontId="22" fillId="5" borderId="15" xfId="0" applyNumberFormat="1" applyFont="1" applyFill="1" applyBorder="1" applyAlignment="1">
      <alignment horizontal="center" vertical="top" shrinkToFit="1"/>
    </xf>
    <xf numFmtId="176" fontId="22" fillId="5" borderId="16" xfId="0" applyNumberFormat="1" applyFont="1" applyFill="1" applyBorder="1" applyAlignment="1">
      <alignment horizontal="right" vertical="top" indent="1" shrinkToFit="1"/>
    </xf>
    <xf numFmtId="0" fontId="18" fillId="0" borderId="11" xfId="0" applyFont="1" applyBorder="1" applyAlignment="1">
      <alignment horizontal="left" vertical="top" wrapText="1"/>
    </xf>
    <xf numFmtId="3" fontId="19" fillId="0" borderId="11" xfId="0" applyNumberFormat="1" applyFont="1" applyBorder="1" applyAlignment="1">
      <alignment horizontal="right" vertical="top" shrinkToFit="1"/>
    </xf>
    <xf numFmtId="175" fontId="19" fillId="0" borderId="11" xfId="0" applyNumberFormat="1" applyFont="1" applyBorder="1" applyAlignment="1">
      <alignment horizontal="right" vertical="top" indent="2" shrinkToFit="1"/>
    </xf>
    <xf numFmtId="175" fontId="19" fillId="0" borderId="11" xfId="0" applyNumberFormat="1" applyFont="1" applyBorder="1" applyAlignment="1">
      <alignment horizontal="center" vertical="top" shrinkToFit="1"/>
    </xf>
    <xf numFmtId="0" fontId="18" fillId="6" borderId="11" xfId="0" applyFont="1" applyFill="1" applyBorder="1" applyAlignment="1">
      <alignment horizontal="left" vertical="top" wrapText="1"/>
    </xf>
    <xf numFmtId="3" fontId="19" fillId="6" borderId="11" xfId="0" applyNumberFormat="1" applyFont="1" applyFill="1" applyBorder="1" applyAlignment="1">
      <alignment horizontal="right" vertical="top" shrinkToFit="1"/>
    </xf>
    <xf numFmtId="175" fontId="19" fillId="6" borderId="11" xfId="0" applyNumberFormat="1" applyFont="1" applyFill="1" applyBorder="1" applyAlignment="1">
      <alignment horizontal="right" vertical="top" indent="2" shrinkToFit="1"/>
    </xf>
    <xf numFmtId="175" fontId="19" fillId="6" borderId="11" xfId="0" applyNumberFormat="1" applyFont="1" applyFill="1" applyBorder="1" applyAlignment="1">
      <alignment horizontal="center" vertical="top" shrinkToFit="1"/>
    </xf>
    <xf numFmtId="0" fontId="23" fillId="7" borderId="11" xfId="0" applyFont="1" applyFill="1" applyBorder="1" applyAlignment="1">
      <alignment horizontal="left" vertical="top" wrapText="1"/>
    </xf>
    <xf numFmtId="3" fontId="20" fillId="7" borderId="11" xfId="0" applyNumberFormat="1" applyFont="1" applyFill="1" applyBorder="1" applyAlignment="1">
      <alignment horizontal="right" vertical="top" shrinkToFit="1"/>
    </xf>
    <xf numFmtId="176" fontId="20" fillId="7" borderId="11" xfId="0" applyNumberFormat="1" applyFont="1" applyFill="1" applyBorder="1" applyAlignment="1">
      <alignment horizontal="right" vertical="top" indent="2" shrinkToFit="1"/>
    </xf>
    <xf numFmtId="176" fontId="20" fillId="7" borderId="11" xfId="0" applyNumberFormat="1" applyFont="1" applyFill="1" applyBorder="1" applyAlignment="1">
      <alignment horizontal="center" vertical="top" shrinkToFit="1"/>
    </xf>
    <xf numFmtId="0" fontId="23" fillId="0" borderId="11" xfId="0" applyFont="1" applyBorder="1" applyAlignment="1">
      <alignment horizontal="left" vertical="top" wrapText="1"/>
    </xf>
    <xf numFmtId="3" fontId="20" fillId="0" borderId="11" xfId="0" applyNumberFormat="1" applyFont="1" applyBorder="1" applyAlignment="1">
      <alignment horizontal="right" vertical="top" shrinkToFit="1"/>
    </xf>
    <xf numFmtId="176" fontId="20" fillId="0" borderId="11" xfId="0" applyNumberFormat="1" applyFont="1" applyBorder="1" applyAlignment="1">
      <alignment horizontal="right" vertical="top" indent="2" shrinkToFit="1"/>
    </xf>
    <xf numFmtId="176" fontId="20" fillId="0" borderId="11" xfId="0" applyNumberFormat="1" applyFont="1" applyBorder="1" applyAlignment="1">
      <alignment horizontal="center" vertical="top" shrinkToFit="1"/>
    </xf>
    <xf numFmtId="0" fontId="23" fillId="5" borderId="11" xfId="0" applyFont="1" applyFill="1" applyBorder="1" applyAlignment="1">
      <alignment horizontal="left" vertical="top" wrapText="1"/>
    </xf>
    <xf numFmtId="3" fontId="20" fillId="5" borderId="11" xfId="0" applyNumberFormat="1" applyFont="1" applyFill="1" applyBorder="1" applyAlignment="1">
      <alignment horizontal="right" vertical="top" shrinkToFit="1"/>
    </xf>
    <xf numFmtId="176" fontId="20" fillId="5" borderId="11" xfId="0" applyNumberFormat="1" applyFont="1" applyFill="1" applyBorder="1" applyAlignment="1">
      <alignment horizontal="right" vertical="top" indent="2" shrinkToFit="1"/>
    </xf>
    <xf numFmtId="176" fontId="20" fillId="5" borderId="11" xfId="0" applyNumberFormat="1" applyFont="1" applyFill="1" applyBorder="1" applyAlignment="1">
      <alignment horizontal="center" vertical="top" shrinkToFit="1"/>
    </xf>
    <xf numFmtId="0" fontId="24" fillId="8" borderId="11" xfId="0" applyFont="1" applyFill="1" applyBorder="1" applyAlignment="1">
      <alignment horizontal="left" vertical="top" wrapText="1"/>
    </xf>
    <xf numFmtId="3" fontId="19" fillId="8" borderId="11" xfId="0" applyNumberFormat="1" applyFont="1" applyFill="1" applyBorder="1" applyAlignment="1">
      <alignment horizontal="right" vertical="top" shrinkToFit="1"/>
    </xf>
    <xf numFmtId="175" fontId="19" fillId="8" borderId="11" xfId="0" applyNumberFormat="1" applyFont="1" applyFill="1" applyBorder="1" applyAlignment="1">
      <alignment horizontal="left" vertical="top" indent="2" shrinkToFit="1"/>
    </xf>
    <xf numFmtId="175" fontId="19" fillId="8" borderId="10" xfId="0" applyNumberFormat="1" applyFont="1" applyFill="1" applyBorder="1" applyAlignment="1">
      <alignment horizontal="right" vertical="top" indent="1" shrinkToFit="1"/>
    </xf>
    <xf numFmtId="175" fontId="0" fillId="0" borderId="0" xfId="0" applyNumberFormat="1"/>
    <xf numFmtId="0" fontId="16" fillId="0" borderId="11" xfId="0" applyFont="1" applyBorder="1" applyAlignment="1">
      <alignment horizontal="left" vertical="top" wrapText="1"/>
    </xf>
    <xf numFmtId="176" fontId="20" fillId="0" borderId="11" xfId="0" applyNumberFormat="1" applyFont="1" applyBorder="1" applyAlignment="1">
      <alignment horizontal="left" vertical="top" indent="2" shrinkToFit="1"/>
    </xf>
    <xf numFmtId="0" fontId="16" fillId="9" borderId="11" xfId="0" applyFont="1" applyFill="1" applyBorder="1" applyAlignment="1">
      <alignment horizontal="left" vertical="top" wrapText="1"/>
    </xf>
    <xf numFmtId="3" fontId="20" fillId="9" borderId="11" xfId="0" applyNumberFormat="1" applyFont="1" applyFill="1" applyBorder="1" applyAlignment="1">
      <alignment horizontal="right" vertical="top" shrinkToFit="1"/>
    </xf>
    <xf numFmtId="176" fontId="20" fillId="9" borderId="11" xfId="0" applyNumberFormat="1" applyFont="1" applyFill="1" applyBorder="1" applyAlignment="1">
      <alignment horizontal="left" vertical="top" indent="2" shrinkToFit="1"/>
    </xf>
    <xf numFmtId="176" fontId="20" fillId="9" borderId="11" xfId="0" applyNumberFormat="1" applyFont="1" applyFill="1" applyBorder="1" applyAlignment="1">
      <alignment horizontal="right" vertical="top" indent="2" shrinkToFit="1"/>
    </xf>
    <xf numFmtId="0" fontId="16" fillId="0" borderId="17" xfId="0" applyFont="1" applyBorder="1" applyAlignment="1">
      <alignment horizontal="left" vertical="top" wrapText="1"/>
    </xf>
    <xf numFmtId="3" fontId="20" fillId="0" borderId="17" xfId="0" applyNumberFormat="1" applyFont="1" applyBorder="1" applyAlignment="1">
      <alignment horizontal="right" vertical="top" wrapText="1"/>
    </xf>
    <xf numFmtId="176" fontId="20" fillId="0" borderId="17" xfId="0" applyNumberFormat="1" applyFont="1" applyBorder="1" applyAlignment="1">
      <alignment horizontal="left" vertical="top" wrapText="1" indent="2"/>
    </xf>
    <xf numFmtId="176" fontId="20" fillId="0" borderId="18" xfId="0" applyNumberFormat="1" applyFont="1" applyBorder="1" applyAlignment="1">
      <alignment horizontal="right" vertical="top" wrapText="1" indent="1"/>
    </xf>
    <xf numFmtId="3" fontId="20" fillId="9" borderId="11" xfId="0" applyNumberFormat="1" applyFont="1" applyFill="1" applyBorder="1" applyAlignment="1">
      <alignment horizontal="right" vertical="top" wrapText="1"/>
    </xf>
    <xf numFmtId="176" fontId="20" fillId="9" borderId="11" xfId="0" applyNumberFormat="1" applyFont="1" applyFill="1" applyBorder="1" applyAlignment="1">
      <alignment horizontal="left" vertical="top" wrapText="1" indent="2"/>
    </xf>
    <xf numFmtId="176" fontId="20" fillId="9" borderId="10" xfId="0" applyNumberFormat="1" applyFont="1" applyFill="1" applyBorder="1" applyAlignment="1">
      <alignment horizontal="right" vertical="top" wrapText="1" indent="1"/>
    </xf>
    <xf numFmtId="3" fontId="20" fillId="0" borderId="11" xfId="0" applyNumberFormat="1" applyFont="1" applyBorder="1" applyAlignment="1">
      <alignment horizontal="right" vertical="top" wrapText="1"/>
    </xf>
    <xf numFmtId="176" fontId="20" fillId="0" borderId="11" xfId="0" applyNumberFormat="1" applyFont="1" applyBorder="1" applyAlignment="1">
      <alignment horizontal="left" vertical="top" wrapText="1" indent="2"/>
    </xf>
    <xf numFmtId="176" fontId="20" fillId="0" borderId="10" xfId="0" applyNumberFormat="1" applyFont="1" applyBorder="1" applyAlignment="1">
      <alignment horizontal="right" vertical="top" wrapText="1" indent="1"/>
    </xf>
    <xf numFmtId="0" fontId="24" fillId="0" borderId="19" xfId="0" applyFont="1" applyBorder="1" applyAlignment="1">
      <alignment horizontal="left" vertical="top" wrapText="1"/>
    </xf>
    <xf numFmtId="3" fontId="19" fillId="0" borderId="19" xfId="0" applyNumberFormat="1" applyFont="1" applyBorder="1" applyAlignment="1">
      <alignment horizontal="center" wrapText="1"/>
    </xf>
    <xf numFmtId="176" fontId="20" fillId="0" borderId="11" xfId="3" applyNumberFormat="1" applyFont="1" applyBorder="1" applyAlignment="1">
      <alignment horizontal="center" wrapText="1"/>
    </xf>
    <xf numFmtId="0" fontId="24" fillId="10" borderId="11" xfId="0" applyFont="1" applyFill="1" applyBorder="1" applyAlignment="1">
      <alignment horizontal="left" vertical="top" wrapText="1"/>
    </xf>
    <xf numFmtId="3" fontId="19" fillId="10" borderId="11" xfId="0" applyNumberFormat="1" applyFont="1" applyFill="1" applyBorder="1" applyAlignment="1">
      <alignment horizontal="center" wrapText="1"/>
    </xf>
    <xf numFmtId="176" fontId="20" fillId="11" borderId="11" xfId="3" applyNumberFormat="1" applyFont="1" applyFill="1" applyBorder="1" applyAlignment="1">
      <alignment horizontal="center" wrapText="1"/>
    </xf>
    <xf numFmtId="0" fontId="16" fillId="0" borderId="10" xfId="3" applyFont="1" applyBorder="1" applyAlignment="1">
      <alignment horizontal="left" vertical="top" wrapText="1"/>
    </xf>
    <xf numFmtId="0" fontId="16" fillId="11" borderId="10" xfId="3" applyFont="1" applyFill="1" applyBorder="1" applyAlignment="1">
      <alignment horizontal="left" vertical="top" wrapText="1"/>
    </xf>
    <xf numFmtId="3" fontId="20" fillId="11" borderId="11" xfId="3" applyNumberFormat="1" applyFont="1" applyFill="1" applyBorder="1" applyAlignment="1">
      <alignment horizontal="center" wrapText="1"/>
    </xf>
    <xf numFmtId="3" fontId="20" fillId="0" borderId="11" xfId="3" applyNumberFormat="1" applyFont="1" applyBorder="1" applyAlignment="1">
      <alignment horizontal="center" wrapText="1"/>
    </xf>
    <xf numFmtId="0" fontId="16" fillId="11" borderId="11" xfId="3" applyFont="1" applyFill="1" applyBorder="1" applyAlignment="1">
      <alignment horizontal="left" vertical="top" wrapText="1"/>
    </xf>
    <xf numFmtId="0" fontId="16" fillId="0" borderId="11" xfId="3" applyFont="1" applyBorder="1" applyAlignment="1">
      <alignment horizontal="left" vertical="top" wrapText="1"/>
    </xf>
    <xf numFmtId="0" fontId="15" fillId="2" borderId="0" xfId="3" applyFill="1" applyAlignment="1">
      <alignment horizontal="left" vertical="top"/>
    </xf>
    <xf numFmtId="43" fontId="15" fillId="0" borderId="0" xfId="1" applyFont="1" applyFill="1" applyBorder="1" applyAlignment="1">
      <alignment horizontal="center" vertical="top"/>
    </xf>
    <xf numFmtId="43" fontId="15" fillId="0" borderId="0" xfId="3" applyNumberFormat="1" applyAlignment="1">
      <alignment horizontal="center" vertical="top"/>
    </xf>
    <xf numFmtId="0" fontId="25" fillId="0" borderId="0" xfId="0" applyFont="1"/>
    <xf numFmtId="0" fontId="0" fillId="0" borderId="0" xfId="0" applyAlignment="1">
      <alignment horizontal="center"/>
    </xf>
    <xf numFmtId="43" fontId="0" fillId="0" borderId="0" xfId="0" applyNumberFormat="1" applyAlignment="1">
      <alignment horizontal="center"/>
    </xf>
    <xf numFmtId="0" fontId="25" fillId="0" borderId="0" xfId="3" applyFont="1" applyAlignment="1">
      <alignment horizontal="left" vertical="top"/>
    </xf>
    <xf numFmtId="166" fontId="0" fillId="0" borderId="0" xfId="0" applyNumberFormat="1" applyAlignment="1">
      <alignment horizontal="center"/>
    </xf>
  </cellXfs>
  <cellStyles count="4">
    <cellStyle name="Comma" xfId="1" builtinId="3"/>
    <cellStyle name="Normal" xfId="0" builtinId="0"/>
    <cellStyle name="Normal 2" xfId="3" xr:uid="{A3A22643-8AAA-4081-8954-75B1A153E65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9524</xdr:rowOff>
    </xdr:from>
    <xdr:to>
      <xdr:col>12</xdr:col>
      <xdr:colOff>311020</xdr:colOff>
      <xdr:row>57</xdr:row>
      <xdr:rowOff>54430</xdr:rowOff>
    </xdr:to>
    <xdr:sp macro="" textlink="">
      <xdr:nvSpPr>
        <xdr:cNvPr id="2" name="TextBox 1">
          <a:extLst>
            <a:ext uri="{FF2B5EF4-FFF2-40B4-BE49-F238E27FC236}">
              <a16:creationId xmlns:a16="http://schemas.microsoft.com/office/drawing/2014/main" id="{65D12DD4-07F1-4B8B-ADB1-E4FA5275C945}"/>
            </a:ext>
          </a:extLst>
        </xdr:cNvPr>
        <xdr:cNvSpPr txBox="1"/>
      </xdr:nvSpPr>
      <xdr:spPr>
        <a:xfrm>
          <a:off x="0" y="9524"/>
          <a:ext cx="7016620" cy="10469066"/>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mn-lt"/>
              <a:ea typeface="+mn-ea"/>
              <a:cs typeface="+mn-cs"/>
            </a:rPr>
            <a:t>2023 IEPR Preliminary </a:t>
          </a:r>
          <a:r>
            <a:rPr kumimoji="0" lang="en-US" sz="1400" b="1" i="0" u="none" strike="noStrike" kern="0" cap="none" spc="0" normalizeH="0" baseline="0" noProof="0">
              <a:ln>
                <a:noFill/>
              </a:ln>
              <a:solidFill>
                <a:sysClr val="windowText" lastClr="000000"/>
              </a:solidFill>
              <a:effectLst/>
              <a:uLnTx/>
              <a:uFillTx/>
              <a:latin typeface="Calibri"/>
              <a:ea typeface="+mn-ea"/>
              <a:cs typeface="+mn-cs"/>
            </a:rPr>
            <a:t>GHG Allowance Price Projections</a:t>
          </a:r>
          <a:endParaRPr kumimoji="0" lang="en-US" sz="14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Energy Assessment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10-24-23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eaLnBrk="1" fontAlgn="auto" latinLnBrk="0" hangingPunct="1"/>
          <a:r>
            <a:rPr lang="en-US" sz="1100" b="1" i="0" baseline="0">
              <a:effectLst/>
              <a:latin typeface="+mn-lt"/>
              <a:ea typeface="+mn-ea"/>
              <a:cs typeface="+mn-cs"/>
            </a:rPr>
            <a:t>Author</a:t>
          </a:r>
          <a:r>
            <a:rPr lang="en-US" sz="1100" b="0" i="0" baseline="0">
              <a:effectLst/>
              <a:latin typeface="+mn-lt"/>
              <a:ea typeface="+mn-ea"/>
              <a:cs typeface="+mn-cs"/>
            </a:rPr>
            <a:t>:</a:t>
          </a:r>
          <a:endParaRPr lang="en-US">
            <a:effectLst/>
          </a:endParaRPr>
        </a:p>
        <a:p>
          <a:pPr eaLnBrk="1" fontAlgn="auto" latinLnBrk="0" hangingPunct="1"/>
          <a:r>
            <a:rPr lang="en-US" sz="1100" b="0" i="0" baseline="0">
              <a:effectLst/>
              <a:latin typeface="+mn-lt"/>
              <a:ea typeface="+mn-ea"/>
              <a:cs typeface="+mn-cs"/>
            </a:rPr>
            <a:t>Lynn Marshall, Energy Assessments Division, California Energy Commission. Lynn.Marshall@energy.ca.gov </a:t>
          </a:r>
          <a:endParaRPr lang="en-US">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Summary:</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r>
            <a:rPr kumimoji="0" lang="en-US" sz="1100" b="0" i="0" u="none" strike="noStrike" kern="0" cap="none" spc="0" normalizeH="0" baseline="0" noProof="0">
              <a:ln>
                <a:noFill/>
              </a:ln>
              <a:solidFill>
                <a:sysClr val="windowText" lastClr="000000"/>
              </a:solidFill>
              <a:effectLst/>
              <a:uLnTx/>
              <a:uFillTx/>
              <a:latin typeface="Calibri"/>
            </a:rPr>
            <a:t> </a:t>
          </a:r>
          <a:r>
            <a:rPr lang="en-US" sz="1100" b="0" i="0" u="none" strike="noStrike">
              <a:effectLst/>
              <a:latin typeface="Calibri" panose="020F0502020204030204" pitchFamily="34" charset="0"/>
              <a:ea typeface="+mn-ea"/>
              <a:cs typeface="+mn-cs"/>
            </a:rPr>
            <a:t>This spreadsheet presents preliminary California</a:t>
          </a:r>
          <a:r>
            <a:rPr lang="en-US" sz="1100" b="0" i="0" u="none" strike="noStrike" baseline="0">
              <a:effectLst/>
              <a:latin typeface="Calibri" panose="020F0502020204030204" pitchFamily="34" charset="0"/>
              <a:ea typeface="+mn-ea"/>
              <a:cs typeface="+mn-cs"/>
            </a:rPr>
            <a:t> Greenhouse Gas Allowance </a:t>
          </a:r>
          <a:r>
            <a:rPr lang="en-US" sz="1100" b="0" i="0" u="none" strike="noStrike">
              <a:effectLst/>
              <a:latin typeface="Calibri" panose="020F0502020204030204" pitchFamily="34" charset="0"/>
              <a:ea typeface="+mn-ea"/>
              <a:cs typeface="+mn-cs"/>
            </a:rPr>
            <a:t>price projections for</a:t>
          </a:r>
          <a:r>
            <a:rPr lang="en-US" sz="1100" b="0" i="0" u="none" strike="noStrike" baseline="0">
              <a:effectLst/>
              <a:latin typeface="Calibri" panose="020F0502020204030204" pitchFamily="34" charset="0"/>
              <a:ea typeface="+mn-ea"/>
              <a:cs typeface="+mn-cs"/>
            </a:rPr>
            <a:t> the </a:t>
          </a:r>
          <a:r>
            <a:rPr lang="en-US" sz="1100" b="0" i="1" u="none" strike="noStrike">
              <a:effectLst/>
              <a:latin typeface="Calibri" panose="020F0502020204030204" pitchFamily="34" charset="0"/>
              <a:ea typeface="+mn-ea"/>
              <a:cs typeface="+mn-cs"/>
            </a:rPr>
            <a:t>2023 IEPR</a:t>
          </a:r>
          <a:r>
            <a:rPr lang="en-US" sz="1100" b="0" i="0" u="none" strike="noStrike">
              <a:effectLst/>
              <a:latin typeface="Calibri" panose="020F0502020204030204" pitchFamily="34" charset="0"/>
              <a:ea typeface="+mn-ea"/>
              <a:cs typeface="+mn-cs"/>
            </a:rPr>
            <a:t>.</a:t>
          </a:r>
          <a:r>
            <a:rPr lang="en-US" sz="1100" b="0" i="0" u="none" strike="noStrike" baseline="0">
              <a:effectLst/>
              <a:latin typeface="Calibri" panose="020F0502020204030204" pitchFamily="34" charset="0"/>
              <a:ea typeface="+mn-ea"/>
              <a:cs typeface="+mn-cs"/>
            </a:rPr>
            <a:t> </a:t>
          </a:r>
          <a:r>
            <a:rPr lang="en-US" sz="1100" b="0" i="0">
              <a:latin typeface="Calibri" panose="020F0502020204030204" pitchFamily="34" charset="0"/>
            </a:rPr>
            <a:t>T</a:t>
          </a:r>
          <a:r>
            <a:rPr lang="en-US" sz="1100" b="0" i="0" u="none" strike="noStrike">
              <a:effectLst/>
              <a:latin typeface="Calibri" panose="020F0502020204030204" pitchFamily="34" charset="0"/>
              <a:ea typeface="+mn-ea"/>
              <a:cs typeface="+mn-cs"/>
            </a:rPr>
            <a:t>hese projections are consistent</a:t>
          </a:r>
          <a:r>
            <a:rPr lang="en-US" sz="1100" b="0" i="0" u="none" strike="noStrike" baseline="0">
              <a:effectLst/>
              <a:latin typeface="Calibri" panose="020F0502020204030204" pitchFamily="34" charset="0"/>
              <a:ea typeface="+mn-ea"/>
              <a:cs typeface="+mn-cs"/>
            </a:rPr>
            <a:t> with amendments to Regulations for the </a:t>
          </a:r>
          <a:r>
            <a:rPr lang="en-US" sz="1100" b="0" i="0">
              <a:effectLst/>
              <a:latin typeface="Calibri" panose="020F0502020204030204" pitchFamily="34" charset="0"/>
              <a:ea typeface="+mn-ea"/>
              <a:cs typeface="+mn-cs"/>
            </a:rPr>
            <a:t>California Cap on Greenhouse Gas Emissions and Market-Based Compliance Mechanisms</a:t>
          </a:r>
          <a:r>
            <a:rPr lang="en-US" sz="1100" b="0" i="0" u="none" baseline="0">
              <a:effectLst/>
              <a:latin typeface="Calibri" panose="020F0502020204030204" pitchFamily="34" charset="0"/>
              <a:ea typeface="+mn-ea"/>
              <a:cs typeface="+mn-cs"/>
            </a:rPr>
            <a:t> approved by the</a:t>
          </a:r>
          <a:r>
            <a:rPr lang="en-US" sz="1100" b="0" i="0" u="none">
              <a:effectLst/>
              <a:latin typeface="Calibri" panose="020F0502020204030204" pitchFamily="34" charset="0"/>
              <a:ea typeface="+mn-ea"/>
              <a:cs typeface="+mn-cs"/>
            </a:rPr>
            <a:t> </a:t>
          </a:r>
          <a:r>
            <a:rPr lang="en-US" sz="1100" b="0" i="0" baseline="0">
              <a:effectLst/>
              <a:latin typeface="Calibri" panose="020F0502020204030204" pitchFamily="34" charset="0"/>
              <a:ea typeface="+mn-ea"/>
              <a:cs typeface="+mn-cs"/>
            </a:rPr>
            <a:t>California </a:t>
          </a:r>
          <a:r>
            <a:rPr lang="en-US" sz="1100" b="0" i="0">
              <a:effectLst/>
              <a:latin typeface="Calibri" panose="020F0502020204030204" pitchFamily="34" charset="0"/>
              <a:ea typeface="+mn-ea"/>
              <a:cs typeface="+mn-cs"/>
            </a:rPr>
            <a:t>Air Resource Board</a:t>
          </a:r>
          <a:r>
            <a:rPr lang="en-US" sz="1100" b="0" i="0" baseline="0">
              <a:effectLst/>
              <a:latin typeface="Calibri" panose="020F0502020204030204" pitchFamily="34" charset="0"/>
              <a:ea typeface="+mn-ea"/>
              <a:cs typeface="+mn-cs"/>
            </a:rPr>
            <a:t>  (CARB) December 13, 2018</a:t>
          </a:r>
          <a:r>
            <a:rPr lang="en-US" sz="1100" b="0" i="0">
              <a:latin typeface="Calibri" panose="020F0502020204030204" pitchFamily="34" charset="0"/>
            </a:rPr>
            <a:t>. </a:t>
          </a:r>
          <a:r>
            <a:rPr lang="en-US" sz="1100" b="0" i="0">
              <a:effectLst/>
              <a:latin typeface="Calibri" panose="020F0502020204030204" pitchFamily="34" charset="0"/>
              <a:ea typeface="+mn-ea"/>
              <a:cs typeface="+mn-cs"/>
            </a:rPr>
            <a:t>The adopted regulations have the following  features: </a:t>
          </a:r>
        </a:p>
        <a:p>
          <a:pPr marL="171450" indent="-171450">
            <a:buFont typeface="Arial" panose="020B0604020202020204" pitchFamily="34" charset="0"/>
            <a:buChar char="•"/>
          </a:pPr>
          <a:r>
            <a:rPr lang="en-US" sz="1100" b="0" i="0">
              <a:effectLst/>
              <a:latin typeface="Calibri" panose="020F0502020204030204" pitchFamily="34" charset="0"/>
              <a:ea typeface="+mn-ea"/>
              <a:cs typeface="+mn-cs"/>
            </a:rPr>
            <a:t> A $65 (nominal) price ceiling value in 2021. </a:t>
          </a:r>
        </a:p>
        <a:p>
          <a:pPr marL="171450" lvl="0" indent="-171450">
            <a:buFont typeface="Arial" panose="020B0604020202020204" pitchFamily="34" charset="0"/>
            <a:buChar char="•"/>
          </a:pPr>
          <a:r>
            <a:rPr lang="en-US" sz="1100" b="0" i="0">
              <a:effectLst/>
              <a:latin typeface="Calibri" panose="020F0502020204030204" pitchFamily="34" charset="0"/>
              <a:ea typeface="+mn-ea"/>
              <a:cs typeface="+mn-cs"/>
            </a:rPr>
            <a:t>A new post-2020 Reserve Tier 1 price fixed at the halfway point of the Auction Reserve Price (floor price) and price ceiling in all years ($41.40 in 2021). </a:t>
          </a:r>
        </a:p>
        <a:p>
          <a:pPr marL="171450" lvl="0" indent="-171450">
            <a:buFont typeface="Arial" panose="020B0604020202020204" pitchFamily="34" charset="0"/>
            <a:buChar char="•"/>
          </a:pPr>
          <a:r>
            <a:rPr lang="en-US" sz="1100" b="0" i="0">
              <a:effectLst/>
              <a:latin typeface="Calibri" panose="020F0502020204030204" pitchFamily="34" charset="0"/>
              <a:ea typeface="+mn-ea"/>
              <a:cs typeface="+mn-cs"/>
            </a:rPr>
            <a:t>A new post-2020 Reserve Tier 2 price fixed at the three-quarter point of the Auction Reserve Price and the price ceiling in all years ($53.2 in 2021). </a:t>
          </a:r>
        </a:p>
        <a:p>
          <a:pPr marL="171450" lvl="0" indent="-171450">
            <a:buFont typeface="Arial" panose="020B0604020202020204" pitchFamily="34" charset="0"/>
            <a:buChar char="•"/>
          </a:pPr>
          <a:r>
            <a:rPr lang="en-US" sz="1100" b="0" i="0">
              <a:effectLst/>
              <a:latin typeface="Calibri" panose="020F0502020204030204" pitchFamily="34" charset="0"/>
              <a:ea typeface="+mn-ea"/>
              <a:cs typeface="+mn-cs"/>
            </a:rPr>
            <a:t>After 2021, tier prices and the price ceiling escalate annually at 5 percent plus inflation, measured</a:t>
          </a:r>
          <a:r>
            <a:rPr lang="en-US" sz="1100" b="0" i="0" baseline="0">
              <a:effectLst/>
              <a:latin typeface="Calibri" panose="020F0502020204030204" pitchFamily="34" charset="0"/>
              <a:ea typeface="+mn-ea"/>
              <a:cs typeface="+mn-cs"/>
            </a:rPr>
            <a:t> by the all-urban Consumer Price Index (CPI)</a:t>
          </a:r>
          <a:r>
            <a:rPr lang="en-US" sz="1100" b="0" i="0">
              <a:effectLst/>
              <a:latin typeface="Calibri" panose="020F0502020204030204" pitchFamily="34" charset="0"/>
              <a:ea typeface="+mn-ea"/>
              <a:cs typeface="+mn-cs"/>
            </a:rPr>
            <a:t>. The Auction Reserve Price</a:t>
          </a:r>
          <a:r>
            <a:rPr lang="en-US" sz="1100" b="0" i="0" baseline="0">
              <a:effectLst/>
              <a:latin typeface="Calibri" panose="020F0502020204030204" pitchFamily="34" charset="0"/>
              <a:ea typeface="+mn-ea"/>
              <a:cs typeface="+mn-cs"/>
            </a:rPr>
            <a:t> </a:t>
          </a:r>
          <a:r>
            <a:rPr lang="en-US" sz="1100" b="0" i="0">
              <a:effectLst/>
              <a:latin typeface="Calibri" panose="020F0502020204030204" pitchFamily="34" charset="0"/>
              <a:ea typeface="+mn-ea"/>
              <a:cs typeface="+mn-cs"/>
            </a:rPr>
            <a:t>escalates at the same rate.</a:t>
          </a:r>
        </a:p>
        <a:p>
          <a:r>
            <a:rPr lang="en-US" sz="1100" b="0" i="0">
              <a:effectLst/>
              <a:latin typeface="Calibri" panose="020F0502020204030204" pitchFamily="34" charset="0"/>
              <a:ea typeface="+mn-ea"/>
              <a:cs typeface="+mn-cs"/>
            </a:rPr>
            <a:t>When prices reach a given tier price, regulated entities may purchase from a pool of allowances set aside for that tier. If prices reach the ceiling, CARB must make unlimited allowances available</a:t>
          </a:r>
          <a:r>
            <a:rPr lang="en-US" sz="1100" b="0" i="0">
              <a:effectLst/>
              <a:latin typeface="+mn-lt"/>
              <a:ea typeface="+mn-ea"/>
              <a:cs typeface="+mn-cs"/>
            </a:rPr>
            <a:t> at that</a:t>
          </a:r>
          <a:r>
            <a:rPr lang="en-US" sz="1100" b="0" i="0" baseline="0">
              <a:effectLst/>
              <a:latin typeface="+mn-lt"/>
              <a:ea typeface="+mn-ea"/>
              <a:cs typeface="+mn-cs"/>
            </a:rPr>
            <a:t> price</a:t>
          </a:r>
          <a:r>
            <a:rPr lang="en-US" sz="1100" b="0" i="0">
              <a:effectLst/>
              <a:latin typeface="+mn-lt"/>
              <a:ea typeface="+mn-ea"/>
              <a:cs typeface="+mn-cs"/>
            </a:rPr>
            <a:t>, although CARB has indicated it believes the price ceiling is extremely unlikely to be reached</a:t>
          </a:r>
          <a:r>
            <a:rPr lang="en-US" sz="1100" b="0" i="0">
              <a:effectLst/>
              <a:latin typeface="Calibri" panose="020F0502020204030204" pitchFamily="34" charset="0"/>
              <a:ea typeface="+mn-ea"/>
              <a:cs typeface="+mn-cs"/>
            </a:rPr>
            <a:t>. Meanwhile, the</a:t>
          </a:r>
          <a:r>
            <a:rPr lang="en-US" sz="1100" b="0" i="0" baseline="0">
              <a:effectLst/>
              <a:latin typeface="Calibri" panose="020F0502020204030204" pitchFamily="34" charset="0"/>
              <a:ea typeface="+mn-ea"/>
              <a:cs typeface="+mn-cs"/>
            </a:rPr>
            <a:t> increased supply of</a:t>
          </a:r>
          <a:r>
            <a:rPr lang="en-US" sz="1100" b="0" i="0">
              <a:effectLst/>
              <a:latin typeface="Calibri" panose="020F0502020204030204" pitchFamily="34" charset="0"/>
              <a:ea typeface="+mn-ea"/>
              <a:cs typeface="+mn-cs"/>
            </a:rPr>
            <a:t> allowances at Tier 1 and Tier 2 will slow price increases at those levels. In scenario analysis of similar</a:t>
          </a:r>
          <a:r>
            <a:rPr lang="en-US" sz="1100" b="0" i="0" baseline="0">
              <a:effectLst/>
              <a:latin typeface="Calibri" panose="020F0502020204030204" pitchFamily="34" charset="0"/>
              <a:ea typeface="+mn-ea"/>
              <a:cs typeface="+mn-cs"/>
            </a:rPr>
            <a:t> structures, </a:t>
          </a:r>
          <a:r>
            <a:rPr lang="en-US" sz="1100" b="0" i="0">
              <a:effectLst/>
              <a:latin typeface="+mn-lt"/>
              <a:ea typeface="+mn-ea"/>
              <a:cs typeface="+mn-cs"/>
            </a:rPr>
            <a:t>Borenstein,</a:t>
          </a:r>
          <a:r>
            <a:rPr lang="en-US" sz="1100" b="0" i="0" baseline="0">
              <a:effectLst/>
              <a:latin typeface="+mn-lt"/>
              <a:ea typeface="+mn-ea"/>
              <a:cs typeface="+mn-cs"/>
            </a:rPr>
            <a:t> Bushell and Wolak (2017)</a:t>
          </a:r>
          <a:r>
            <a:rPr lang="en-US" sz="1100" b="0" i="0" baseline="0">
              <a:effectLst/>
              <a:latin typeface="Calibri" panose="020F0502020204030204" pitchFamily="34" charset="0"/>
              <a:ea typeface="+mn-ea"/>
              <a:cs typeface="+mn-cs"/>
            </a:rPr>
            <a:t> found probability-weighted expected prices in 2030 in the $40-$60 range, but with high probabilities of being either at the cap or floor price. T</a:t>
          </a:r>
          <a:r>
            <a:rPr lang="en-US" sz="1100" b="0" i="0">
              <a:effectLst/>
              <a:latin typeface="Calibri" panose="020F0502020204030204" pitchFamily="34" charset="0"/>
              <a:ea typeface="+mn-ea"/>
              <a:cs typeface="+mn-cs"/>
            </a:rPr>
            <a:t>herefore, staff selected </a:t>
          </a:r>
          <a:r>
            <a:rPr lang="en-US" sz="1100" b="0" i="0">
              <a:effectLst/>
              <a:latin typeface="+mn-lt"/>
              <a:ea typeface="+mn-ea"/>
              <a:cs typeface="+mn-cs"/>
            </a:rPr>
            <a:t>the 2035 Tier 1 price for</a:t>
          </a:r>
          <a:r>
            <a:rPr lang="en-US" sz="1100" b="0" i="0" baseline="0">
              <a:effectLst/>
              <a:latin typeface="+mn-lt"/>
              <a:ea typeface="+mn-ea"/>
              <a:cs typeface="+mn-cs"/>
            </a:rPr>
            <a:t> the mid case.</a:t>
          </a:r>
        </a:p>
        <a:p>
          <a:endParaRPr lang="en-US" sz="1100" b="0" i="0">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Because credits are bankable over time, economic theory predicts that the price in any given year will equal the present discounted value of the final equilibrium price. For this forecst it is assumed that the forecast will reach the tier 1 price by 2030, and stay at tier 1 for the remainder of the forecast.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a:effectLst/>
              <a:latin typeface="+mn-lt"/>
              <a:ea typeface="+mn-ea"/>
              <a:cs typeface="+mn-cs"/>
            </a:rPr>
            <a:t>The current program regulations</a:t>
          </a:r>
          <a:r>
            <a:rPr lang="en-US" sz="1100" b="0" i="0" baseline="0">
              <a:effectLst/>
              <a:latin typeface="+mn-lt"/>
              <a:ea typeface="+mn-ea"/>
              <a:cs typeface="+mn-cs"/>
            </a:rPr>
            <a:t> extend only through 2030. CARB is planning revisions that will  affect allocations and prices beginning in 2025, but analysis was not yet available for this forecast. Because auction and market prices increased significantly after CARB announced scope of proposed changes, the starting point of the forecast is benchmarked to Q3 auction prices.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Sources: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The quarterly posted GHG auction price results: http://www.arb.ca.gov/cc/capandtrade/auction/auction.htm.  All prices are in USD.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California Energy Demand Forecast, 2023-2040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Deflator Series, using Moody's Analytics, May 2023 GDP Deflator and CPI Forecast.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CARB </a:t>
          </a:r>
          <a:r>
            <a:rPr lang="en-US" sz="1100" b="0" i="1">
              <a:effectLst/>
              <a:latin typeface="Calibri" panose="020F0502020204030204" pitchFamily="34" charset="0"/>
              <a:ea typeface="+mn-ea"/>
              <a:cs typeface="+mn-cs"/>
            </a:rPr>
            <a:t>California Cap on Greenhouse Gas Emissions and Market-Based Compliance Mechanisms Regulation</a:t>
          </a:r>
          <a:r>
            <a:rPr lang="en-US" sz="1100" b="0" i="0">
              <a:effectLst/>
              <a:latin typeface="Calibri" panose="020F0502020204030204" pitchFamily="34" charset="0"/>
              <a:ea typeface="+mn-ea"/>
              <a:cs typeface="+mn-cs"/>
            </a:rPr>
            <a:t>,</a:t>
          </a:r>
          <a:r>
            <a:rPr lang="en-US" sz="1100" b="0" i="0" baseline="0">
              <a:effectLst/>
              <a:latin typeface="Calibri" panose="020F0502020204030204" pitchFamily="34" charset="0"/>
              <a:ea typeface="+mn-ea"/>
              <a:cs typeface="+mn-cs"/>
            </a:rPr>
            <a:t>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https://www.arb.ca.gov/regact/2018/capandtrade18/capandtrade18.htm.</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baseline="0">
              <a:effectLst/>
              <a:latin typeface="Calibri" panose="020F0502020204030204" pitchFamily="34" charset="0"/>
              <a:ea typeface="+mn-ea"/>
              <a:cs typeface="+mn-cs"/>
            </a:rPr>
            <a:t>Staff Report: Initial Statement of Reasons</a:t>
          </a:r>
          <a:r>
            <a:rPr lang="en-US" sz="1100" b="0" i="0" baseline="0">
              <a:effectLst/>
              <a:latin typeface="Calibri" panose="020F0502020204030204" pitchFamily="34" charset="0"/>
              <a:ea typeface="+mn-ea"/>
              <a:cs typeface="+mn-cs"/>
            </a:rPr>
            <a:t>, September 4, 2018,  https://www.arb.ca.gov/regact/2018/capandtrade18/ct18isor.pdf</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a:effectLst/>
              <a:latin typeface="+mn-lt"/>
              <a:ea typeface="+mn-ea"/>
              <a:cs typeface="+mn-cs"/>
            </a:rPr>
            <a:t>"Expecting the Unexpected: Emissions Uncertainty and Environmental Market Design", Borenstein,</a:t>
          </a:r>
          <a:r>
            <a:rPr lang="en-US" sz="1100" b="0" i="0" baseline="0">
              <a:effectLst/>
              <a:latin typeface="+mn-lt"/>
              <a:ea typeface="+mn-ea"/>
              <a:cs typeface="+mn-cs"/>
            </a:rPr>
            <a:t> Bushell and Wolak, July 2017, </a:t>
          </a:r>
          <a:r>
            <a:rPr lang="en-US" sz="1100" b="0" i="0">
              <a:effectLst/>
              <a:latin typeface="+mn-lt"/>
              <a:ea typeface="+mn-ea"/>
              <a:cs typeface="+mn-cs"/>
            </a:rPr>
            <a:t>https://ei.haas.berkeley.edu/research/papers/WP281.pdf</a:t>
          </a:r>
        </a:p>
        <a:p>
          <a:r>
            <a:rPr lang="en-US" sz="1100" b="0" i="0" u="none" strike="noStrike" baseline="0">
              <a:latin typeface="+mn-lt"/>
              <a:ea typeface="+mn-ea"/>
              <a:cs typeface="+mn-cs"/>
            </a:rPr>
            <a:t>CARB 2022 SCOPING PLAN FOR ACHIEVING CARBON NEUTRALITY, NOVEMBER 16, 2022 </a:t>
          </a:r>
        </a:p>
        <a:p>
          <a:r>
            <a:rPr lang="en-US" sz="1100">
              <a:effectLst/>
              <a:latin typeface="Calibri" panose="020F0502020204030204" pitchFamily="34" charset="0"/>
            </a:rPr>
            <a:t>https://ww2.arb.ca.gov/sites/default/files/2022-12/2022-sp.pdf</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Key Caveats: </a:t>
          </a:r>
          <a:r>
            <a:rPr lang="en-US" sz="1100" b="0" i="0">
              <a:effectLst/>
              <a:latin typeface="Calibri" panose="020F0502020204030204" pitchFamily="34" charset="0"/>
              <a:ea typeface="+mn-ea"/>
              <a:cs typeface="+mn-cs"/>
            </a:rPr>
            <a:t>Because of the many non-market policies that affect California emissions and abatement, emissions uncertainty is very large and increases the probability that prices will be near the floor or ceiling. </a:t>
          </a:r>
          <a:r>
            <a:rPr lang="en-US" sz="1100" b="0" i="0">
              <a:effectLst/>
              <a:latin typeface="+mn-lt"/>
              <a:ea typeface="+mn-ea"/>
              <a:cs typeface="+mn-cs"/>
            </a:rPr>
            <a:t>For an analysis of this issue under the previously adopted CARB regulations, see "Expecting the Unexpected: Emissions Uncertainty and Environmental Market Design", Borenstein,</a:t>
          </a:r>
          <a:r>
            <a:rPr lang="en-US" sz="1100" b="0" i="0" baseline="0">
              <a:effectLst/>
              <a:latin typeface="+mn-lt"/>
              <a:ea typeface="+mn-ea"/>
              <a:cs typeface="+mn-cs"/>
            </a:rPr>
            <a:t> Bushell et al., June 2018, </a:t>
          </a:r>
          <a:r>
            <a:rPr lang="en-US" sz="1100" b="0" i="0">
              <a:effectLst/>
              <a:latin typeface="+mn-lt"/>
              <a:ea typeface="+mn-ea"/>
              <a:cs typeface="+mn-cs"/>
            </a:rPr>
            <a:t>https://ei.haas.berkeley.edu/research/papers/WP274.pdf</a:t>
          </a:r>
          <a:r>
            <a:rPr lang="en-US" sz="1100" b="0" i="0">
              <a:effectLst/>
              <a:latin typeface="Calibri" panose="020F0502020204030204" pitchFamily="34" charset="0"/>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Updates: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October 2023: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Uses the August 2023 auction price as the 2023 average price, so that the forecast reflects market response after CARB outlined the scope of planned revisons beginning in 2025. It is now assumed that the forecast will reach the tier 1 price by 2030, and stay at tier 1 for the remainder of the forecast.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Jan. 2023: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Added 2023 reserve price ($19.20) and final 2022 auction prices. Extended the mid-case scenario to reach the CARB Scoping Plan estimated cost per ton of remaining emissions in 2045 ($236 in 2018$).</a:t>
          </a:r>
          <a:endPar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Sept. 2022: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Updated 2022 mid case to reflect 2022 auction prices to date.</a:t>
          </a:r>
          <a:endPar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Dec. 2021: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Updated 2022 auction reserve price to 19.7; incorporated 2021 auction data.</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effectLst/>
              <a:latin typeface="+mn-lt"/>
              <a:ea typeface="+mn-ea"/>
              <a:cs typeface="+mn-cs"/>
            </a:rPr>
            <a:t>Sept. 2021 </a:t>
          </a:r>
          <a:r>
            <a:rPr lang="en-US" sz="1100" b="0" i="0" baseline="0">
              <a:effectLst/>
              <a:latin typeface="+mn-lt"/>
              <a:ea typeface="+mn-ea"/>
              <a:cs typeface="+mn-cs"/>
            </a:rPr>
            <a:t>Updated 2021 price to include August 2021 auction and updated deflators.</a:t>
          </a: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April 2021: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Set tier 1 price target for 2035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January 2020: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Incorporated </a:t>
          </a:r>
          <a:r>
            <a:rPr lang="en-US" sz="1100" b="0" i="0" baseline="0">
              <a:effectLst/>
              <a:latin typeface="+mn-lt"/>
              <a:ea typeface="+mn-ea"/>
              <a:cs typeface="+mn-cs"/>
            </a:rPr>
            <a:t>2019 auction results and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2020 auction reserve price of $16.68 (https://ww3.arb.ca.gov/cc/capandtrade/auction/feb-2020/notice.pdf).  Updated GDP and CPI series with June 2019 Moody's projections. Added 2045 mid-case scenario developed for time dependent valuation for the Title 24 Building Standards.</a:t>
          </a:r>
          <a:endParaRPr lang="en-US" sz="1100" b="0" i="0">
            <a:effectLst/>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March 2019</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 This is the first version modeling revised regulations per AB 398 and incorporates  comments received from CARB 3/12/2019. Previous carbon price forecasts are documented in https://efiling.energy.ca.gov/GetDocument.aspx?tn=222145</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382E3-F08C-4A2C-954B-C338A1F9181D}">
  <sheetPr>
    <pageSetUpPr fitToPage="1"/>
  </sheetPr>
  <dimension ref="A1:B2"/>
  <sheetViews>
    <sheetView tabSelected="1" topLeftCell="B1" zoomScale="98" zoomScaleNormal="98" workbookViewId="0">
      <selection activeCell="P47" sqref="P47"/>
    </sheetView>
  </sheetViews>
  <sheetFormatPr defaultRowHeight="14.4" x14ac:dyDescent="0.3"/>
  <cols>
    <col min="1" max="1" width="2.44140625" hidden="1" customWidth="1"/>
  </cols>
  <sheetData>
    <row r="1" spans="2:2" x14ac:dyDescent="0.3">
      <c r="B1" t="s">
        <v>0</v>
      </c>
    </row>
    <row r="2" spans="2:2" x14ac:dyDescent="0.3">
      <c r="B2" t="s">
        <v>1</v>
      </c>
    </row>
  </sheetData>
  <pageMargins left="0.7" right="0.7" top="0.75" bottom="0.75" header="0.3" footer="0.3"/>
  <pageSetup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F581C-20C4-45B7-9D45-6E09167DDFD5}">
  <dimension ref="A1:AV73"/>
  <sheetViews>
    <sheetView zoomScale="68" zoomScaleNormal="68" workbookViewId="0">
      <pane xSplit="1" ySplit="5" topLeftCell="L6" activePane="bottomRight" state="frozen"/>
      <selection activeCell="P47" sqref="P47"/>
      <selection pane="topRight" activeCell="P47" sqref="P47"/>
      <selection pane="bottomLeft" activeCell="P47" sqref="P47"/>
      <selection pane="bottomRight" activeCell="AD1" sqref="AD1:AM1048576"/>
    </sheetView>
  </sheetViews>
  <sheetFormatPr defaultRowHeight="14.4" x14ac:dyDescent="0.3"/>
  <cols>
    <col min="1" max="1" width="56.33203125" customWidth="1"/>
    <col min="2" max="2" width="10" hidden="1" customWidth="1"/>
    <col min="3" max="3" width="8.44140625" hidden="1" customWidth="1"/>
    <col min="4" max="4" width="9.5546875" hidden="1" customWidth="1"/>
    <col min="5" max="8" width="9.109375" hidden="1" customWidth="1"/>
    <col min="9" max="9" width="11" hidden="1" customWidth="1"/>
    <col min="10" max="10" width="10.109375" hidden="1" customWidth="1"/>
    <col min="11" max="11" width="11.44140625" hidden="1" customWidth="1"/>
    <col min="12" max="14" width="11" customWidth="1"/>
    <col min="15" max="15" width="11.44140625" customWidth="1"/>
    <col min="16" max="16" width="11" customWidth="1"/>
    <col min="17" max="17" width="12.5546875" customWidth="1"/>
    <col min="18" max="18" width="11.44140625" customWidth="1"/>
    <col min="19" max="19" width="13.44140625" customWidth="1"/>
    <col min="20" max="20" width="11.5546875" customWidth="1"/>
    <col min="21" max="21" width="9.6640625" customWidth="1"/>
    <col min="22" max="22" width="13.33203125" customWidth="1"/>
    <col min="23" max="23" width="11.44140625" customWidth="1"/>
    <col min="24" max="24" width="10.44140625" style="3" customWidth="1"/>
    <col min="25" max="29" width="9.6640625" customWidth="1"/>
    <col min="30" max="39" width="9.6640625" hidden="1" customWidth="1"/>
  </cols>
  <sheetData>
    <row r="1" spans="1:40" x14ac:dyDescent="0.3">
      <c r="F1" s="1"/>
      <c r="G1" s="1"/>
      <c r="H1" s="2"/>
      <c r="I1" s="1"/>
      <c r="J1" s="1"/>
      <c r="K1" s="1"/>
      <c r="L1" s="1"/>
      <c r="M1" s="1"/>
      <c r="N1" s="1"/>
      <c r="O1" s="1"/>
      <c r="P1" s="1"/>
      <c r="Q1" s="1"/>
      <c r="R1" s="1"/>
      <c r="S1" s="1"/>
    </row>
    <row r="2" spans="1:40" x14ac:dyDescent="0.3">
      <c r="A2" s="4"/>
      <c r="F2" s="5"/>
      <c r="G2" s="5"/>
      <c r="H2" s="5"/>
      <c r="I2" s="5"/>
      <c r="J2" s="5"/>
      <c r="K2" s="5"/>
      <c r="L2" s="5"/>
      <c r="M2" s="5"/>
      <c r="N2" s="5"/>
      <c r="O2" s="5"/>
      <c r="P2" s="5"/>
      <c r="Q2" s="5"/>
      <c r="R2" s="5"/>
      <c r="S2" s="5"/>
    </row>
    <row r="3" spans="1:40" ht="39" customHeight="1" x14ac:dyDescent="0.3">
      <c r="A3" s="6" t="s">
        <v>2</v>
      </c>
      <c r="F3" s="7"/>
      <c r="G3" s="7"/>
      <c r="H3" s="7"/>
      <c r="I3" s="8"/>
      <c r="J3" s="8"/>
      <c r="K3" s="9"/>
      <c r="L3" s="9"/>
      <c r="M3" s="10"/>
      <c r="N3" s="9"/>
      <c r="O3" s="9"/>
      <c r="P3" s="9"/>
      <c r="Q3" s="9"/>
      <c r="R3" s="9"/>
      <c r="S3" s="9"/>
      <c r="T3" s="9"/>
      <c r="U3" s="9"/>
      <c r="V3" s="9"/>
      <c r="W3" s="9"/>
      <c r="Y3" s="9"/>
      <c r="Z3" s="9"/>
      <c r="AA3" s="9"/>
      <c r="AB3" s="9"/>
      <c r="AC3" s="9"/>
    </row>
    <row r="4" spans="1:40" ht="26.25" customHeight="1" x14ac:dyDescent="0.35">
      <c r="A4" s="11" t="s">
        <v>3</v>
      </c>
      <c r="B4" s="11"/>
      <c r="C4" s="11"/>
      <c r="D4" s="11"/>
      <c r="E4" s="11"/>
      <c r="F4" s="11"/>
      <c r="G4" s="11"/>
      <c r="H4" s="11"/>
      <c r="I4" s="11"/>
      <c r="J4" s="11"/>
      <c r="K4" s="11"/>
      <c r="L4" s="11"/>
      <c r="M4" s="11"/>
      <c r="N4" s="11"/>
      <c r="O4" s="11"/>
      <c r="P4" s="11"/>
      <c r="Q4" s="11"/>
      <c r="R4" s="11"/>
      <c r="S4" s="11"/>
    </row>
    <row r="5" spans="1:40" x14ac:dyDescent="0.3">
      <c r="B5">
        <v>2013</v>
      </c>
      <c r="C5">
        <v>2014</v>
      </c>
      <c r="D5">
        <v>2015</v>
      </c>
      <c r="E5">
        <v>2016</v>
      </c>
      <c r="F5">
        <v>2017</v>
      </c>
      <c r="G5">
        <v>2018</v>
      </c>
      <c r="H5">
        <v>2019</v>
      </c>
      <c r="I5">
        <v>2020</v>
      </c>
      <c r="J5">
        <v>2021</v>
      </c>
      <c r="K5">
        <v>2022</v>
      </c>
      <c r="L5">
        <v>2023</v>
      </c>
      <c r="M5">
        <v>2024</v>
      </c>
      <c r="N5">
        <v>2025</v>
      </c>
      <c r="O5">
        <v>2026</v>
      </c>
      <c r="P5">
        <v>2027</v>
      </c>
      <c r="Q5">
        <v>2028</v>
      </c>
      <c r="R5">
        <v>2029</v>
      </c>
      <c r="S5">
        <v>2030</v>
      </c>
      <c r="T5">
        <v>2031</v>
      </c>
      <c r="U5">
        <v>2032</v>
      </c>
      <c r="V5">
        <v>2033</v>
      </c>
      <c r="W5">
        <v>2034</v>
      </c>
      <c r="X5" s="12">
        <v>2035</v>
      </c>
      <c r="Y5">
        <v>2036</v>
      </c>
      <c r="Z5">
        <v>2037</v>
      </c>
      <c r="AA5">
        <v>2038</v>
      </c>
      <c r="AB5">
        <v>2039</v>
      </c>
      <c r="AC5">
        <v>2040</v>
      </c>
      <c r="AD5">
        <v>2041</v>
      </c>
      <c r="AE5">
        <v>2042</v>
      </c>
      <c r="AF5">
        <v>2043</v>
      </c>
      <c r="AG5">
        <v>2044</v>
      </c>
      <c r="AH5">
        <f t="shared" ref="AH5:AM5" si="0">+AG5+1</f>
        <v>2045</v>
      </c>
      <c r="AI5">
        <f t="shared" si="0"/>
        <v>2046</v>
      </c>
      <c r="AJ5">
        <f t="shared" si="0"/>
        <v>2047</v>
      </c>
      <c r="AK5">
        <f t="shared" si="0"/>
        <v>2048</v>
      </c>
      <c r="AL5">
        <f t="shared" si="0"/>
        <v>2049</v>
      </c>
      <c r="AM5">
        <f t="shared" si="0"/>
        <v>2050</v>
      </c>
    </row>
    <row r="6" spans="1:40" x14ac:dyDescent="0.3">
      <c r="A6" t="s">
        <v>4</v>
      </c>
      <c r="B6" s="13">
        <f>+B11</f>
        <v>12.766366054493103</v>
      </c>
      <c r="C6" s="13">
        <f t="shared" ref="C6:L6" si="1">+C11</f>
        <v>11.663986959374096</v>
      </c>
      <c r="D6" s="13">
        <f t="shared" si="1"/>
        <v>12.437281556525077</v>
      </c>
      <c r="E6" s="13">
        <f t="shared" si="1"/>
        <v>12.73</v>
      </c>
      <c r="F6" s="13">
        <f t="shared" si="1"/>
        <v>14.486740520427819</v>
      </c>
      <c r="G6" s="13">
        <f t="shared" si="1"/>
        <v>14.880124463738202</v>
      </c>
      <c r="H6" s="13">
        <f t="shared" si="1"/>
        <v>16.77847358151163</v>
      </c>
      <c r="I6" s="13">
        <f t="shared" si="1"/>
        <v>17.1180838726224</v>
      </c>
      <c r="J6" s="13">
        <f t="shared" si="1"/>
        <v>22.235634395651466</v>
      </c>
      <c r="K6" s="13">
        <f t="shared" si="1"/>
        <v>28.461403648612958</v>
      </c>
      <c r="L6" s="13">
        <f t="shared" si="1"/>
        <v>34.159999999999997</v>
      </c>
      <c r="Y6" s="9"/>
      <c r="Z6" s="9"/>
      <c r="AA6" s="9"/>
      <c r="AB6" s="9"/>
      <c r="AC6" s="9"/>
      <c r="AD6" s="9"/>
      <c r="AE6" s="9"/>
      <c r="AF6" s="9"/>
      <c r="AG6" s="9"/>
      <c r="AH6" s="9"/>
      <c r="AI6" s="9"/>
      <c r="AJ6" s="9"/>
      <c r="AK6" s="9"/>
      <c r="AL6" s="9"/>
      <c r="AM6" s="9"/>
    </row>
    <row r="7" spans="1:40" s="15" customFormat="1" x14ac:dyDescent="0.3">
      <c r="A7" s="14" t="s">
        <v>5</v>
      </c>
      <c r="B7" s="15">
        <f>B12</f>
        <v>12.002742366814928</v>
      </c>
      <c r="C7" s="15">
        <f t="shared" ref="C7:K7" si="2">C12</f>
        <v>11.663986959374096</v>
      </c>
      <c r="D7" s="15">
        <f t="shared" si="2"/>
        <v>12.437281556525077</v>
      </c>
      <c r="E7" s="15">
        <f t="shared" si="2"/>
        <v>12.73</v>
      </c>
      <c r="F7" s="15">
        <f t="shared" si="2"/>
        <v>13.57</v>
      </c>
      <c r="G7" s="15">
        <f t="shared" si="2"/>
        <v>14.53</v>
      </c>
      <c r="H7" s="15">
        <f t="shared" si="2"/>
        <v>15.62</v>
      </c>
      <c r="I7" s="15">
        <f t="shared" si="2"/>
        <v>16.68</v>
      </c>
      <c r="J7" s="15">
        <f t="shared" si="2"/>
        <v>17.71</v>
      </c>
      <c r="K7" s="15">
        <f t="shared" si="2"/>
        <v>19.2</v>
      </c>
      <c r="L7" s="15">
        <f>+L12</f>
        <v>22.21</v>
      </c>
      <c r="M7" s="15">
        <f t="shared" ref="M7:AM7" si="3">+M12</f>
        <v>24.197333875239934</v>
      </c>
      <c r="N7" s="15">
        <f t="shared" si="3"/>
        <v>26.01466217274621</v>
      </c>
      <c r="O7" s="15">
        <f t="shared" si="3"/>
        <v>27.852521111046638</v>
      </c>
      <c r="P7" s="15">
        <f t="shared" si="3"/>
        <v>29.80711018282868</v>
      </c>
      <c r="Q7" s="15">
        <f t="shared" si="3"/>
        <v>31.898797934150306</v>
      </c>
      <c r="R7" s="15">
        <f t="shared" si="3"/>
        <v>34.156465772088843</v>
      </c>
      <c r="S7" s="15">
        <f t="shared" si="3"/>
        <v>36.588015965130076</v>
      </c>
      <c r="T7" s="15">
        <f t="shared" si="3"/>
        <v>39.193564146882295</v>
      </c>
      <c r="U7" s="15">
        <f t="shared" si="3"/>
        <v>41.981943788781983</v>
      </c>
      <c r="V7" s="15">
        <f t="shared" si="3"/>
        <v>44.962255248200805</v>
      </c>
      <c r="W7" s="15">
        <f t="shared" si="3"/>
        <v>48.168112706341724</v>
      </c>
      <c r="X7" s="16">
        <f t="shared" si="3"/>
        <v>51.635537569378755</v>
      </c>
      <c r="Y7" s="15">
        <f t="shared" si="3"/>
        <v>55.388747094381955</v>
      </c>
      <c r="Z7" s="15">
        <f t="shared" si="3"/>
        <v>59.440511216556622</v>
      </c>
      <c r="AA7" s="15">
        <f t="shared" si="3"/>
        <v>63.812815974651677</v>
      </c>
      <c r="AB7" s="15">
        <f t="shared" si="3"/>
        <v>68.530772356213049</v>
      </c>
      <c r="AC7" s="15">
        <f t="shared" si="3"/>
        <v>73.624569224807999</v>
      </c>
      <c r="AD7" s="15">
        <f t="shared" si="3"/>
        <v>79.129986959021736</v>
      </c>
      <c r="AE7" s="15">
        <f t="shared" si="3"/>
        <v>85.061095603222753</v>
      </c>
      <c r="AF7" s="15">
        <f t="shared" si="3"/>
        <v>91.448813958808742</v>
      </c>
      <c r="AG7" s="15">
        <f t="shared" si="3"/>
        <v>98.324709216621272</v>
      </c>
      <c r="AH7" s="15">
        <f t="shared" si="3"/>
        <v>105.72400480919214</v>
      </c>
      <c r="AI7" s="15">
        <f t="shared" si="3"/>
        <v>113.67004587322913</v>
      </c>
      <c r="AJ7" s="15">
        <f t="shared" si="3"/>
        <v>122.20990055952751</v>
      </c>
      <c r="AK7" s="15">
        <f t="shared" si="3"/>
        <v>131.38735901251061</v>
      </c>
      <c r="AL7" s="15">
        <f t="shared" si="3"/>
        <v>141.24983421697559</v>
      </c>
      <c r="AM7" s="15">
        <f t="shared" si="3"/>
        <v>151.83331303072833</v>
      </c>
    </row>
    <row r="8" spans="1:40" s="15" customFormat="1" x14ac:dyDescent="0.3">
      <c r="A8" s="14" t="s">
        <v>97</v>
      </c>
      <c r="B8" s="14"/>
      <c r="F8" s="14"/>
      <c r="G8" s="14"/>
      <c r="H8" s="14"/>
      <c r="I8" s="14"/>
      <c r="J8" s="14"/>
      <c r="K8" s="14"/>
      <c r="L8" s="14"/>
      <c r="M8" s="17">
        <f>MAX(EXP($E$45*(M$22-2023)+$F$45),M$7)</f>
        <v>39.08890377931229</v>
      </c>
      <c r="N8" s="17">
        <f t="shared" ref="N8:S8" si="4">MAX(EXP($E$45*(N$22-2023)+$F$45),N$7)</f>
        <v>44.72899293525569</v>
      </c>
      <c r="O8" s="17">
        <f t="shared" si="4"/>
        <v>51.18288351849381</v>
      </c>
      <c r="P8" s="17">
        <f t="shared" si="4"/>
        <v>58.567997921608693</v>
      </c>
      <c r="Q8" s="17">
        <f t="shared" si="4"/>
        <v>67.018701267702696</v>
      </c>
      <c r="R8" s="17">
        <f t="shared" si="4"/>
        <v>76.688746055846167</v>
      </c>
      <c r="S8" s="17">
        <f t="shared" si="4"/>
        <v>87.754069541366661</v>
      </c>
      <c r="T8" s="17">
        <f>T14</f>
        <v>94.003314008538013</v>
      </c>
      <c r="U8" s="17">
        <f t="shared" ref="U8:AM8" si="5">U14</f>
        <v>100.6910683059068</v>
      </c>
      <c r="V8" s="17">
        <f t="shared" si="5"/>
        <v>107.83915907185663</v>
      </c>
      <c r="W8" s="17">
        <f t="shared" si="5"/>
        <v>115.52820781911649</v>
      </c>
      <c r="X8" s="17">
        <f t="shared" si="5"/>
        <v>123.84460963905687</v>
      </c>
      <c r="Y8" s="17">
        <f t="shared" si="5"/>
        <v>132.84644810918175</v>
      </c>
      <c r="Z8" s="17">
        <f t="shared" si="5"/>
        <v>142.56435112096005</v>
      </c>
      <c r="AA8" s="17">
        <f t="shared" si="5"/>
        <v>153.05105081420368</v>
      </c>
      <c r="AB8" s="17">
        <f t="shared" si="5"/>
        <v>164.36677432310478</v>
      </c>
      <c r="AC8" s="17">
        <f t="shared" si="5"/>
        <v>176.5839277501255</v>
      </c>
      <c r="AD8" s="17">
        <f t="shared" si="5"/>
        <v>189.78832809702877</v>
      </c>
      <c r="AE8" s="17">
        <f t="shared" si="5"/>
        <v>204.01372148585463</v>
      </c>
      <c r="AF8" s="17">
        <f t="shared" si="5"/>
        <v>219.33426472933041</v>
      </c>
      <c r="AG8" s="17">
        <f t="shared" si="5"/>
        <v>235.82566976174016</v>
      </c>
      <c r="AH8" s="17">
        <f t="shared" si="5"/>
        <v>253.57241778454684</v>
      </c>
      <c r="AI8" s="17">
        <f t="shared" si="5"/>
        <v>272.63050064907304</v>
      </c>
      <c r="AJ8" s="17">
        <f t="shared" si="5"/>
        <v>293.11280837324182</v>
      </c>
      <c r="AK8" s="17">
        <f t="shared" si="5"/>
        <v>315.1243688815685</v>
      </c>
      <c r="AL8" s="17">
        <f t="shared" si="5"/>
        <v>338.77889925477746</v>
      </c>
      <c r="AM8" s="17">
        <f t="shared" si="5"/>
        <v>364.1627117221376</v>
      </c>
    </row>
    <row r="9" spans="1:40" s="15" customFormat="1" x14ac:dyDescent="0.3">
      <c r="A9" s="14"/>
      <c r="B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row>
    <row r="10" spans="1:40" s="20" customFormat="1" x14ac:dyDescent="0.3">
      <c r="A10"/>
      <c r="B10"/>
      <c r="C10"/>
      <c r="D10"/>
      <c r="E10"/>
      <c r="F10" s="18"/>
      <c r="G10" s="18"/>
      <c r="H10" s="18"/>
      <c r="I10" s="18"/>
      <c r="J10" s="18"/>
      <c r="K10" s="18"/>
      <c r="L10" s="18"/>
      <c r="M10" s="18"/>
      <c r="N10"/>
      <c r="O10"/>
      <c r="P10"/>
      <c r="Q10"/>
      <c r="R10"/>
      <c r="S10"/>
      <c r="T10"/>
      <c r="U10"/>
      <c r="V10" s="13"/>
      <c r="W10" s="13"/>
      <c r="X10" s="3"/>
      <c r="Y10" s="13"/>
      <c r="Z10" s="13"/>
      <c r="AA10" s="13"/>
      <c r="AB10" s="13"/>
      <c r="AC10" s="13"/>
      <c r="AD10" s="13"/>
      <c r="AE10"/>
      <c r="AF10"/>
      <c r="AG10"/>
      <c r="AH10" s="19"/>
      <c r="AI10" s="19"/>
      <c r="AJ10" s="19"/>
      <c r="AK10" s="19"/>
      <c r="AL10" s="19"/>
      <c r="AM10" s="19"/>
      <c r="AN10" s="15"/>
    </row>
    <row r="11" spans="1:40" s="20" customFormat="1" ht="16.2" x14ac:dyDescent="0.3">
      <c r="A11" t="s">
        <v>6</v>
      </c>
      <c r="B11" s="21">
        <f>VLOOKUP(B$5,'Auction Data'!$E$52:$H$65,4,FALSE)</f>
        <v>12.766366054493103</v>
      </c>
      <c r="C11" s="21">
        <f>VLOOKUP(C$5,'Auction Data'!$E$52:$H$65,4,FALSE)</f>
        <v>11.663986959374096</v>
      </c>
      <c r="D11" s="21">
        <f>VLOOKUP(D$5,'Auction Data'!$E$52:$H$65,4,FALSE)</f>
        <v>12.437281556525077</v>
      </c>
      <c r="E11" s="21">
        <f>VLOOKUP(E$5,'Auction Data'!$E$52:$H$65,4,FALSE)</f>
        <v>12.73</v>
      </c>
      <c r="F11" s="21">
        <f>VLOOKUP(F$5,'Auction Data'!$E$52:$H$65,4,FALSE)</f>
        <v>14.486740520427819</v>
      </c>
      <c r="G11" s="21">
        <f>VLOOKUP(G$5,'Auction Data'!$E$52:$H$65,4,FALSE)</f>
        <v>14.880124463738202</v>
      </c>
      <c r="H11" s="21">
        <f>VLOOKUP(H$5,'Auction Data'!$E$52:$H$65,4,FALSE)</f>
        <v>16.77847358151163</v>
      </c>
      <c r="I11" s="21">
        <f>VLOOKUP(I$5,'Auction Data'!$E$52:$H$65,4,FALSE)</f>
        <v>17.1180838726224</v>
      </c>
      <c r="J11" s="21">
        <f>VLOOKUP(J$5,'Auction Data'!$E$52:$H$65,4,FALSE)</f>
        <v>22.235634395651466</v>
      </c>
      <c r="K11" s="21">
        <f>VLOOKUP(K$5,'Auction Data'!$E$52:$H$65,4,FALSE)</f>
        <v>28.461403648612958</v>
      </c>
      <c r="L11" s="22">
        <f>VLOOKUP(L$5,'Auction Data'!$E$52:$H$65,4,FALSE)*0+34.16</f>
        <v>34.159999999999997</v>
      </c>
      <c r="M11"/>
      <c r="N11"/>
      <c r="O11"/>
      <c r="P11"/>
      <c r="Q11"/>
      <c r="R11"/>
      <c r="S11"/>
      <c r="T11"/>
      <c r="X11" s="23"/>
      <c r="AH11" s="24"/>
      <c r="AI11" s="24"/>
      <c r="AJ11" s="24"/>
      <c r="AK11" s="24"/>
      <c r="AL11" s="24"/>
      <c r="AM11" s="24"/>
      <c r="AN11" s="15"/>
    </row>
    <row r="12" spans="1:40" s="20" customFormat="1" ht="16.2" x14ac:dyDescent="0.3">
      <c r="A12" t="s">
        <v>7</v>
      </c>
      <c r="B12" s="19">
        <v>12.002742366814928</v>
      </c>
      <c r="C12" s="19">
        <v>11.663986959374096</v>
      </c>
      <c r="D12" s="19">
        <v>12.437281556525077</v>
      </c>
      <c r="E12" s="21">
        <v>12.73</v>
      </c>
      <c r="F12" s="21">
        <v>13.57</v>
      </c>
      <c r="G12" s="18">
        <v>14.53</v>
      </c>
      <c r="H12" s="18">
        <v>15.62</v>
      </c>
      <c r="I12" s="18">
        <v>16.68</v>
      </c>
      <c r="J12" s="18">
        <v>17.71</v>
      </c>
      <c r="K12" s="18">
        <v>19.2</v>
      </c>
      <c r="L12" s="18">
        <v>22.21</v>
      </c>
      <c r="M12" s="18">
        <f>L12*(L$18+1.05)</f>
        <v>24.197333875239934</v>
      </c>
      <c r="N12" s="18">
        <f t="shared" ref="N12:AM12" si="6">M12*(M$18+1.05)</f>
        <v>26.01466217274621</v>
      </c>
      <c r="O12" s="18">
        <f t="shared" si="6"/>
        <v>27.852521111046638</v>
      </c>
      <c r="P12" s="18">
        <f t="shared" si="6"/>
        <v>29.80711018282868</v>
      </c>
      <c r="Q12" s="18">
        <f t="shared" si="6"/>
        <v>31.898797934150306</v>
      </c>
      <c r="R12" s="18">
        <f t="shared" si="6"/>
        <v>34.156465772088843</v>
      </c>
      <c r="S12" s="18">
        <f t="shared" si="6"/>
        <v>36.588015965130076</v>
      </c>
      <c r="T12" s="18">
        <f t="shared" si="6"/>
        <v>39.193564146882295</v>
      </c>
      <c r="U12" s="18">
        <f t="shared" si="6"/>
        <v>41.981943788781983</v>
      </c>
      <c r="V12" s="18">
        <f t="shared" si="6"/>
        <v>44.962255248200805</v>
      </c>
      <c r="W12" s="18">
        <f t="shared" si="6"/>
        <v>48.168112706341724</v>
      </c>
      <c r="X12" s="18">
        <f t="shared" si="6"/>
        <v>51.635537569378755</v>
      </c>
      <c r="Y12" s="18">
        <f t="shared" si="6"/>
        <v>55.388747094381955</v>
      </c>
      <c r="Z12" s="18">
        <f t="shared" si="6"/>
        <v>59.440511216556622</v>
      </c>
      <c r="AA12" s="18">
        <f t="shared" si="6"/>
        <v>63.812815974651677</v>
      </c>
      <c r="AB12" s="18">
        <f t="shared" si="6"/>
        <v>68.530772356213049</v>
      </c>
      <c r="AC12" s="18">
        <f t="shared" si="6"/>
        <v>73.624569224807999</v>
      </c>
      <c r="AD12" s="18">
        <f t="shared" si="6"/>
        <v>79.129986959021736</v>
      </c>
      <c r="AE12" s="18">
        <f t="shared" si="6"/>
        <v>85.061095603222753</v>
      </c>
      <c r="AF12" s="18">
        <f t="shared" si="6"/>
        <v>91.448813958808742</v>
      </c>
      <c r="AG12" s="18">
        <f t="shared" si="6"/>
        <v>98.324709216621272</v>
      </c>
      <c r="AH12" s="18">
        <f t="shared" si="6"/>
        <v>105.72400480919214</v>
      </c>
      <c r="AI12" s="18">
        <f t="shared" si="6"/>
        <v>113.67004587322913</v>
      </c>
      <c r="AJ12" s="18">
        <f t="shared" si="6"/>
        <v>122.20990055952751</v>
      </c>
      <c r="AK12" s="18">
        <f t="shared" si="6"/>
        <v>131.38735901251061</v>
      </c>
      <c r="AL12" s="18">
        <f t="shared" si="6"/>
        <v>141.24983421697559</v>
      </c>
      <c r="AM12" s="18">
        <f t="shared" si="6"/>
        <v>151.83331303072833</v>
      </c>
      <c r="AN12" s="15"/>
    </row>
    <row r="13" spans="1:40" ht="16.2" x14ac:dyDescent="0.3">
      <c r="A13" t="s">
        <v>8</v>
      </c>
      <c r="B13" s="25">
        <v>39</v>
      </c>
      <c r="C13" s="26">
        <v>40</v>
      </c>
      <c r="D13" s="26">
        <f t="shared" ref="D13:I13" si="7">C13*(1.05+D$18)</f>
        <v>42.048454893014807</v>
      </c>
      <c r="E13" s="26">
        <f t="shared" si="7"/>
        <v>44.683783164088815</v>
      </c>
      <c r="F13" s="26">
        <f t="shared" si="7"/>
        <v>47.87038256202532</v>
      </c>
      <c r="G13" s="26">
        <f t="shared" si="7"/>
        <v>51.431460088415868</v>
      </c>
      <c r="H13" s="26">
        <f t="shared" si="7"/>
        <v>54.93543072099795</v>
      </c>
      <c r="I13" s="26">
        <f t="shared" si="7"/>
        <v>58.369597990528604</v>
      </c>
      <c r="J13" s="26">
        <v>65</v>
      </c>
      <c r="K13" s="26">
        <v>72.290000000000006</v>
      </c>
      <c r="L13" s="26">
        <f>K13*(L$12/K$12)</f>
        <v>83.622963541666692</v>
      </c>
      <c r="M13" s="26">
        <f>L13*(1.05+L$18)</f>
        <v>91.105482595890379</v>
      </c>
      <c r="N13" s="26">
        <f>M13*(1.05+M$18)</f>
        <v>97.947912941032499</v>
      </c>
      <c r="O13" s="26">
        <f t="shared" ref="O13:AM13" si="8">N13*(1.05+N$18)</f>
        <v>104.86764328737301</v>
      </c>
      <c r="P13" s="26">
        <f t="shared" si="8"/>
        <v>112.22687474566072</v>
      </c>
      <c r="Q13" s="26">
        <f t="shared" si="8"/>
        <v>120.10229701352741</v>
      </c>
      <c r="R13" s="26">
        <f t="shared" si="8"/>
        <v>128.60265159709911</v>
      </c>
      <c r="S13" s="26">
        <f t="shared" si="8"/>
        <v>137.75769136037781</v>
      </c>
      <c r="T13" s="26">
        <f t="shared" si="8"/>
        <v>147.56785167594384</v>
      </c>
      <c r="U13" s="26">
        <f t="shared" si="8"/>
        <v>158.06639148390886</v>
      </c>
      <c r="V13" s="26">
        <f t="shared" si="8"/>
        <v>169.28757457773108</v>
      </c>
      <c r="W13" s="26">
        <f t="shared" si="8"/>
        <v>181.35796185111687</v>
      </c>
      <c r="X13" s="26">
        <f t="shared" si="8"/>
        <v>194.4131776505412</v>
      </c>
      <c r="Y13" s="26">
        <f t="shared" si="8"/>
        <v>208.54440247150379</v>
      </c>
      <c r="Z13" s="26">
        <f t="shared" si="8"/>
        <v>223.79971645025412</v>
      </c>
      <c r="AA13" s="26">
        <f t="shared" si="8"/>
        <v>240.26189931289431</v>
      </c>
      <c r="AB13" s="26">
        <f t="shared" si="8"/>
        <v>258.02549654326265</v>
      </c>
      <c r="AC13" s="26">
        <f t="shared" si="8"/>
        <v>277.20417235736312</v>
      </c>
      <c r="AD13" s="26">
        <f t="shared" si="8"/>
        <v>297.93264360769183</v>
      </c>
      <c r="AE13" s="26">
        <f t="shared" si="8"/>
        <v>320.26388547692574</v>
      </c>
      <c r="AF13" s="26">
        <f t="shared" si="8"/>
        <v>344.31431047303568</v>
      </c>
      <c r="AG13" s="26">
        <f t="shared" si="8"/>
        <v>370.20277235778923</v>
      </c>
      <c r="AH13" s="26">
        <f t="shared" si="8"/>
        <v>398.06189102377613</v>
      </c>
      <c r="AI13" s="26">
        <f t="shared" si="8"/>
        <v>427.97956334248624</v>
      </c>
      <c r="AJ13" s="26">
        <f t="shared" si="8"/>
        <v>460.13300580459617</v>
      </c>
      <c r="AK13" s="26">
        <f t="shared" si="8"/>
        <v>494.68709286533311</v>
      </c>
      <c r="AL13" s="26">
        <f t="shared" si="8"/>
        <v>531.82033935131085</v>
      </c>
      <c r="AM13" s="26">
        <f t="shared" si="8"/>
        <v>571.66823953079972</v>
      </c>
      <c r="AN13" s="15"/>
    </row>
    <row r="14" spans="1:40" x14ac:dyDescent="0.3">
      <c r="A14" t="s">
        <v>9</v>
      </c>
      <c r="B14" s="25"/>
      <c r="C14" s="26"/>
      <c r="D14" s="26"/>
      <c r="E14" s="26"/>
      <c r="F14" s="26"/>
      <c r="G14" s="26"/>
      <c r="H14" s="26"/>
      <c r="I14" s="26"/>
      <c r="J14" s="26">
        <v>41.4</v>
      </c>
      <c r="K14" s="26">
        <v>46.05</v>
      </c>
      <c r="L14" s="26">
        <f>K14*(L$12/K$12)</f>
        <v>53.269296875000009</v>
      </c>
      <c r="M14" s="26">
        <f>L14*(1.05+L$18)</f>
        <v>58.035792966395789</v>
      </c>
      <c r="N14" s="26">
        <f t="shared" ref="N14:AM16" si="9">M14*(1.05+M$18)</f>
        <v>62.394541304945996</v>
      </c>
      <c r="O14" s="26">
        <f t="shared" si="9"/>
        <v>66.802531102275935</v>
      </c>
      <c r="P14" s="26">
        <f t="shared" si="9"/>
        <v>71.490490829128177</v>
      </c>
      <c r="Q14" s="26">
        <f t="shared" si="9"/>
        <v>76.50727317018864</v>
      </c>
      <c r="R14" s="26">
        <f t="shared" si="9"/>
        <v>81.922148375244348</v>
      </c>
      <c r="S14" s="26">
        <f t="shared" si="9"/>
        <v>87.754069541366675</v>
      </c>
      <c r="T14" s="26">
        <f t="shared" si="9"/>
        <v>94.003314008538013</v>
      </c>
      <c r="U14" s="26">
        <f t="shared" si="9"/>
        <v>100.6910683059068</v>
      </c>
      <c r="V14" s="26">
        <f t="shared" si="9"/>
        <v>107.83915907185663</v>
      </c>
      <c r="W14" s="26">
        <f t="shared" si="9"/>
        <v>115.52820781911649</v>
      </c>
      <c r="X14" s="26">
        <f t="shared" si="9"/>
        <v>123.84460963905687</v>
      </c>
      <c r="Y14" s="26">
        <f t="shared" si="9"/>
        <v>132.84644810918175</v>
      </c>
      <c r="Z14" s="26">
        <f t="shared" si="9"/>
        <v>142.56435112096005</v>
      </c>
      <c r="AA14" s="26">
        <f t="shared" si="9"/>
        <v>153.05105081420368</v>
      </c>
      <c r="AB14" s="26">
        <f t="shared" si="9"/>
        <v>164.36677432310478</v>
      </c>
      <c r="AC14" s="26">
        <f t="shared" si="9"/>
        <v>176.5839277501255</v>
      </c>
      <c r="AD14" s="26">
        <f t="shared" si="9"/>
        <v>189.78832809702877</v>
      </c>
      <c r="AE14" s="26">
        <f t="shared" si="9"/>
        <v>204.01372148585463</v>
      </c>
      <c r="AF14" s="26">
        <f t="shared" si="9"/>
        <v>219.33426472933041</v>
      </c>
      <c r="AG14" s="26">
        <f t="shared" si="9"/>
        <v>235.82566976174016</v>
      </c>
      <c r="AH14" s="26">
        <f t="shared" si="9"/>
        <v>253.57241778454684</v>
      </c>
      <c r="AI14" s="26">
        <f t="shared" si="9"/>
        <v>272.63050064907304</v>
      </c>
      <c r="AJ14" s="26">
        <f t="shared" si="9"/>
        <v>293.11280837324182</v>
      </c>
      <c r="AK14" s="26">
        <f t="shared" si="9"/>
        <v>315.1243688815685</v>
      </c>
      <c r="AL14" s="26">
        <f t="shared" si="9"/>
        <v>338.77889925477746</v>
      </c>
      <c r="AM14" s="26">
        <f t="shared" si="9"/>
        <v>364.1627117221376</v>
      </c>
      <c r="AN14" s="15"/>
    </row>
    <row r="15" spans="1:40" x14ac:dyDescent="0.3">
      <c r="A15" t="s">
        <v>10</v>
      </c>
      <c r="B15" s="25"/>
      <c r="C15" s="26"/>
      <c r="D15" s="26"/>
      <c r="E15" s="26"/>
      <c r="F15" s="26"/>
      <c r="G15" s="26"/>
      <c r="H15" s="26"/>
      <c r="I15" s="26"/>
      <c r="J15" s="26">
        <v>53.2</v>
      </c>
      <c r="K15" s="26">
        <v>59.17</v>
      </c>
      <c r="L15" s="26">
        <f t="shared" ref="L15:L16" si="10">K15*(L$12/K$12)</f>
        <v>68.446130208333344</v>
      </c>
      <c r="M15" s="26">
        <f>L15*(1.05+L$18)</f>
        <v>74.570637781143077</v>
      </c>
      <c r="N15" s="26">
        <f t="shared" si="9"/>
        <v>80.171227122989237</v>
      </c>
      <c r="O15" s="26">
        <f t="shared" si="9"/>
        <v>85.835087194824467</v>
      </c>
      <c r="P15" s="26">
        <f t="shared" si="9"/>
        <v>91.858682787394443</v>
      </c>
      <c r="Q15" s="26">
        <f t="shared" si="9"/>
        <v>98.304785091858008</v>
      </c>
      <c r="R15" s="26">
        <f t="shared" si="9"/>
        <v>105.26239998617172</v>
      </c>
      <c r="S15" s="26">
        <f t="shared" si="9"/>
        <v>112.75588045087223</v>
      </c>
      <c r="T15" s="26">
        <f t="shared" si="9"/>
        <v>120.78558284224091</v>
      </c>
      <c r="U15" s="26">
        <f t="shared" si="9"/>
        <v>129.37872989490782</v>
      </c>
      <c r="V15" s="26">
        <f t="shared" si="9"/>
        <v>138.56336682479383</v>
      </c>
      <c r="W15" s="26">
        <f t="shared" si="9"/>
        <v>148.44308483511665</v>
      </c>
      <c r="X15" s="26">
        <f t="shared" si="9"/>
        <v>159.12889364479901</v>
      </c>
      <c r="Y15" s="26">
        <f t="shared" si="9"/>
        <v>170.69542529034274</v>
      </c>
      <c r="Z15" s="26">
        <f t="shared" si="9"/>
        <v>183.18203378560705</v>
      </c>
      <c r="AA15" s="26">
        <f t="shared" si="9"/>
        <v>196.65647506354895</v>
      </c>
      <c r="AB15" s="26">
        <f t="shared" si="9"/>
        <v>211.19613543318368</v>
      </c>
      <c r="AC15" s="26">
        <f t="shared" si="9"/>
        <v>226.89405005374428</v>
      </c>
      <c r="AD15" s="26">
        <f t="shared" si="9"/>
        <v>243.86048585236028</v>
      </c>
      <c r="AE15" s="26">
        <f t="shared" si="9"/>
        <v>262.1388034813902</v>
      </c>
      <c r="AF15" s="26">
        <f t="shared" si="9"/>
        <v>281.82428760118307</v>
      </c>
      <c r="AG15" s="26">
        <f t="shared" si="9"/>
        <v>303.01422105976474</v>
      </c>
      <c r="AH15" s="26">
        <f t="shared" si="9"/>
        <v>325.8171544041615</v>
      </c>
      <c r="AI15" s="26">
        <f t="shared" si="9"/>
        <v>350.30503199577964</v>
      </c>
      <c r="AJ15" s="26">
        <f t="shared" si="9"/>
        <v>376.62290708891896</v>
      </c>
      <c r="AK15" s="26">
        <f t="shared" si="9"/>
        <v>404.90573087345075</v>
      </c>
      <c r="AL15" s="26">
        <f t="shared" si="9"/>
        <v>435.29961930304415</v>
      </c>
      <c r="AM15" s="26">
        <f t="shared" si="9"/>
        <v>467.91547562646866</v>
      </c>
      <c r="AN15" s="15"/>
    </row>
    <row r="16" spans="1:40" x14ac:dyDescent="0.3">
      <c r="A16" t="s">
        <v>11</v>
      </c>
      <c r="B16" s="25"/>
      <c r="C16" s="26"/>
      <c r="D16" s="26"/>
      <c r="E16" s="26"/>
      <c r="F16" s="26"/>
      <c r="G16" s="26"/>
      <c r="H16" s="27"/>
      <c r="I16" s="26"/>
      <c r="J16" s="26">
        <v>65</v>
      </c>
      <c r="K16" s="26">
        <v>72.290000000000006</v>
      </c>
      <c r="L16" s="26">
        <f t="shared" si="10"/>
        <v>83.622963541666692</v>
      </c>
      <c r="M16" s="26">
        <f>L16*(1.05+L$18)</f>
        <v>91.105482595890379</v>
      </c>
      <c r="N16" s="26">
        <f t="shared" si="9"/>
        <v>97.947912941032499</v>
      </c>
      <c r="O16" s="26">
        <f t="shared" si="9"/>
        <v>104.86764328737301</v>
      </c>
      <c r="P16" s="26">
        <f t="shared" si="9"/>
        <v>112.22687474566072</v>
      </c>
      <c r="Q16" s="26">
        <f t="shared" si="9"/>
        <v>120.10229701352741</v>
      </c>
      <c r="R16" s="26">
        <f t="shared" si="9"/>
        <v>128.60265159709911</v>
      </c>
      <c r="S16" s="26">
        <f t="shared" si="9"/>
        <v>137.75769136037781</v>
      </c>
      <c r="T16" s="26">
        <f t="shared" si="9"/>
        <v>147.56785167594384</v>
      </c>
      <c r="U16" s="26">
        <f t="shared" si="9"/>
        <v>158.06639148390886</v>
      </c>
      <c r="V16" s="26">
        <f t="shared" si="9"/>
        <v>169.28757457773108</v>
      </c>
      <c r="W16" s="26">
        <f t="shared" si="9"/>
        <v>181.35796185111687</v>
      </c>
      <c r="X16" s="26">
        <f t="shared" si="9"/>
        <v>194.4131776505412</v>
      </c>
      <c r="Y16" s="26">
        <f t="shared" si="9"/>
        <v>208.54440247150379</v>
      </c>
      <c r="Z16" s="26">
        <f t="shared" si="9"/>
        <v>223.79971645025412</v>
      </c>
      <c r="AA16" s="26">
        <f t="shared" si="9"/>
        <v>240.26189931289431</v>
      </c>
      <c r="AB16" s="26">
        <f t="shared" si="9"/>
        <v>258.02549654326265</v>
      </c>
      <c r="AC16" s="26">
        <f t="shared" si="9"/>
        <v>277.20417235736312</v>
      </c>
      <c r="AD16" s="26">
        <f t="shared" si="9"/>
        <v>297.93264360769183</v>
      </c>
      <c r="AE16" s="26">
        <f t="shared" si="9"/>
        <v>320.26388547692574</v>
      </c>
      <c r="AF16" s="26">
        <f t="shared" si="9"/>
        <v>344.31431047303568</v>
      </c>
      <c r="AG16" s="26">
        <f t="shared" si="9"/>
        <v>370.20277235778923</v>
      </c>
      <c r="AH16" s="26">
        <f t="shared" si="9"/>
        <v>398.06189102377613</v>
      </c>
      <c r="AI16" s="26">
        <f t="shared" si="9"/>
        <v>427.97956334248624</v>
      </c>
      <c r="AJ16" s="26">
        <f t="shared" si="9"/>
        <v>460.13300580459617</v>
      </c>
      <c r="AK16" s="26">
        <f t="shared" si="9"/>
        <v>494.68709286533311</v>
      </c>
      <c r="AL16" s="26">
        <f t="shared" si="9"/>
        <v>531.82033935131085</v>
      </c>
      <c r="AM16" s="26">
        <f t="shared" si="9"/>
        <v>571.66823953079972</v>
      </c>
      <c r="AN16" s="15"/>
    </row>
    <row r="17" spans="1:48" ht="16.2" x14ac:dyDescent="0.3">
      <c r="A17" s="28" t="s">
        <v>12</v>
      </c>
      <c r="B17" s="26">
        <v>0.79611004314579858</v>
      </c>
      <c r="C17" s="26">
        <v>0.80897090862488785</v>
      </c>
      <c r="D17" s="26">
        <v>0.80995087359562568</v>
      </c>
      <c r="E17" s="26">
        <v>0.82021587138849728</v>
      </c>
      <c r="F17" s="26">
        <v>0.83769832115852882</v>
      </c>
      <c r="G17" s="26">
        <v>0.8581297791447734</v>
      </c>
      <c r="H17" s="26">
        <v>0.87368675865407897</v>
      </c>
      <c r="I17" s="26">
        <v>0.88461902117419233</v>
      </c>
      <c r="J17" s="26">
        <v>0.92604183576117438</v>
      </c>
      <c r="K17" s="26">
        <v>1</v>
      </c>
      <c r="L17" s="26">
        <v>1.0394792379666786</v>
      </c>
      <c r="M17" s="26">
        <v>1.0655748288367226</v>
      </c>
      <c r="N17" s="26">
        <v>1.0875757973754057</v>
      </c>
      <c r="O17" s="26">
        <v>1.1095191386275236</v>
      </c>
      <c r="P17" s="26">
        <v>1.13190271178441</v>
      </c>
      <c r="Q17" s="26">
        <v>1.1554190698428934</v>
      </c>
      <c r="R17" s="26">
        <v>1.1799007557504544</v>
      </c>
      <c r="S17" s="26">
        <v>1.2049301775489225</v>
      </c>
      <c r="T17" s="18">
        <v>1.2304069972362568</v>
      </c>
      <c r="U17" s="19">
        <v>1.2562336290211626</v>
      </c>
      <c r="V17" s="19">
        <v>1.2829927648374631</v>
      </c>
      <c r="W17" s="19">
        <v>1.3112005132969444</v>
      </c>
      <c r="X17" s="19">
        <v>1.3409471405178723</v>
      </c>
      <c r="Y17" s="19">
        <v>1.3719919375611958</v>
      </c>
      <c r="Z17" s="19">
        <v>1.4043128535436642</v>
      </c>
      <c r="AA17" s="19">
        <v>1.4379241097094473</v>
      </c>
      <c r="AB17" s="19">
        <v>1.4729068007471822</v>
      </c>
      <c r="AC17" s="19">
        <v>1.5094008789374167</v>
      </c>
      <c r="AD17" s="19">
        <v>1.5470664608723803</v>
      </c>
      <c r="AE17" s="19">
        <v>1.585891100966254</v>
      </c>
      <c r="AF17" s="19">
        <v>1.6258372514939876</v>
      </c>
      <c r="AG17" s="19">
        <v>1.6668956150736653</v>
      </c>
      <c r="AH17" s="19">
        <v>1.7088319474479152</v>
      </c>
      <c r="AI17" s="19">
        <v>1.7517722505348943</v>
      </c>
      <c r="AJ17" s="19">
        <v>1.7957344941561897</v>
      </c>
      <c r="AK17" s="19">
        <v>1.8407429815260621</v>
      </c>
      <c r="AL17" s="19">
        <v>1.8866278658067641</v>
      </c>
      <c r="AM17" s="19">
        <v>1.9333372391700498</v>
      </c>
      <c r="AN17" s="15"/>
    </row>
    <row r="18" spans="1:48" x14ac:dyDescent="0.3">
      <c r="A18" t="s">
        <v>13</v>
      </c>
      <c r="B18" s="29">
        <v>1.4647595320435247E-2</v>
      </c>
      <c r="C18" s="29">
        <f>+C17/B17-1</f>
        <v>1.6154632879984865E-2</v>
      </c>
      <c r="D18" s="29">
        <f t="shared" ref="D18:AM18" si="11">+D17/C17-1</f>
        <v>1.2113723253701636E-3</v>
      </c>
      <c r="E18" s="29">
        <f t="shared" si="11"/>
        <v>1.2673605433996427E-2</v>
      </c>
      <c r="F18" s="29">
        <f t="shared" si="11"/>
        <v>2.1314449500271726E-2</v>
      </c>
      <c r="G18" s="29">
        <f t="shared" si="11"/>
        <v>2.4389995145254639E-2</v>
      </c>
      <c r="H18" s="29">
        <f t="shared" si="11"/>
        <v>1.8128935607863328E-2</v>
      </c>
      <c r="I18" s="29">
        <f t="shared" si="11"/>
        <v>1.2512794101348756E-2</v>
      </c>
      <c r="J18" s="29">
        <f t="shared" si="11"/>
        <v>4.6825597907673044E-2</v>
      </c>
      <c r="K18" s="29">
        <f t="shared" si="11"/>
        <v>7.986481969039172E-2</v>
      </c>
      <c r="L18" s="29">
        <f t="shared" si="11"/>
        <v>3.9479237966678626E-2</v>
      </c>
      <c r="M18" s="29">
        <f t="shared" si="11"/>
        <v>2.510448493525419E-2</v>
      </c>
      <c r="N18" s="29">
        <f t="shared" si="11"/>
        <v>2.064704227548364E-2</v>
      </c>
      <c r="O18" s="29">
        <f t="shared" si="11"/>
        <v>2.0176378791319838E-2</v>
      </c>
      <c r="P18" s="29">
        <f t="shared" si="11"/>
        <v>2.0174120821903951E-2</v>
      </c>
      <c r="Q18" s="29">
        <f t="shared" si="11"/>
        <v>2.0775953457528695E-2</v>
      </c>
      <c r="R18" s="29">
        <f t="shared" si="11"/>
        <v>2.118857698176102E-2</v>
      </c>
      <c r="S18" s="29">
        <f t="shared" si="11"/>
        <v>2.1213158544464816E-2</v>
      </c>
      <c r="T18" s="29">
        <f t="shared" si="11"/>
        <v>2.1143814108099956E-2</v>
      </c>
      <c r="U18" s="29">
        <f t="shared" si="11"/>
        <v>2.0990316084773308E-2</v>
      </c>
      <c r="V18" s="29">
        <f t="shared" si="11"/>
        <v>2.1301082217605183E-2</v>
      </c>
      <c r="W18" s="29">
        <f t="shared" si="11"/>
        <v>2.1985898309453855E-2</v>
      </c>
      <c r="X18" s="29">
        <f t="shared" si="11"/>
        <v>2.2686558553986158E-2</v>
      </c>
      <c r="Y18" s="29">
        <f t="shared" si="11"/>
        <v>2.3151395088798266E-2</v>
      </c>
      <c r="Z18" s="29">
        <f t="shared" si="11"/>
        <v>2.3557657372186069E-2</v>
      </c>
      <c r="AA18" s="29">
        <f t="shared" si="11"/>
        <v>2.3934307858087367E-2</v>
      </c>
      <c r="AB18" s="29">
        <f t="shared" si="11"/>
        <v>2.4328607331581376E-2</v>
      </c>
      <c r="AC18" s="29">
        <f t="shared" si="11"/>
        <v>2.4776909286943205E-2</v>
      </c>
      <c r="AD18" s="29">
        <f t="shared" si="11"/>
        <v>2.4953994966187665E-2</v>
      </c>
      <c r="AE18" s="29">
        <f t="shared" si="11"/>
        <v>2.5095651076283199E-2</v>
      </c>
      <c r="AF18" s="29">
        <f t="shared" si="11"/>
        <v>2.5188457456754243E-2</v>
      </c>
      <c r="AG18" s="29">
        <f t="shared" si="11"/>
        <v>2.525367378681298E-2</v>
      </c>
      <c r="AH18" s="29">
        <f t="shared" si="11"/>
        <v>2.5158343446956888E-2</v>
      </c>
      <c r="AI18" s="29">
        <f t="shared" si="11"/>
        <v>2.512845288918486E-2</v>
      </c>
      <c r="AJ18" s="29">
        <f t="shared" si="11"/>
        <v>2.5095867118497761E-2</v>
      </c>
      <c r="AK18" s="29">
        <f t="shared" si="11"/>
        <v>2.5064110265934136E-2</v>
      </c>
      <c r="AL18" s="29">
        <f t="shared" si="11"/>
        <v>2.492737157832936E-2</v>
      </c>
      <c r="AM18" s="29">
        <f t="shared" si="11"/>
        <v>2.4758127561797627E-2</v>
      </c>
      <c r="AN18" s="15"/>
    </row>
    <row r="19" spans="1:48" x14ac:dyDescent="0.3">
      <c r="B19" s="18"/>
      <c r="C19" s="18"/>
      <c r="D19" s="18"/>
      <c r="E19" s="18"/>
      <c r="F19" s="18"/>
      <c r="G19" s="18"/>
      <c r="H19" s="18"/>
      <c r="I19" s="18"/>
      <c r="J19" s="2"/>
      <c r="K19" s="30"/>
      <c r="L19" s="19"/>
      <c r="M19" s="19"/>
      <c r="N19" s="19"/>
      <c r="O19" s="19"/>
      <c r="P19" s="19"/>
      <c r="Q19" s="19"/>
      <c r="R19" s="19"/>
      <c r="S19" s="19"/>
      <c r="T19" s="19"/>
      <c r="U19" s="19"/>
      <c r="V19" s="19"/>
      <c r="W19" s="19"/>
      <c r="X19" s="19"/>
      <c r="Y19" s="19"/>
      <c r="Z19" s="19"/>
      <c r="AA19" s="19"/>
      <c r="AB19" s="19"/>
      <c r="AC19" s="19"/>
      <c r="AD19" s="18"/>
      <c r="AE19" s="18"/>
      <c r="AF19" s="18"/>
      <c r="AG19" s="18"/>
      <c r="AH19" s="19"/>
      <c r="AI19" s="19"/>
      <c r="AJ19" s="19"/>
      <c r="AK19" s="19"/>
      <c r="AL19" s="19"/>
      <c r="AM19" s="19"/>
      <c r="AN19" s="15"/>
    </row>
    <row r="20" spans="1:48" x14ac:dyDescent="0.3">
      <c r="G20" s="13"/>
      <c r="H20" s="13"/>
      <c r="I20" s="13"/>
      <c r="J20" s="13"/>
      <c r="K20" s="13"/>
      <c r="L20" s="13"/>
      <c r="M20" s="13"/>
      <c r="N20" s="13"/>
      <c r="O20" s="13"/>
      <c r="P20" s="13"/>
      <c r="Q20" s="13"/>
      <c r="R20" s="13"/>
      <c r="S20" s="13"/>
      <c r="AH20" s="19"/>
      <c r="AI20" s="19"/>
      <c r="AJ20" s="19"/>
      <c r="AK20" s="19"/>
      <c r="AL20" s="19"/>
      <c r="AM20" s="19"/>
      <c r="AN20" s="15"/>
    </row>
    <row r="21" spans="1:48" ht="15.6" x14ac:dyDescent="0.35">
      <c r="A21" s="31" t="s">
        <v>14</v>
      </c>
      <c r="B21" s="31"/>
      <c r="C21" s="31"/>
      <c r="D21" s="31"/>
      <c r="E21" s="31"/>
      <c r="F21" s="31"/>
      <c r="G21" s="31"/>
      <c r="H21" s="31"/>
      <c r="I21" s="31"/>
      <c r="J21" s="31"/>
      <c r="K21" s="31"/>
      <c r="L21" s="31"/>
      <c r="M21" s="31"/>
      <c r="N21" s="31"/>
      <c r="O21" s="31"/>
      <c r="P21" s="31"/>
      <c r="Q21" s="31"/>
      <c r="R21" s="31"/>
      <c r="S21" s="31"/>
      <c r="AH21" s="19"/>
      <c r="AI21" s="19"/>
      <c r="AJ21" s="19"/>
      <c r="AK21" s="19"/>
      <c r="AL21" s="19"/>
      <c r="AM21" s="19"/>
      <c r="AN21" s="15"/>
    </row>
    <row r="22" spans="1:48" x14ac:dyDescent="0.3">
      <c r="B22">
        <v>2013</v>
      </c>
      <c r="C22">
        <v>2014</v>
      </c>
      <c r="D22">
        <v>2015</v>
      </c>
      <c r="E22">
        <v>2016</v>
      </c>
      <c r="F22">
        <v>2017</v>
      </c>
      <c r="G22">
        <v>2018</v>
      </c>
      <c r="H22">
        <v>2019</v>
      </c>
      <c r="I22">
        <v>2020</v>
      </c>
      <c r="J22">
        <v>2021</v>
      </c>
      <c r="K22">
        <v>2022</v>
      </c>
      <c r="L22">
        <v>2023</v>
      </c>
      <c r="M22">
        <v>2024</v>
      </c>
      <c r="N22">
        <f>+N5</f>
        <v>2025</v>
      </c>
      <c r="O22">
        <f t="shared" ref="O22:AM22" si="12">+O5</f>
        <v>2026</v>
      </c>
      <c r="P22">
        <f t="shared" si="12"/>
        <v>2027</v>
      </c>
      <c r="Q22">
        <f t="shared" si="12"/>
        <v>2028</v>
      </c>
      <c r="R22">
        <f t="shared" si="12"/>
        <v>2029</v>
      </c>
      <c r="S22">
        <f t="shared" si="12"/>
        <v>2030</v>
      </c>
      <c r="T22">
        <f t="shared" si="12"/>
        <v>2031</v>
      </c>
      <c r="U22">
        <f t="shared" si="12"/>
        <v>2032</v>
      </c>
      <c r="V22">
        <f t="shared" si="12"/>
        <v>2033</v>
      </c>
      <c r="W22">
        <f t="shared" si="12"/>
        <v>2034</v>
      </c>
      <c r="X22" s="3">
        <f t="shared" si="12"/>
        <v>2035</v>
      </c>
      <c r="Y22">
        <f t="shared" si="12"/>
        <v>2036</v>
      </c>
      <c r="Z22">
        <f t="shared" si="12"/>
        <v>2037</v>
      </c>
      <c r="AA22">
        <f t="shared" si="12"/>
        <v>2038</v>
      </c>
      <c r="AB22">
        <f t="shared" si="12"/>
        <v>2039</v>
      </c>
      <c r="AC22">
        <f t="shared" si="12"/>
        <v>2040</v>
      </c>
      <c r="AD22">
        <f t="shared" si="12"/>
        <v>2041</v>
      </c>
      <c r="AE22">
        <f t="shared" si="12"/>
        <v>2042</v>
      </c>
      <c r="AF22">
        <f t="shared" si="12"/>
        <v>2043</v>
      </c>
      <c r="AG22">
        <f t="shared" si="12"/>
        <v>2044</v>
      </c>
      <c r="AH22">
        <f t="shared" si="12"/>
        <v>2045</v>
      </c>
      <c r="AI22">
        <f t="shared" si="12"/>
        <v>2046</v>
      </c>
      <c r="AJ22">
        <f t="shared" si="12"/>
        <v>2047</v>
      </c>
      <c r="AK22">
        <f t="shared" si="12"/>
        <v>2048</v>
      </c>
      <c r="AL22">
        <f t="shared" si="12"/>
        <v>2049</v>
      </c>
      <c r="AM22">
        <f t="shared" si="12"/>
        <v>2050</v>
      </c>
      <c r="AN22" s="15"/>
    </row>
    <row r="23" spans="1:48" x14ac:dyDescent="0.3">
      <c r="A23" t="str">
        <f>+A6</f>
        <v>Annual Average Auction Sale Price</v>
      </c>
      <c r="B23" s="18">
        <f t="shared" ref="B23:L23" si="13">+B11/B$31</f>
        <v>15.961737383614468</v>
      </c>
      <c r="C23" s="18">
        <f t="shared" si="13"/>
        <v>14.315964717707407</v>
      </c>
      <c r="D23" s="18">
        <f t="shared" si="13"/>
        <v>15.113287909222604</v>
      </c>
      <c r="E23" s="18">
        <f t="shared" si="13"/>
        <v>15.31577795799474</v>
      </c>
      <c r="F23" s="18">
        <f t="shared" si="13"/>
        <v>17.104809147099719</v>
      </c>
      <c r="G23" s="18">
        <f t="shared" si="13"/>
        <v>17.15658569573252</v>
      </c>
      <c r="H23" s="18">
        <f t="shared" si="13"/>
        <v>19.004317130521247</v>
      </c>
      <c r="I23" s="18">
        <f t="shared" si="13"/>
        <v>19.141225214481363</v>
      </c>
      <c r="J23" s="18">
        <f t="shared" si="13"/>
        <v>23.797444269578676</v>
      </c>
      <c r="K23" s="18">
        <f t="shared" si="13"/>
        <v>28.461403648612958</v>
      </c>
      <c r="L23" s="18">
        <f t="shared" si="13"/>
        <v>32.935317684919426</v>
      </c>
      <c r="AH23" s="19"/>
      <c r="AI23" s="19"/>
      <c r="AJ23" s="19"/>
      <c r="AK23" s="19"/>
      <c r="AL23" s="19"/>
      <c r="AM23" s="19"/>
      <c r="AN23" s="15"/>
    </row>
    <row r="24" spans="1:48" x14ac:dyDescent="0.3">
      <c r="A24" t="s">
        <v>5</v>
      </c>
      <c r="B24" s="18">
        <f t="shared" ref="B24:AM26" si="14">+B7/B$31</f>
        <v>15.006981683315834</v>
      </c>
      <c r="C24" s="18">
        <f t="shared" si="14"/>
        <v>14.315964717707407</v>
      </c>
      <c r="D24" s="18">
        <f t="shared" si="14"/>
        <v>15.113287909222604</v>
      </c>
      <c r="E24" s="18">
        <f t="shared" si="14"/>
        <v>15.31577795799474</v>
      </c>
      <c r="F24" s="18">
        <f t="shared" si="14"/>
        <v>16.022393705391536</v>
      </c>
      <c r="G24" s="18">
        <f t="shared" si="14"/>
        <v>16.752896843469532</v>
      </c>
      <c r="H24" s="18">
        <f t="shared" si="14"/>
        <v>17.69215966736337</v>
      </c>
      <c r="I24" s="18">
        <f t="shared" si="14"/>
        <v>18.651365360358977</v>
      </c>
      <c r="J24" s="18">
        <f t="shared" si="14"/>
        <v>18.953933605629896</v>
      </c>
      <c r="K24" s="18">
        <f t="shared" si="14"/>
        <v>19.2</v>
      </c>
      <c r="L24" s="18">
        <f t="shared" si="14"/>
        <v>21.413741387062661</v>
      </c>
      <c r="M24" s="18">
        <f t="shared" si="14"/>
        <v>22.81039185666727</v>
      </c>
      <c r="N24" s="18">
        <f t="shared" si="14"/>
        <v>24.057355326401815</v>
      </c>
      <c r="O24" s="18">
        <f t="shared" si="14"/>
        <v>25.286452907283852</v>
      </c>
      <c r="P24" s="18">
        <f t="shared" si="14"/>
        <v>26.587110573370182</v>
      </c>
      <c r="Q24" s="18">
        <f t="shared" si="14"/>
        <v>27.946269528642482</v>
      </c>
      <c r="R24" s="18">
        <f t="shared" si="14"/>
        <v>29.381195073630487</v>
      </c>
      <c r="S24" s="18">
        <f t="shared" si="14"/>
        <v>30.91749416560241</v>
      </c>
      <c r="T24" s="18">
        <f t="shared" si="14"/>
        <v>32.535700058213962</v>
      </c>
      <c r="U24" s="18">
        <f t="shared" si="14"/>
        <v>34.241326450538253</v>
      </c>
      <c r="V24" s="18">
        <f t="shared" si="14"/>
        <v>36.024022548824988</v>
      </c>
      <c r="W24" s="18">
        <f t="shared" si="14"/>
        <v>37.893708887832567</v>
      </c>
      <c r="X24" s="3">
        <f t="shared" si="14"/>
        <v>39.8606040814688</v>
      </c>
      <c r="Y24" s="18">
        <f t="shared" si="14"/>
        <v>41.938678847775094</v>
      </c>
      <c r="Z24" s="18">
        <f t="shared" si="14"/>
        <v>44.129936485605</v>
      </c>
      <c r="AA24" s="18">
        <f t="shared" si="14"/>
        <v>46.440601298856855</v>
      </c>
      <c r="AB24" s="18">
        <f t="shared" si="14"/>
        <v>48.873183016873334</v>
      </c>
      <c r="AC24" s="18">
        <f t="shared" si="14"/>
        <v>51.444550777197946</v>
      </c>
      <c r="AD24" s="18">
        <f t="shared" si="14"/>
        <v>54.189932754917471</v>
      </c>
      <c r="AE24" s="18">
        <f t="shared" si="14"/>
        <v>57.089673985421655</v>
      </c>
      <c r="AF24" s="18">
        <f t="shared" si="14"/>
        <v>60.144749274338601</v>
      </c>
      <c r="AG24" s="18">
        <f t="shared" si="14"/>
        <v>63.351847066399174</v>
      </c>
      <c r="AH24" s="21">
        <f t="shared" si="14"/>
        <v>66.737875008866098</v>
      </c>
      <c r="AI24" s="21">
        <f t="shared" si="14"/>
        <v>70.320218141088148</v>
      </c>
      <c r="AJ24" s="21">
        <f t="shared" si="14"/>
        <v>74.100151878583688</v>
      </c>
      <c r="AK24" s="21">
        <f t="shared" si="14"/>
        <v>78.071926589728648</v>
      </c>
      <c r="AL24" s="21">
        <f t="shared" si="14"/>
        <v>82.253492111060467</v>
      </c>
      <c r="AM24" s="21">
        <f t="shared" si="14"/>
        <v>86.647536215609065</v>
      </c>
      <c r="AN24" s="15"/>
    </row>
    <row r="25" spans="1:48" x14ac:dyDescent="0.3">
      <c r="A25" t="s">
        <v>96</v>
      </c>
      <c r="B25" s="18"/>
      <c r="C25" s="18"/>
      <c r="D25" s="18"/>
      <c r="E25" s="18"/>
      <c r="F25" s="18"/>
      <c r="G25" s="18"/>
      <c r="H25" s="18"/>
      <c r="I25" s="18"/>
      <c r="J25" s="18"/>
      <c r="K25" s="18"/>
      <c r="L25" s="18"/>
      <c r="M25" s="18">
        <f t="shared" si="14"/>
        <v>36.848407227460889</v>
      </c>
      <c r="N25" s="18">
        <f t="shared" si="14"/>
        <v>41.363645981260476</v>
      </c>
      <c r="O25" s="18">
        <f t="shared" si="14"/>
        <v>46.467376098175912</v>
      </c>
      <c r="P25" s="18">
        <f t="shared" si="14"/>
        <v>52.241019919461117</v>
      </c>
      <c r="Q25" s="18">
        <f t="shared" si="14"/>
        <v>58.714522501854972</v>
      </c>
      <c r="R25" s="18">
        <f t="shared" si="14"/>
        <v>65.967217535139369</v>
      </c>
      <c r="S25" s="18">
        <f t="shared" si="14"/>
        <v>74.15367741281203</v>
      </c>
      <c r="T25" s="18">
        <f t="shared" si="14"/>
        <v>78.034843108372556</v>
      </c>
      <c r="U25" s="18">
        <f t="shared" si="14"/>
        <v>82.12568140871285</v>
      </c>
      <c r="V25" s="18">
        <f t="shared" si="14"/>
        <v>86.401366581947443</v>
      </c>
      <c r="W25" s="18">
        <f t="shared" si="14"/>
        <v>90.885692410660937</v>
      </c>
      <c r="X25" s="3">
        <f t="shared" si="14"/>
        <v>95.603167601647826</v>
      </c>
      <c r="Y25" s="18">
        <f t="shared" si="14"/>
        <v>100.5873000489606</v>
      </c>
      <c r="Z25" s="18">
        <f t="shared" si="14"/>
        <v>105.84289453969328</v>
      </c>
      <c r="AA25" s="18">
        <f t="shared" si="14"/>
        <v>111.38487967772701</v>
      </c>
      <c r="AB25" s="18">
        <f t="shared" si="14"/>
        <v>117.21927489203216</v>
      </c>
      <c r="AC25" s="18">
        <f t="shared" si="14"/>
        <v>123.38653975468574</v>
      </c>
      <c r="AD25" s="18">
        <f t="shared" si="14"/>
        <v>129.97116684187242</v>
      </c>
      <c r="AE25" s="18">
        <f t="shared" si="14"/>
        <v>136.92601494940979</v>
      </c>
      <c r="AF25" s="18">
        <f t="shared" si="14"/>
        <v>144.25342208767154</v>
      </c>
      <c r="AG25" s="18">
        <f t="shared" si="14"/>
        <v>151.94544569831683</v>
      </c>
      <c r="AH25" s="18">
        <f t="shared" si="14"/>
        <v>160.06662209157733</v>
      </c>
      <c r="AI25" s="18">
        <f t="shared" si="14"/>
        <v>168.65864819776615</v>
      </c>
      <c r="AJ25" s="18">
        <f t="shared" si="14"/>
        <v>177.72458302129061</v>
      </c>
      <c r="AK25" s="18">
        <f t="shared" si="14"/>
        <v>187.25063643005237</v>
      </c>
      <c r="AL25" s="18">
        <f t="shared" si="14"/>
        <v>197.27985998512162</v>
      </c>
      <c r="AM25" s="18">
        <f t="shared" si="14"/>
        <v>207.81870014212492</v>
      </c>
      <c r="AN25" s="15"/>
      <c r="AO25" s="18"/>
      <c r="AP25" s="18"/>
      <c r="AQ25" s="18"/>
      <c r="AR25" s="18"/>
      <c r="AS25" s="18"/>
      <c r="AT25" s="18"/>
      <c r="AU25" s="18"/>
      <c r="AV25" s="18"/>
    </row>
    <row r="26" spans="1:48" x14ac:dyDescent="0.3">
      <c r="B26" s="18"/>
      <c r="C26" s="18"/>
      <c r="D26" s="18"/>
      <c r="E26" s="18"/>
      <c r="F26" s="18"/>
      <c r="G26" s="18"/>
      <c r="H26" s="18"/>
      <c r="I26" s="18"/>
      <c r="J26" s="18"/>
      <c r="K26" s="18"/>
      <c r="L26" s="18"/>
      <c r="M26" s="18"/>
      <c r="N26" s="18"/>
      <c r="O26" s="18"/>
      <c r="P26" s="18"/>
      <c r="Q26" s="18"/>
      <c r="R26" s="18"/>
      <c r="S26" s="18"/>
      <c r="T26" s="18"/>
      <c r="U26" s="18"/>
      <c r="V26" s="18"/>
      <c r="W26" s="18"/>
      <c r="Y26" s="18"/>
      <c r="Z26" s="18"/>
      <c r="AA26" s="18"/>
      <c r="AB26" s="18"/>
      <c r="AC26" s="18"/>
      <c r="AD26" s="18"/>
      <c r="AE26" s="18"/>
      <c r="AF26" s="18"/>
      <c r="AG26" s="18"/>
      <c r="AH26" s="18"/>
      <c r="AI26" s="18"/>
      <c r="AJ26" s="18"/>
      <c r="AK26" s="18"/>
      <c r="AL26" s="18"/>
      <c r="AM26" s="18"/>
      <c r="AN26" s="15"/>
      <c r="AO26" s="18"/>
      <c r="AP26" s="18"/>
      <c r="AQ26" s="18"/>
      <c r="AR26" s="18"/>
      <c r="AS26" s="18"/>
      <c r="AT26" s="18"/>
      <c r="AU26" s="18"/>
      <c r="AV26" s="18"/>
    </row>
    <row r="27" spans="1:48" x14ac:dyDescent="0.3">
      <c r="B27" s="18"/>
      <c r="C27" s="18"/>
      <c r="D27" s="18"/>
      <c r="E27" s="18"/>
      <c r="F27" s="18"/>
      <c r="G27" s="18"/>
      <c r="H27" s="18"/>
      <c r="I27" s="18"/>
      <c r="J27" s="18"/>
      <c r="K27" s="18"/>
      <c r="L27" s="18"/>
      <c r="M27" s="18"/>
      <c r="N27" s="18"/>
      <c r="O27" s="18"/>
      <c r="P27" s="18"/>
      <c r="Q27" s="18"/>
      <c r="R27" s="18"/>
      <c r="S27" s="18"/>
      <c r="T27" s="18"/>
      <c r="U27" s="18"/>
      <c r="AH27" s="19"/>
      <c r="AI27" s="19"/>
      <c r="AJ27" s="19"/>
      <c r="AK27" s="19"/>
      <c r="AL27" s="19"/>
      <c r="AM27" s="19"/>
    </row>
    <row r="28" spans="1:48" x14ac:dyDescent="0.3">
      <c r="A28" t="s">
        <v>15</v>
      </c>
      <c r="B28" s="18">
        <f t="shared" ref="B28:AM30" si="15">+B12/B$31</f>
        <v>15.006981683315834</v>
      </c>
      <c r="C28" s="18">
        <f t="shared" si="15"/>
        <v>14.315964717707407</v>
      </c>
      <c r="D28" s="18">
        <f t="shared" si="15"/>
        <v>15.113287909222604</v>
      </c>
      <c r="E28" s="18">
        <f t="shared" si="15"/>
        <v>15.31577795799474</v>
      </c>
      <c r="F28" s="18">
        <f t="shared" si="15"/>
        <v>16.022393705391536</v>
      </c>
      <c r="G28" s="18">
        <f t="shared" si="15"/>
        <v>16.752896843469532</v>
      </c>
      <c r="H28" s="18">
        <f t="shared" si="15"/>
        <v>17.69215966736337</v>
      </c>
      <c r="I28" s="18">
        <f t="shared" si="15"/>
        <v>18.651365360358977</v>
      </c>
      <c r="J28" s="18">
        <f t="shared" si="15"/>
        <v>18.953933605629896</v>
      </c>
      <c r="K28" s="18">
        <f t="shared" si="15"/>
        <v>19.2</v>
      </c>
      <c r="L28" s="18">
        <f t="shared" si="15"/>
        <v>21.413741387062661</v>
      </c>
      <c r="M28" s="18">
        <f t="shared" si="15"/>
        <v>22.81039185666727</v>
      </c>
      <c r="N28" s="18">
        <f t="shared" si="15"/>
        <v>24.057355326401815</v>
      </c>
      <c r="O28" s="18">
        <f t="shared" si="15"/>
        <v>25.286452907283852</v>
      </c>
      <c r="P28" s="18">
        <f t="shared" si="15"/>
        <v>26.587110573370182</v>
      </c>
      <c r="Q28" s="18">
        <f t="shared" si="15"/>
        <v>27.946269528642482</v>
      </c>
      <c r="R28" s="18">
        <f t="shared" si="15"/>
        <v>29.381195073630487</v>
      </c>
      <c r="S28" s="18">
        <f t="shared" si="15"/>
        <v>30.91749416560241</v>
      </c>
      <c r="T28" s="18">
        <f t="shared" si="15"/>
        <v>32.535700058213962</v>
      </c>
      <c r="U28" s="18">
        <f t="shared" si="15"/>
        <v>34.241326450538253</v>
      </c>
      <c r="V28" s="18">
        <f t="shared" si="15"/>
        <v>36.024022548824988</v>
      </c>
      <c r="W28" s="18">
        <f t="shared" si="15"/>
        <v>37.893708887832567</v>
      </c>
      <c r="X28" s="3">
        <f t="shared" si="15"/>
        <v>39.8606040814688</v>
      </c>
      <c r="Y28" s="18">
        <f t="shared" si="15"/>
        <v>41.938678847775094</v>
      </c>
      <c r="Z28" s="18">
        <f t="shared" si="15"/>
        <v>44.129936485605</v>
      </c>
      <c r="AA28" s="18">
        <f t="shared" si="15"/>
        <v>46.440601298856855</v>
      </c>
      <c r="AB28" s="18">
        <f t="shared" si="15"/>
        <v>48.873183016873334</v>
      </c>
      <c r="AC28" s="18">
        <f t="shared" si="15"/>
        <v>51.444550777197946</v>
      </c>
      <c r="AD28" s="18">
        <f t="shared" si="15"/>
        <v>54.189932754917471</v>
      </c>
      <c r="AE28" s="18">
        <f t="shared" si="15"/>
        <v>57.089673985421655</v>
      </c>
      <c r="AF28" s="18">
        <f t="shared" si="15"/>
        <v>60.144749274338601</v>
      </c>
      <c r="AG28" s="18">
        <f t="shared" si="15"/>
        <v>63.351847066399174</v>
      </c>
      <c r="AH28" s="18">
        <f t="shared" si="15"/>
        <v>66.737875008866098</v>
      </c>
      <c r="AI28" s="18">
        <f t="shared" si="15"/>
        <v>70.320218141088148</v>
      </c>
      <c r="AJ28" s="18">
        <f t="shared" si="15"/>
        <v>74.100151878583688</v>
      </c>
      <c r="AK28" s="18">
        <f t="shared" si="15"/>
        <v>78.071926589728648</v>
      </c>
      <c r="AL28" s="18">
        <f t="shared" si="15"/>
        <v>82.253492111060467</v>
      </c>
      <c r="AM28" s="18">
        <f t="shared" si="15"/>
        <v>86.647536215609065</v>
      </c>
    </row>
    <row r="29" spans="1:48" x14ac:dyDescent="0.3">
      <c r="A29" t="s">
        <v>16</v>
      </c>
      <c r="B29" s="18">
        <f t="shared" si="15"/>
        <v>48.761546966755944</v>
      </c>
      <c r="C29" s="18">
        <f t="shared" si="15"/>
        <v>49.094584099142786</v>
      </c>
      <c r="D29" s="18">
        <f t="shared" si="15"/>
        <v>51.095603331637207</v>
      </c>
      <c r="E29" s="18">
        <f t="shared" si="15"/>
        <v>53.760165063972345</v>
      </c>
      <c r="F29" s="18">
        <f t="shared" si="15"/>
        <v>56.521600312194494</v>
      </c>
      <c r="G29" s="18">
        <f t="shared" si="15"/>
        <v>59.299789770836306</v>
      </c>
      <c r="H29" s="18">
        <f t="shared" si="15"/>
        <v>62.223201774089283</v>
      </c>
      <c r="I29" s="18">
        <f t="shared" si="15"/>
        <v>65.268147365624955</v>
      </c>
      <c r="J29" s="18">
        <f t="shared" si="15"/>
        <v>69.565538360584029</v>
      </c>
      <c r="K29" s="18">
        <f t="shared" si="15"/>
        <v>72.290000000000006</v>
      </c>
      <c r="L29" s="18">
        <f t="shared" si="15"/>
        <v>80.624966920352094</v>
      </c>
      <c r="M29" s="18">
        <f>+M13/M$31</f>
        <v>85.883501422837355</v>
      </c>
      <c r="N29" s="18">
        <f t="shared" si="15"/>
        <v>90.578448778416032</v>
      </c>
      <c r="O29" s="18">
        <f t="shared" si="15"/>
        <v>95.206129201434891</v>
      </c>
      <c r="P29" s="18">
        <f t="shared" si="15"/>
        <v>100.10324079942349</v>
      </c>
      <c r="Q29" s="18">
        <f t="shared" si="15"/>
        <v>105.22061584508154</v>
      </c>
      <c r="R29" s="18">
        <f t="shared" si="15"/>
        <v>110.62325999337232</v>
      </c>
      <c r="S29" s="18">
        <f t="shared" si="15"/>
        <v>116.40758610580203</v>
      </c>
      <c r="T29" s="18">
        <f t="shared" si="15"/>
        <v>122.50029985459834</v>
      </c>
      <c r="U29" s="18">
        <f t="shared" si="15"/>
        <v>128.92216089111514</v>
      </c>
      <c r="V29" s="18">
        <f t="shared" si="15"/>
        <v>135.63419739867496</v>
      </c>
      <c r="W29" s="18">
        <f t="shared" si="15"/>
        <v>142.67376122403212</v>
      </c>
      <c r="X29" s="3">
        <f t="shared" si="15"/>
        <v>150.07932651298856</v>
      </c>
      <c r="Y29" s="18">
        <f t="shared" si="15"/>
        <v>157.90349447425325</v>
      </c>
      <c r="Z29" s="18">
        <f t="shared" si="15"/>
        <v>166.15380773668679</v>
      </c>
      <c r="AA29" s="18">
        <f t="shared" si="15"/>
        <v>174.85370145283139</v>
      </c>
      <c r="AB29" s="18">
        <f t="shared" si="15"/>
        <v>184.01262501509242</v>
      </c>
      <c r="AC29" s="18">
        <f t="shared" si="15"/>
        <v>193.69409248352295</v>
      </c>
      <c r="AD29" s="18">
        <f t="shared" si="15"/>
        <v>204.03074160692631</v>
      </c>
      <c r="AE29" s="18">
        <f t="shared" si="15"/>
        <v>214.94856939615272</v>
      </c>
      <c r="AF29" s="18">
        <f t="shared" si="15"/>
        <v>226.45124609593427</v>
      </c>
      <c r="AG29" s="18">
        <f t="shared" si="15"/>
        <v>238.52630335572903</v>
      </c>
      <c r="AH29" s="18">
        <f t="shared" si="15"/>
        <v>251.27505127036102</v>
      </c>
      <c r="AI29" s="18">
        <f t="shared" si="15"/>
        <v>264.76294632392</v>
      </c>
      <c r="AJ29" s="18">
        <f t="shared" si="15"/>
        <v>278.99479058868837</v>
      </c>
      <c r="AK29" s="18">
        <f t="shared" si="15"/>
        <v>293.94893610268161</v>
      </c>
      <c r="AL29" s="18">
        <f t="shared" si="15"/>
        <v>309.69296587023763</v>
      </c>
      <c r="AM29" s="18">
        <f t="shared" si="15"/>
        <v>326.2369996367907</v>
      </c>
    </row>
    <row r="30" spans="1:48" x14ac:dyDescent="0.3">
      <c r="A30" t="str">
        <f>+A14</f>
        <v>Tier 1 Price</v>
      </c>
      <c r="B30" s="18"/>
      <c r="C30" s="18"/>
      <c r="D30" s="18"/>
      <c r="E30" s="18"/>
      <c r="F30" s="18"/>
      <c r="G30" s="18"/>
      <c r="H30" s="18"/>
      <c r="I30" s="18"/>
      <c r="J30" s="18">
        <f t="shared" si="15"/>
        <v>44.30789674043352</v>
      </c>
      <c r="K30" s="18">
        <f t="shared" si="15"/>
        <v>46.05</v>
      </c>
      <c r="L30" s="18">
        <f t="shared" si="15"/>
        <v>51.359520358033109</v>
      </c>
      <c r="M30" s="18">
        <f t="shared" si="15"/>
        <v>54.709299218725413</v>
      </c>
      <c r="N30" s="18">
        <f t="shared" si="15"/>
        <v>57.700063165666862</v>
      </c>
      <c r="O30" s="18">
        <f t="shared" si="15"/>
        <v>60.647976894813624</v>
      </c>
      <c r="P30" s="18">
        <f t="shared" si="15"/>
        <v>63.767523015817559</v>
      </c>
      <c r="Q30" s="18">
        <f t="shared" si="15"/>
        <v>67.027380822603462</v>
      </c>
      <c r="R30" s="18">
        <f t="shared" si="15"/>
        <v>70.468960059410634</v>
      </c>
      <c r="S30" s="18">
        <f t="shared" si="15"/>
        <v>74.153677412812044</v>
      </c>
      <c r="T30" s="18">
        <f t="shared" si="15"/>
        <v>78.034843108372556</v>
      </c>
      <c r="U30" s="18">
        <f t="shared" si="15"/>
        <v>82.12568140871285</v>
      </c>
      <c r="V30" s="18">
        <f t="shared" si="15"/>
        <v>86.401366581947443</v>
      </c>
      <c r="W30" s="18">
        <f t="shared" si="15"/>
        <v>90.885692410660937</v>
      </c>
      <c r="X30" s="3">
        <f t="shared" si="15"/>
        <v>95.603167601647826</v>
      </c>
      <c r="Y30" s="18">
        <f t="shared" si="15"/>
        <v>100.5873000489606</v>
      </c>
      <c r="Z30" s="18">
        <f t="shared" si="15"/>
        <v>105.84289453969328</v>
      </c>
      <c r="AA30" s="18">
        <f t="shared" si="15"/>
        <v>111.38487967772701</v>
      </c>
      <c r="AB30" s="18">
        <f t="shared" si="15"/>
        <v>117.21927489203216</v>
      </c>
      <c r="AC30" s="18">
        <f t="shared" si="15"/>
        <v>123.38653975468574</v>
      </c>
      <c r="AD30" s="18">
        <f t="shared" si="15"/>
        <v>129.97116684187242</v>
      </c>
      <c r="AE30" s="18">
        <f t="shared" si="15"/>
        <v>136.92601494940979</v>
      </c>
      <c r="AF30" s="18">
        <f t="shared" si="15"/>
        <v>144.25342208767154</v>
      </c>
      <c r="AG30" s="18">
        <f t="shared" si="15"/>
        <v>151.94544569831683</v>
      </c>
      <c r="AH30" s="18">
        <f t="shared" si="15"/>
        <v>160.06662209157733</v>
      </c>
      <c r="AI30" s="18">
        <f t="shared" si="15"/>
        <v>168.65864819776615</v>
      </c>
      <c r="AJ30" s="18">
        <f t="shared" si="15"/>
        <v>177.72458302129061</v>
      </c>
      <c r="AK30" s="18">
        <f t="shared" si="15"/>
        <v>187.25063643005237</v>
      </c>
      <c r="AL30" s="18">
        <f t="shared" si="15"/>
        <v>197.27985998512162</v>
      </c>
      <c r="AM30" s="18">
        <f t="shared" si="15"/>
        <v>207.81870014212492</v>
      </c>
    </row>
    <row r="31" spans="1:48" ht="18.75" customHeight="1" x14ac:dyDescent="0.3">
      <c r="A31" t="s">
        <v>17</v>
      </c>
      <c r="B31">
        <v>0.79981055618659813</v>
      </c>
      <c r="C31" s="8">
        <v>0.81475382130181684</v>
      </c>
      <c r="D31" s="8">
        <v>0.82293685075207601</v>
      </c>
      <c r="E31" s="8">
        <v>0.83116900982199338</v>
      </c>
      <c r="F31" s="8">
        <v>0.84693961773225523</v>
      </c>
      <c r="G31" s="8">
        <v>0.8673126884120913</v>
      </c>
      <c r="H31" s="8">
        <v>0.88287695191978899</v>
      </c>
      <c r="I31" s="8">
        <v>0.89430450145227136</v>
      </c>
      <c r="J31" s="8">
        <v>0.93437068887587482</v>
      </c>
      <c r="K31" s="8">
        <v>1</v>
      </c>
      <c r="L31" s="8">
        <v>1.0371844694742791</v>
      </c>
      <c r="M31" s="8">
        <v>1.0608030772679284</v>
      </c>
      <c r="N31" s="8">
        <v>1.0813600173330915</v>
      </c>
      <c r="O31" s="8">
        <v>1.101479958979285</v>
      </c>
      <c r="P31" s="8">
        <v>1.1211113031847721</v>
      </c>
      <c r="Q31" s="8">
        <v>1.141433131225505</v>
      </c>
      <c r="R31" s="8">
        <v>1.1625281302033947</v>
      </c>
      <c r="S31" s="8">
        <v>1.1834081950223658</v>
      </c>
      <c r="T31" s="19">
        <v>1.2046325751945051</v>
      </c>
      <c r="U31" s="19">
        <v>1.2260606740636957</v>
      </c>
      <c r="V31" s="19">
        <v>1.2481186737894532</v>
      </c>
      <c r="W31" s="19">
        <v>1.2711374557956823</v>
      </c>
      <c r="X31" s="3">
        <v>1.2954027857642059</v>
      </c>
      <c r="Y31" s="19">
        <v>1.320707962580953</v>
      </c>
      <c r="Z31" s="19">
        <v>1.3469430493276568</v>
      </c>
      <c r="AA31" s="19">
        <v>1.374073853264739</v>
      </c>
      <c r="AB31" s="19">
        <v>1.4022162692483726</v>
      </c>
      <c r="AC31" s="19">
        <v>1.4311441758655812</v>
      </c>
      <c r="AD31" s="19">
        <v>1.4602340865950065</v>
      </c>
      <c r="AE31" s="19">
        <v>1.4899558828264432</v>
      </c>
      <c r="AF31" s="19">
        <v>1.5204787626877074</v>
      </c>
      <c r="AG31" s="19">
        <v>1.5520417125891686</v>
      </c>
      <c r="AH31" s="19">
        <v>1.5841679825008925</v>
      </c>
      <c r="AI31" s="19">
        <v>1.6164632146783919</v>
      </c>
      <c r="AJ31" s="19">
        <v>1.6492530374266132</v>
      </c>
      <c r="AK31" s="19">
        <v>1.6829014570494316</v>
      </c>
      <c r="AL31" s="19">
        <v>1.7172503025921011</v>
      </c>
      <c r="AM31" s="19">
        <v>1.7523096404370286</v>
      </c>
    </row>
    <row r="32" spans="1:48" ht="12.75" customHeight="1" x14ac:dyDescent="0.3">
      <c r="A32" t="s">
        <v>18</v>
      </c>
      <c r="C32" s="32">
        <f>+C31/B31-1</f>
        <v>1.8683505737241646E-2</v>
      </c>
      <c r="D32" s="32">
        <f t="shared" ref="D32:AM32" si="16">+D31/C31-1</f>
        <v>1.0043560688287823E-2</v>
      </c>
      <c r="E32" s="32">
        <f t="shared" si="16"/>
        <v>1.0003390979993254E-2</v>
      </c>
      <c r="F32" s="32">
        <f t="shared" si="16"/>
        <v>1.897400856372089E-2</v>
      </c>
      <c r="G32" s="32">
        <f t="shared" si="16"/>
        <v>2.405492700221834E-2</v>
      </c>
      <c r="H32" s="32">
        <f t="shared" si="16"/>
        <v>1.7945388918722438E-2</v>
      </c>
      <c r="I32" s="32">
        <f t="shared" si="16"/>
        <v>1.2943535911356108E-2</v>
      </c>
      <c r="J32" s="32">
        <f t="shared" si="16"/>
        <v>4.4801504810206616E-2</v>
      </c>
      <c r="K32" s="32">
        <f t="shared" si="16"/>
        <v>7.0239051701292743E-2</v>
      </c>
      <c r="L32" s="32">
        <f t="shared" si="16"/>
        <v>3.7184469474279114E-2</v>
      </c>
      <c r="M32" s="32">
        <f t="shared" si="16"/>
        <v>2.2771848681479856E-2</v>
      </c>
      <c r="N32" s="32">
        <f t="shared" si="16"/>
        <v>1.9378658023982087E-2</v>
      </c>
      <c r="O32" s="32">
        <f t="shared" si="16"/>
        <v>1.8606145338917246E-2</v>
      </c>
      <c r="P32" s="32">
        <f t="shared" si="16"/>
        <v>1.7822697585600178E-2</v>
      </c>
      <c r="Q32" s="32">
        <f t="shared" si="16"/>
        <v>1.8126503571058494E-2</v>
      </c>
      <c r="R32" s="32">
        <f t="shared" si="16"/>
        <v>1.8481151808902752E-2</v>
      </c>
      <c r="S32" s="32">
        <f t="shared" si="16"/>
        <v>1.7960911462260976E-2</v>
      </c>
      <c r="T32" s="32">
        <f t="shared" si="16"/>
        <v>1.7934961293502028E-2</v>
      </c>
      <c r="U32" s="32">
        <f t="shared" si="16"/>
        <v>1.7788078548125474E-2</v>
      </c>
      <c r="V32" s="32">
        <f t="shared" si="16"/>
        <v>1.799095280712959E-2</v>
      </c>
      <c r="W32" s="32">
        <f t="shared" si="16"/>
        <v>1.8442783118003625E-2</v>
      </c>
      <c r="X32" s="3">
        <f t="shared" si="16"/>
        <v>1.9089461850004596E-2</v>
      </c>
      <c r="Y32" s="32">
        <f t="shared" si="16"/>
        <v>1.9534601202682023E-2</v>
      </c>
      <c r="Z32" s="32">
        <f t="shared" si="16"/>
        <v>1.986441173220066E-2</v>
      </c>
      <c r="AA32" s="32">
        <f t="shared" si="16"/>
        <v>2.014250264747619E-2</v>
      </c>
      <c r="AB32" s="32">
        <f t="shared" si="16"/>
        <v>2.0481006837273386E-2</v>
      </c>
      <c r="AC32" s="32">
        <f t="shared" si="16"/>
        <v>2.0630131921600681E-2</v>
      </c>
      <c r="AD32" s="32">
        <f t="shared" si="16"/>
        <v>2.0326331350809745E-2</v>
      </c>
      <c r="AE32" s="32">
        <f t="shared" si="16"/>
        <v>2.0354131234357364E-2</v>
      </c>
      <c r="AF32" s="32">
        <f t="shared" si="16"/>
        <v>2.0485760828946376E-2</v>
      </c>
      <c r="AG32" s="32">
        <f t="shared" si="16"/>
        <v>2.0758560182496888E-2</v>
      </c>
      <c r="AH32" s="32">
        <f t="shared" si="16"/>
        <v>2.0699359850406163E-2</v>
      </c>
      <c r="AI32" s="32">
        <f t="shared" si="16"/>
        <v>2.0386242200473914E-2</v>
      </c>
      <c r="AJ32" s="32">
        <f t="shared" si="16"/>
        <v>2.0284917374222555E-2</v>
      </c>
      <c r="AK32" s="32">
        <f t="shared" si="16"/>
        <v>2.0402217767214958E-2</v>
      </c>
      <c r="AL32" s="32">
        <f t="shared" si="16"/>
        <v>2.0410491296912969E-2</v>
      </c>
      <c r="AM32" s="32">
        <f t="shared" si="16"/>
        <v>2.0415974183849217E-2</v>
      </c>
    </row>
    <row r="33" spans="1:39" ht="9" customHeight="1" x14ac:dyDescent="0.3">
      <c r="H33" s="9"/>
      <c r="I33" s="9"/>
      <c r="J33" s="9"/>
      <c r="K33" s="9"/>
    </row>
    <row r="34" spans="1:39" ht="22.2" customHeight="1" x14ac:dyDescent="0.3">
      <c r="A34" s="33" t="s">
        <v>95</v>
      </c>
      <c r="B34" s="34"/>
      <c r="C34" s="34"/>
      <c r="D34" s="34"/>
      <c r="E34" s="34"/>
      <c r="F34" s="34"/>
      <c r="G34" s="34"/>
      <c r="H34" s="34"/>
      <c r="I34" s="34"/>
      <c r="J34" s="34"/>
      <c r="K34" s="34"/>
      <c r="L34" s="34"/>
      <c r="M34" s="34"/>
      <c r="N34" s="34"/>
      <c r="O34" s="34"/>
      <c r="P34" s="34"/>
      <c r="Q34" s="34"/>
      <c r="R34" s="34"/>
      <c r="S34" s="34"/>
    </row>
    <row r="35" spans="1:39" ht="21" customHeight="1" x14ac:dyDescent="0.3">
      <c r="A35" s="35" t="s">
        <v>19</v>
      </c>
      <c r="B35" s="35"/>
      <c r="C35" s="35"/>
      <c r="D35" s="35"/>
      <c r="E35" s="35"/>
      <c r="F35" s="35"/>
      <c r="G35" s="35"/>
      <c r="H35" s="35"/>
      <c r="I35" s="35"/>
      <c r="J35" s="35"/>
      <c r="K35" s="35"/>
      <c r="L35" s="35"/>
      <c r="M35" s="35"/>
      <c r="N35" s="35"/>
      <c r="O35" s="35"/>
      <c r="P35" s="35"/>
      <c r="Q35" s="35"/>
      <c r="R35" s="35"/>
      <c r="S35" s="35"/>
    </row>
    <row r="36" spans="1:39" ht="33" customHeight="1" x14ac:dyDescent="0.3">
      <c r="A36" s="35" t="s">
        <v>20</v>
      </c>
      <c r="B36" s="35"/>
      <c r="C36" s="35"/>
      <c r="D36" s="35"/>
      <c r="E36" s="35"/>
      <c r="F36" s="35"/>
      <c r="G36" s="35"/>
      <c r="H36" s="35"/>
      <c r="I36" s="35"/>
      <c r="J36" s="35"/>
      <c r="K36" s="35"/>
      <c r="L36" s="35"/>
      <c r="M36" s="35"/>
      <c r="N36" s="35"/>
      <c r="O36" s="35"/>
      <c r="P36" s="35"/>
      <c r="Q36" s="35"/>
      <c r="R36" s="35"/>
      <c r="S36" s="35"/>
    </row>
    <row r="37" spans="1:39" ht="22.5" customHeight="1" x14ac:dyDescent="0.3">
      <c r="A37" s="36" t="s">
        <v>21</v>
      </c>
      <c r="B37" s="28"/>
      <c r="C37" s="28"/>
      <c r="D37" s="28"/>
      <c r="E37" s="10"/>
      <c r="F37" s="28"/>
      <c r="G37" s="28"/>
      <c r="H37" s="28"/>
      <c r="I37" s="28"/>
      <c r="J37" s="28"/>
      <c r="K37" s="28"/>
      <c r="L37" s="28"/>
      <c r="M37" s="28"/>
    </row>
    <row r="38" spans="1:39" ht="17.399999999999999" x14ac:dyDescent="0.3">
      <c r="A38" s="37" t="s">
        <v>94</v>
      </c>
    </row>
    <row r="39" spans="1:39" ht="31.2" customHeight="1" x14ac:dyDescent="0.3"/>
    <row r="41" spans="1:39" ht="20.25" customHeight="1" x14ac:dyDescent="0.3"/>
    <row r="42" spans="1:39" x14ac:dyDescent="0.3">
      <c r="A42" s="38" t="s">
        <v>22</v>
      </c>
      <c r="B42" s="39"/>
      <c r="C42" s="39"/>
      <c r="D42" s="39"/>
      <c r="E42" s="39"/>
      <c r="F42" s="40"/>
    </row>
    <row r="43" spans="1:39" x14ac:dyDescent="0.3">
      <c r="A43" s="41"/>
      <c r="B43" s="4" t="s">
        <v>23</v>
      </c>
      <c r="D43" s="4" t="s">
        <v>24</v>
      </c>
      <c r="E43" s="4" t="s">
        <v>25</v>
      </c>
      <c r="F43" s="42"/>
      <c r="G43" s="43"/>
    </row>
    <row r="44" spans="1:39" x14ac:dyDescent="0.3">
      <c r="A44" s="41" t="s">
        <v>26</v>
      </c>
      <c r="B44" t="s">
        <v>27</v>
      </c>
      <c r="C44" t="s">
        <v>28</v>
      </c>
      <c r="F44" s="42"/>
    </row>
    <row r="45" spans="1:39" x14ac:dyDescent="0.3">
      <c r="A45" s="44">
        <v>2023</v>
      </c>
      <c r="B45" s="45">
        <f>HLOOKUP(A45,B$5:Z$6,2,FALSE)</f>
        <v>34.159999999999997</v>
      </c>
      <c r="C45" s="46">
        <v>0</v>
      </c>
      <c r="D45" s="47">
        <f>LN(B45)</f>
        <v>3.5310553689203692</v>
      </c>
      <c r="E45" s="48">
        <f t="array" ref="E45:F47">LINEST(D45:D46,C45:C46,1,TRUE)</f>
        <v>0.13478326698429122</v>
      </c>
      <c r="F45" s="49">
        <v>3.5310553689203692</v>
      </c>
      <c r="H45">
        <f>S5</f>
        <v>2030</v>
      </c>
      <c r="I45">
        <f t="shared" ref="I45:AM45" si="17">T5</f>
        <v>2031</v>
      </c>
      <c r="J45">
        <f t="shared" si="17"/>
        <v>2032</v>
      </c>
      <c r="K45">
        <f t="shared" si="17"/>
        <v>2033</v>
      </c>
      <c r="L45">
        <f t="shared" si="17"/>
        <v>2034</v>
      </c>
      <c r="M45">
        <f t="shared" si="17"/>
        <v>2035</v>
      </c>
      <c r="N45">
        <f t="shared" si="17"/>
        <v>2036</v>
      </c>
      <c r="O45">
        <f t="shared" si="17"/>
        <v>2037</v>
      </c>
      <c r="P45">
        <f t="shared" si="17"/>
        <v>2038</v>
      </c>
      <c r="Q45">
        <f t="shared" si="17"/>
        <v>2039</v>
      </c>
      <c r="R45">
        <f t="shared" si="17"/>
        <v>2040</v>
      </c>
      <c r="S45">
        <f t="shared" si="17"/>
        <v>2041</v>
      </c>
      <c r="T45">
        <f t="shared" si="17"/>
        <v>2042</v>
      </c>
      <c r="U45">
        <f t="shared" si="17"/>
        <v>2043</v>
      </c>
      <c r="V45">
        <f t="shared" si="17"/>
        <v>2044</v>
      </c>
      <c r="W45">
        <f t="shared" si="17"/>
        <v>2045</v>
      </c>
      <c r="X45" s="3">
        <f t="shared" si="17"/>
        <v>2046</v>
      </c>
      <c r="Y45">
        <f t="shared" si="17"/>
        <v>2047</v>
      </c>
      <c r="Z45">
        <f t="shared" si="17"/>
        <v>2048</v>
      </c>
      <c r="AA45">
        <f t="shared" si="17"/>
        <v>2049</v>
      </c>
      <c r="AB45">
        <f t="shared" si="17"/>
        <v>2050</v>
      </c>
      <c r="AC45">
        <f t="shared" si="17"/>
        <v>0</v>
      </c>
      <c r="AD45">
        <f t="shared" si="17"/>
        <v>0</v>
      </c>
      <c r="AE45">
        <f t="shared" si="17"/>
        <v>0</v>
      </c>
      <c r="AF45">
        <f t="shared" si="17"/>
        <v>0</v>
      </c>
      <c r="AG45">
        <f t="shared" si="17"/>
        <v>0</v>
      </c>
      <c r="AH45">
        <f t="shared" si="17"/>
        <v>0</v>
      </c>
      <c r="AI45">
        <f t="shared" si="17"/>
        <v>0</v>
      </c>
      <c r="AJ45">
        <f t="shared" si="17"/>
        <v>0</v>
      </c>
      <c r="AK45">
        <f t="shared" si="17"/>
        <v>0</v>
      </c>
      <c r="AL45">
        <f t="shared" si="17"/>
        <v>0</v>
      </c>
      <c r="AM45">
        <f t="shared" si="17"/>
        <v>0</v>
      </c>
    </row>
    <row r="46" spans="1:39" x14ac:dyDescent="0.3">
      <c r="A46" s="44">
        <v>2030</v>
      </c>
      <c r="B46" s="19">
        <f>HLOOKUP(A46,H$45:AC$47,2,FALSE)</f>
        <v>87.754069541366675</v>
      </c>
      <c r="C46" s="46">
        <f>+A46-A45</f>
        <v>7</v>
      </c>
      <c r="D46" s="47">
        <f>LN(B46)</f>
        <v>4.4745382378104077</v>
      </c>
      <c r="E46" s="47">
        <v>0</v>
      </c>
      <c r="F46" s="50">
        <v>0</v>
      </c>
      <c r="H46" s="13">
        <f t="shared" ref="H46:W47" si="18">+S14</f>
        <v>87.754069541366675</v>
      </c>
      <c r="I46" s="13">
        <f t="shared" si="18"/>
        <v>94.003314008538013</v>
      </c>
      <c r="J46" s="13">
        <f t="shared" si="18"/>
        <v>100.6910683059068</v>
      </c>
      <c r="K46" s="13">
        <f t="shared" si="18"/>
        <v>107.83915907185663</v>
      </c>
      <c r="L46" s="13">
        <f t="shared" si="18"/>
        <v>115.52820781911649</v>
      </c>
      <c r="M46" s="13">
        <f t="shared" si="18"/>
        <v>123.84460963905687</v>
      </c>
      <c r="N46" s="13">
        <f t="shared" si="18"/>
        <v>132.84644810918175</v>
      </c>
      <c r="O46" s="13">
        <f t="shared" si="18"/>
        <v>142.56435112096005</v>
      </c>
      <c r="P46" s="13">
        <f t="shared" si="18"/>
        <v>153.05105081420368</v>
      </c>
      <c r="Q46" s="13">
        <f t="shared" si="18"/>
        <v>164.36677432310478</v>
      </c>
      <c r="R46" s="13">
        <f t="shared" si="18"/>
        <v>176.5839277501255</v>
      </c>
      <c r="S46" s="13">
        <f t="shared" si="18"/>
        <v>189.78832809702877</v>
      </c>
      <c r="T46" s="13">
        <f t="shared" si="18"/>
        <v>204.01372148585463</v>
      </c>
      <c r="U46" s="13">
        <f t="shared" si="18"/>
        <v>219.33426472933041</v>
      </c>
      <c r="V46" s="13">
        <f t="shared" si="18"/>
        <v>235.82566976174016</v>
      </c>
      <c r="W46" s="13">
        <f t="shared" si="18"/>
        <v>253.57241778454684</v>
      </c>
      <c r="X46" s="3">
        <f t="shared" ref="X46:AM47" si="19">+AI14</f>
        <v>272.63050064907304</v>
      </c>
      <c r="Y46" s="13">
        <f t="shared" si="19"/>
        <v>293.11280837324182</v>
      </c>
      <c r="Z46" s="13">
        <f t="shared" si="19"/>
        <v>315.1243688815685</v>
      </c>
      <c r="AA46" s="13">
        <f t="shared" si="19"/>
        <v>338.77889925477746</v>
      </c>
      <c r="AB46" s="13">
        <f t="shared" si="19"/>
        <v>364.1627117221376</v>
      </c>
      <c r="AC46" s="13">
        <f t="shared" si="19"/>
        <v>0</v>
      </c>
      <c r="AD46" s="13">
        <f t="shared" si="19"/>
        <v>0</v>
      </c>
      <c r="AE46" s="13">
        <f t="shared" si="19"/>
        <v>0</v>
      </c>
      <c r="AF46" s="13">
        <f t="shared" si="19"/>
        <v>0</v>
      </c>
      <c r="AG46" s="13">
        <f t="shared" si="19"/>
        <v>0</v>
      </c>
      <c r="AH46" s="13">
        <f t="shared" si="19"/>
        <v>0</v>
      </c>
      <c r="AI46" s="13">
        <f t="shared" si="19"/>
        <v>0</v>
      </c>
      <c r="AJ46" s="13">
        <f t="shared" si="19"/>
        <v>0</v>
      </c>
      <c r="AK46" s="13">
        <f t="shared" si="19"/>
        <v>0</v>
      </c>
      <c r="AL46" s="13">
        <f t="shared" si="19"/>
        <v>0</v>
      </c>
      <c r="AM46" s="13">
        <f t="shared" si="19"/>
        <v>0</v>
      </c>
    </row>
    <row r="47" spans="1:39" x14ac:dyDescent="0.3">
      <c r="A47" s="44">
        <v>2045</v>
      </c>
      <c r="B47" s="19">
        <f>G47*AH31</f>
        <v>431.05981137517347</v>
      </c>
      <c r="C47" s="46">
        <f>+A47-A46</f>
        <v>15</v>
      </c>
      <c r="D47" s="47">
        <f>LN(B47)</f>
        <v>6.0662468539678791</v>
      </c>
      <c r="E47" s="47">
        <v>1</v>
      </c>
      <c r="F47" s="50">
        <v>0</v>
      </c>
      <c r="G47" s="51">
        <f>236/G31</f>
        <v>272.10486270191399</v>
      </c>
      <c r="H47" s="13">
        <f t="shared" si="18"/>
        <v>112.75588045087223</v>
      </c>
      <c r="I47" s="13">
        <f t="shared" si="18"/>
        <v>120.78558284224091</v>
      </c>
      <c r="J47" s="13">
        <f t="shared" si="18"/>
        <v>129.37872989490782</v>
      </c>
      <c r="K47" s="13">
        <f t="shared" si="18"/>
        <v>138.56336682479383</v>
      </c>
      <c r="L47" s="13">
        <f t="shared" si="18"/>
        <v>148.44308483511665</v>
      </c>
      <c r="M47" s="13">
        <f t="shared" si="18"/>
        <v>159.12889364479901</v>
      </c>
      <c r="N47" s="13">
        <f t="shared" si="18"/>
        <v>170.69542529034274</v>
      </c>
      <c r="O47" s="13">
        <f t="shared" si="18"/>
        <v>183.18203378560705</v>
      </c>
      <c r="P47" s="13" t="s">
        <v>93</v>
      </c>
      <c r="Q47" s="13">
        <f t="shared" si="18"/>
        <v>211.19613543318368</v>
      </c>
      <c r="R47" s="13">
        <f t="shared" si="18"/>
        <v>226.89405005374428</v>
      </c>
      <c r="S47" s="13">
        <f t="shared" si="18"/>
        <v>243.86048585236028</v>
      </c>
      <c r="T47" s="13">
        <f t="shared" si="18"/>
        <v>262.1388034813902</v>
      </c>
      <c r="U47" s="13">
        <f t="shared" si="18"/>
        <v>281.82428760118307</v>
      </c>
      <c r="V47" s="13">
        <f t="shared" si="18"/>
        <v>303.01422105976474</v>
      </c>
      <c r="W47" s="13">
        <f t="shared" si="18"/>
        <v>325.8171544041615</v>
      </c>
      <c r="X47" s="3">
        <f t="shared" si="19"/>
        <v>350.30503199577964</v>
      </c>
      <c r="Y47" s="13">
        <f t="shared" si="19"/>
        <v>376.62290708891896</v>
      </c>
      <c r="Z47" s="13">
        <f t="shared" si="19"/>
        <v>404.90573087345075</v>
      </c>
      <c r="AA47" s="13">
        <f t="shared" si="19"/>
        <v>435.29961930304415</v>
      </c>
      <c r="AB47" s="13">
        <f t="shared" si="19"/>
        <v>467.91547562646866</v>
      </c>
      <c r="AC47" s="13">
        <f t="shared" si="19"/>
        <v>0</v>
      </c>
      <c r="AD47" s="13">
        <f t="shared" si="19"/>
        <v>0</v>
      </c>
      <c r="AE47" s="13">
        <f t="shared" si="19"/>
        <v>0</v>
      </c>
      <c r="AF47" s="13">
        <f t="shared" si="19"/>
        <v>0</v>
      </c>
      <c r="AG47" s="13">
        <f t="shared" si="19"/>
        <v>0</v>
      </c>
      <c r="AH47" s="13">
        <f t="shared" si="19"/>
        <v>0</v>
      </c>
      <c r="AI47" s="13">
        <f t="shared" si="19"/>
        <v>0</v>
      </c>
      <c r="AJ47" s="13">
        <f t="shared" si="19"/>
        <v>0</v>
      </c>
      <c r="AK47" s="13">
        <f t="shared" si="19"/>
        <v>0</v>
      </c>
      <c r="AL47" s="13">
        <f t="shared" si="19"/>
        <v>0</v>
      </c>
      <c r="AM47" s="13">
        <f t="shared" si="19"/>
        <v>0</v>
      </c>
    </row>
    <row r="48" spans="1:39" x14ac:dyDescent="0.3">
      <c r="A48" s="44"/>
      <c r="B48" s="19"/>
      <c r="C48" s="46"/>
      <c r="D48" s="47"/>
      <c r="E48" s="47"/>
      <c r="F48" s="50"/>
      <c r="H48" s="13"/>
      <c r="I48" s="13"/>
      <c r="J48" s="13"/>
      <c r="K48" s="13"/>
      <c r="L48" s="13"/>
      <c r="M48" s="13"/>
      <c r="N48" s="13"/>
      <c r="O48" s="13"/>
      <c r="P48" s="13"/>
      <c r="Q48" s="13"/>
      <c r="R48" s="13"/>
      <c r="S48" s="13"/>
      <c r="T48" s="13"/>
      <c r="U48" s="13"/>
      <c r="V48" s="13"/>
      <c r="W48" s="13"/>
      <c r="Y48" s="13"/>
      <c r="Z48" s="13"/>
      <c r="AA48" s="13"/>
      <c r="AB48" s="13"/>
      <c r="AC48" s="13"/>
      <c r="AD48" s="13"/>
      <c r="AE48" s="13"/>
      <c r="AF48" s="13"/>
      <c r="AG48" s="13"/>
      <c r="AH48" s="13"/>
      <c r="AI48" s="13"/>
      <c r="AJ48" s="13"/>
      <c r="AK48" s="13"/>
      <c r="AL48" s="13"/>
      <c r="AM48" s="13"/>
    </row>
    <row r="49" spans="1:46" x14ac:dyDescent="0.3">
      <c r="A49" s="52">
        <f>+A46</f>
        <v>2030</v>
      </c>
      <c r="B49" s="52">
        <f>+B46</f>
        <v>87.754069541366675</v>
      </c>
      <c r="C49" s="52">
        <v>0</v>
      </c>
      <c r="D49" s="47">
        <f>LN(B49)</f>
        <v>4.4745382378104077</v>
      </c>
      <c r="E49" s="48">
        <f t="array" ref="E49:F51">LINEST(D49:D50,C49:C50,1,TRUE)</f>
        <v>0.10611390774383138</v>
      </c>
      <c r="F49" s="49">
        <v>4.4745382378104077</v>
      </c>
      <c r="I49" s="13"/>
    </row>
    <row r="50" spans="1:46" x14ac:dyDescent="0.3">
      <c r="A50" s="52">
        <f>+A47</f>
        <v>2045</v>
      </c>
      <c r="B50" s="54">
        <f>+B47</f>
        <v>431.05981137517347</v>
      </c>
      <c r="C50" s="52">
        <f>+C47</f>
        <v>15</v>
      </c>
      <c r="D50" s="47">
        <f>LN(B50)</f>
        <v>6.0662468539678791</v>
      </c>
      <c r="E50" s="53">
        <v>0</v>
      </c>
      <c r="F50" s="50">
        <v>0</v>
      </c>
      <c r="G50" s="13"/>
      <c r="I50" s="13"/>
    </row>
    <row r="51" spans="1:46" x14ac:dyDescent="0.3">
      <c r="A51" s="52"/>
      <c r="B51" s="55"/>
      <c r="D51" s="56"/>
      <c r="E51" s="47">
        <v>1</v>
      </c>
      <c r="F51" s="50">
        <v>0</v>
      </c>
      <c r="G51" s="13"/>
      <c r="I51" s="13"/>
    </row>
    <row r="52" spans="1:46" x14ac:dyDescent="0.3">
      <c r="A52" s="52"/>
      <c r="B52" s="55"/>
      <c r="D52" s="56"/>
      <c r="E52" s="56"/>
      <c r="F52" s="56"/>
      <c r="G52" s="13"/>
      <c r="I52" s="13"/>
    </row>
    <row r="53" spans="1:46" x14ac:dyDescent="0.3">
      <c r="A53" s="52"/>
      <c r="B53" s="55" t="s">
        <v>29</v>
      </c>
      <c r="C53" t="s">
        <v>28</v>
      </c>
      <c r="D53" s="57" t="s">
        <v>30</v>
      </c>
      <c r="E53" s="56" t="s">
        <v>25</v>
      </c>
      <c r="F53" s="58"/>
    </row>
    <row r="54" spans="1:46" x14ac:dyDescent="0.3">
      <c r="A54" s="44">
        <f>+A45</f>
        <v>2023</v>
      </c>
      <c r="B54" s="55">
        <f>HLOOKUP(A54,B$5:Z$6,2,FALSE)</f>
        <v>34.159999999999997</v>
      </c>
      <c r="C54" s="46">
        <v>0</v>
      </c>
      <c r="D54" s="47">
        <f>LN(B54)</f>
        <v>3.5310553689203692</v>
      </c>
      <c r="E54" s="47">
        <f t="array" ref="E54:F56">LINEST(D54:D55,C54:C55,1,TRUE)</f>
        <v>0.13477664191794375</v>
      </c>
      <c r="F54" s="50">
        <v>3.5310553689203692</v>
      </c>
    </row>
    <row r="55" spans="1:46" x14ac:dyDescent="0.3">
      <c r="A55" s="44">
        <v>2030</v>
      </c>
      <c r="B55" s="19">
        <v>87.75</v>
      </c>
      <c r="C55" s="46">
        <f>+A55-A54</f>
        <v>7</v>
      </c>
      <c r="D55" s="47">
        <f>LN(B55)</f>
        <v>4.4744918623459755</v>
      </c>
      <c r="E55" s="47">
        <v>0</v>
      </c>
      <c r="F55" s="50">
        <v>0</v>
      </c>
    </row>
    <row r="56" spans="1:46" x14ac:dyDescent="0.3">
      <c r="A56" s="61"/>
      <c r="B56" s="62"/>
      <c r="C56" s="63"/>
      <c r="D56" s="59"/>
      <c r="E56" s="59">
        <v>1</v>
      </c>
      <c r="F56" s="60">
        <v>0</v>
      </c>
    </row>
    <row r="57" spans="1:46" x14ac:dyDescent="0.3">
      <c r="A57" s="52">
        <v>2035</v>
      </c>
      <c r="B57" s="19">
        <f>HLOOKUP(A57,H$45:AC$58,3,FALSE)</f>
        <v>159.12889364479901</v>
      </c>
      <c r="C57" s="52">
        <v>0</v>
      </c>
      <c r="D57" s="47">
        <f>LN(B57)</f>
        <v>5.0697145256735663</v>
      </c>
      <c r="E57" s="48">
        <f t="array" ref="E57:F59">LINEST(D57:D58,C57:C58,1,TRUE)</f>
        <v>0.10941272863106562</v>
      </c>
      <c r="F57" s="49">
        <v>5.0697145256735663</v>
      </c>
    </row>
    <row r="58" spans="1:46" x14ac:dyDescent="0.3">
      <c r="A58" s="52">
        <v>2045</v>
      </c>
      <c r="B58" s="19">
        <f>300*AH31</f>
        <v>475.25039475026773</v>
      </c>
      <c r="C58" s="46">
        <f>+A58-A57</f>
        <v>10</v>
      </c>
      <c r="D58" s="47">
        <f>LN(B58)</f>
        <v>6.1638418119842227</v>
      </c>
      <c r="E58" s="47">
        <v>0</v>
      </c>
      <c r="F58" s="50">
        <v>0</v>
      </c>
    </row>
    <row r="59" spans="1:46" x14ac:dyDescent="0.3">
      <c r="A59" s="52"/>
      <c r="B59" s="55"/>
      <c r="D59" s="56"/>
      <c r="E59" s="47">
        <v>1</v>
      </c>
      <c r="F59" s="50">
        <v>0</v>
      </c>
    </row>
    <row r="62" spans="1:46" x14ac:dyDescent="0.3">
      <c r="B62" s="15"/>
      <c r="C62" s="14"/>
      <c r="D62" s="13"/>
      <c r="E62" s="13"/>
      <c r="F62" s="13"/>
      <c r="G62" s="15"/>
      <c r="H62" s="15"/>
      <c r="I62" s="15"/>
      <c r="J62" s="15"/>
      <c r="K62" s="15"/>
      <c r="L62" s="15"/>
      <c r="M62" s="15"/>
      <c r="N62" s="15"/>
      <c r="O62" s="15"/>
      <c r="P62" s="15"/>
      <c r="Q62" s="15"/>
      <c r="R62" s="15"/>
      <c r="S62" s="15"/>
      <c r="T62" s="15"/>
      <c r="U62" s="15"/>
      <c r="V62" s="15"/>
      <c r="W62" s="15"/>
      <c r="X62" s="16"/>
      <c r="Y62" s="15"/>
      <c r="Z62" s="15"/>
      <c r="AA62" s="15"/>
      <c r="AB62" s="15"/>
      <c r="AC62" s="15"/>
      <c r="AD62" s="15"/>
      <c r="AE62" s="15"/>
      <c r="AF62" s="15"/>
      <c r="AG62" s="15"/>
      <c r="AH62" s="15"/>
      <c r="AI62" s="15"/>
      <c r="AJ62" s="15"/>
      <c r="AK62" s="15"/>
      <c r="AL62" s="15"/>
      <c r="AM62" s="15"/>
      <c r="AN62" s="15"/>
      <c r="AO62" s="15"/>
      <c r="AP62" s="15"/>
      <c r="AQ62" s="15"/>
      <c r="AR62" s="15"/>
      <c r="AS62" s="15"/>
      <c r="AT62" s="15"/>
    </row>
    <row r="63" spans="1:46" x14ac:dyDescent="0.3">
      <c r="B63" s="14"/>
      <c r="C63" s="14"/>
      <c r="D63" s="15"/>
      <c r="E63" s="15"/>
      <c r="F63" s="14"/>
      <c r="G63" s="14"/>
      <c r="H63" s="14"/>
      <c r="I63" s="14"/>
      <c r="J63" s="14"/>
      <c r="K63" s="14"/>
      <c r="L63" s="14"/>
      <c r="M63" s="14"/>
      <c r="N63" s="14"/>
      <c r="O63" s="14"/>
      <c r="P63" s="14"/>
      <c r="Q63" s="14"/>
      <c r="R63" s="14"/>
      <c r="S63" s="14"/>
      <c r="T63" s="14"/>
      <c r="U63" s="14"/>
      <c r="V63" s="14"/>
      <c r="W63" s="14"/>
      <c r="X63" s="64"/>
      <c r="Y63" s="14"/>
      <c r="Z63" s="14"/>
      <c r="AA63" s="14"/>
      <c r="AB63" s="14"/>
      <c r="AC63" s="14"/>
      <c r="AD63" s="14"/>
      <c r="AE63" s="14"/>
      <c r="AF63" s="14"/>
      <c r="AG63" s="14"/>
      <c r="AH63" s="14"/>
      <c r="AI63" s="14"/>
      <c r="AJ63" s="14"/>
      <c r="AK63" s="14"/>
      <c r="AL63" s="14"/>
      <c r="AM63" s="14"/>
      <c r="AN63" s="14"/>
      <c r="AO63" s="14"/>
      <c r="AP63" s="14"/>
      <c r="AQ63" s="14"/>
      <c r="AR63" s="14"/>
      <c r="AS63" s="14"/>
      <c r="AT63" s="14"/>
    </row>
    <row r="64" spans="1:46" x14ac:dyDescent="0.3">
      <c r="B64" s="14"/>
      <c r="C64" s="14"/>
      <c r="D64" s="15"/>
      <c r="E64" s="15"/>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row>
    <row r="65" spans="7:46" x14ac:dyDescent="0.3">
      <c r="I65" s="13"/>
      <c r="J65" s="13"/>
      <c r="K65" s="13"/>
      <c r="L65" s="13"/>
      <c r="M65" s="13"/>
      <c r="N65" s="13"/>
      <c r="O65" s="13"/>
      <c r="P65" s="13"/>
      <c r="Q65" s="13"/>
      <c r="R65" s="13"/>
      <c r="S65" s="13"/>
      <c r="T65" s="13"/>
      <c r="U65" s="13"/>
      <c r="V65" s="13"/>
      <c r="W65" s="13"/>
      <c r="Y65" s="13"/>
      <c r="Z65" s="13"/>
      <c r="AA65" s="13"/>
      <c r="AB65" s="13"/>
      <c r="AC65" s="13"/>
      <c r="AD65" s="13"/>
      <c r="AE65" s="13"/>
      <c r="AF65" s="13"/>
      <c r="AG65" s="13"/>
      <c r="AH65" s="13"/>
      <c r="AI65" s="13"/>
      <c r="AJ65" s="13"/>
      <c r="AK65" s="13"/>
      <c r="AL65" s="13"/>
      <c r="AM65" s="13"/>
      <c r="AN65" s="13"/>
      <c r="AO65" s="13"/>
      <c r="AP65" s="13"/>
      <c r="AQ65" s="13"/>
      <c r="AR65" s="13"/>
      <c r="AS65" s="13"/>
      <c r="AT65" s="13"/>
    </row>
    <row r="66" spans="7:46" s="65" customFormat="1" ht="32.4" customHeight="1" x14ac:dyDescent="0.3">
      <c r="I66" s="66"/>
      <c r="J66" s="66"/>
      <c r="K66" s="66"/>
      <c r="L66" s="66"/>
      <c r="M66" s="66"/>
      <c r="N66" s="66"/>
      <c r="O66" s="66"/>
      <c r="P66" s="66"/>
      <c r="Q66" s="66"/>
      <c r="R66" s="66"/>
      <c r="S66" s="66"/>
      <c r="T66" s="66"/>
      <c r="U66" s="66"/>
      <c r="V66" s="66"/>
      <c r="W66" s="66"/>
      <c r="X66" s="67"/>
      <c r="Y66" s="66"/>
      <c r="Z66" s="66"/>
      <c r="AA66" s="66"/>
      <c r="AB66" s="66"/>
      <c r="AC66" s="66"/>
      <c r="AD66" s="66"/>
      <c r="AE66" s="66"/>
      <c r="AF66" s="66"/>
      <c r="AG66" s="66"/>
      <c r="AH66" s="66"/>
      <c r="AI66" s="66"/>
      <c r="AJ66" s="66"/>
      <c r="AK66" s="66"/>
      <c r="AL66" s="66"/>
      <c r="AM66" s="66"/>
      <c r="AN66" s="66"/>
      <c r="AO66" s="66"/>
      <c r="AP66" s="66"/>
      <c r="AQ66" s="66"/>
      <c r="AR66" s="66"/>
      <c r="AS66" s="66"/>
      <c r="AT66" s="66"/>
    </row>
    <row r="67" spans="7:46" x14ac:dyDescent="0.3">
      <c r="I67" s="13"/>
      <c r="J67" s="13"/>
      <c r="K67" s="13"/>
      <c r="L67" s="13"/>
      <c r="M67" s="13"/>
      <c r="N67" s="13"/>
      <c r="O67" s="13"/>
      <c r="P67" s="13"/>
      <c r="Q67" s="13"/>
      <c r="R67" s="13"/>
      <c r="S67" s="13"/>
      <c r="T67" s="13"/>
      <c r="U67" s="13"/>
      <c r="V67" s="13"/>
      <c r="W67" s="13"/>
      <c r="Y67" s="13"/>
      <c r="Z67" s="13"/>
      <c r="AA67" s="13"/>
      <c r="AB67" s="13"/>
      <c r="AC67" s="13"/>
      <c r="AD67" s="13"/>
      <c r="AE67" s="13"/>
      <c r="AF67" s="13"/>
      <c r="AG67" s="13"/>
      <c r="AH67" s="13"/>
      <c r="AI67" s="13"/>
      <c r="AJ67" s="13"/>
      <c r="AK67" s="13"/>
      <c r="AL67" s="13"/>
      <c r="AM67" s="13"/>
      <c r="AN67" s="13"/>
      <c r="AO67" s="13"/>
      <c r="AP67" s="13"/>
      <c r="AQ67" s="13"/>
      <c r="AR67" s="13"/>
      <c r="AS67" s="13"/>
      <c r="AT67" s="13"/>
    </row>
    <row r="68" spans="7:46" x14ac:dyDescent="0.3">
      <c r="S68" s="68"/>
      <c r="T68" s="68"/>
      <c r="U68" s="68"/>
      <c r="V68" s="68"/>
      <c r="W68" s="68"/>
      <c r="X68" s="69"/>
      <c r="Y68" s="68"/>
      <c r="Z68" s="68"/>
      <c r="AA68" s="68"/>
      <c r="AB68" s="68"/>
      <c r="AC68" s="68"/>
      <c r="AD68" s="68"/>
      <c r="AE68" s="68"/>
      <c r="AF68" s="68"/>
      <c r="AG68" s="68"/>
      <c r="AH68" s="68"/>
      <c r="AI68" s="68"/>
      <c r="AJ68" s="68"/>
      <c r="AK68" s="68"/>
      <c r="AL68" s="68"/>
      <c r="AM68" s="68"/>
    </row>
    <row r="69" spans="7:46" x14ac:dyDescent="0.3">
      <c r="I69" s="13"/>
      <c r="J69" s="13"/>
      <c r="K69" s="13"/>
      <c r="L69" s="13"/>
      <c r="M69" s="13"/>
      <c r="N69" s="13"/>
      <c r="O69" s="13"/>
      <c r="P69" s="13"/>
      <c r="Q69" s="13"/>
      <c r="R69" s="13"/>
      <c r="S69" s="13"/>
      <c r="T69" s="13"/>
      <c r="U69" s="13"/>
      <c r="V69" s="13"/>
      <c r="W69" s="13"/>
      <c r="Y69" s="13"/>
      <c r="Z69" s="13"/>
      <c r="AA69" s="13"/>
      <c r="AB69" s="13"/>
      <c r="AC69" s="13"/>
      <c r="AD69" s="13"/>
      <c r="AE69" s="13"/>
      <c r="AF69" s="13"/>
      <c r="AG69" s="13"/>
      <c r="AH69" s="13"/>
      <c r="AI69" s="13"/>
      <c r="AJ69" s="13"/>
      <c r="AK69" s="13"/>
      <c r="AL69" s="13"/>
      <c r="AM69" s="13"/>
    </row>
    <row r="73" spans="7:46" x14ac:dyDescent="0.3">
      <c r="G73" s="13"/>
      <c r="H73" s="13"/>
      <c r="I73" s="13"/>
      <c r="J73" s="13"/>
      <c r="K73" s="13"/>
      <c r="L73" s="13"/>
      <c r="M73" s="13"/>
      <c r="N73" s="13"/>
      <c r="O73" s="13"/>
      <c r="P73" s="13"/>
      <c r="Q73" s="13"/>
      <c r="R73" s="13"/>
      <c r="S73" s="13"/>
      <c r="T73" s="13"/>
      <c r="U73" s="13"/>
      <c r="V73" s="13"/>
      <c r="W73" s="13"/>
      <c r="Y73" s="13"/>
      <c r="Z73" s="13"/>
      <c r="AA73" s="13"/>
      <c r="AB73" s="13"/>
      <c r="AC73" s="13"/>
      <c r="AD73" s="13"/>
      <c r="AE73" s="13"/>
      <c r="AF73" s="13"/>
      <c r="AG73" s="13"/>
      <c r="AH73" s="13"/>
      <c r="AI73" s="13"/>
      <c r="AJ73" s="13"/>
      <c r="AK73" s="13"/>
      <c r="AL73" s="13"/>
      <c r="AM73" s="13"/>
    </row>
  </sheetData>
  <pageMargins left="0" right="0" top="0.25" bottom="0.25" header="0" footer="0"/>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32BAA-D654-4371-806C-5572E5C8C986}">
  <dimension ref="A1:J65"/>
  <sheetViews>
    <sheetView workbookViewId="0">
      <selection activeCell="P47" sqref="P47"/>
    </sheetView>
  </sheetViews>
  <sheetFormatPr defaultRowHeight="14.4" x14ac:dyDescent="0.3"/>
  <cols>
    <col min="1" max="1" width="8.109375" customWidth="1"/>
    <col min="2" max="2" width="41.44140625" customWidth="1"/>
    <col min="3" max="3" width="15.5546875" style="148" customWidth="1"/>
    <col min="4" max="4" width="16.109375" style="148" customWidth="1"/>
    <col min="5" max="5" width="14.88671875" style="148" customWidth="1"/>
    <col min="6" max="6" width="20.44140625" style="151" bestFit="1" customWidth="1"/>
    <col min="7" max="7" width="15.5546875" style="148" customWidth="1"/>
    <col min="8" max="8" width="15" style="148" customWidth="1"/>
    <col min="9" max="9" width="20.33203125" style="148" customWidth="1"/>
    <col min="10" max="10" width="10.88671875" customWidth="1"/>
  </cols>
  <sheetData>
    <row r="1" spans="1:10" ht="15.6" x14ac:dyDescent="0.3">
      <c r="A1" s="70"/>
      <c r="B1" s="71" t="s">
        <v>31</v>
      </c>
      <c r="C1" s="72"/>
      <c r="D1" s="73"/>
      <c r="E1" s="72"/>
      <c r="F1" s="74"/>
      <c r="G1" s="73"/>
      <c r="H1" s="73"/>
      <c r="I1" s="73"/>
      <c r="J1" s="70"/>
    </row>
    <row r="2" spans="1:10" ht="15.6" x14ac:dyDescent="0.3">
      <c r="A2" s="70"/>
      <c r="B2" s="71" t="s">
        <v>32</v>
      </c>
      <c r="C2" s="72"/>
      <c r="D2" s="73"/>
      <c r="E2" s="72"/>
      <c r="F2" s="74"/>
      <c r="G2" s="73"/>
      <c r="H2" s="73"/>
      <c r="I2" s="73"/>
      <c r="J2" s="70"/>
    </row>
    <row r="3" spans="1:10" x14ac:dyDescent="0.3">
      <c r="A3" s="70"/>
      <c r="B3" s="75"/>
      <c r="C3" s="72"/>
      <c r="D3" s="76"/>
      <c r="E3" s="72"/>
      <c r="F3" s="74"/>
      <c r="G3" s="73"/>
      <c r="H3" s="73"/>
      <c r="I3" s="73"/>
      <c r="J3" s="70"/>
    </row>
    <row r="4" spans="1:10" ht="62.4" x14ac:dyDescent="0.3">
      <c r="A4" s="70"/>
      <c r="B4" s="77" t="s">
        <v>33</v>
      </c>
      <c r="C4" s="78" t="s">
        <v>34</v>
      </c>
      <c r="D4" s="78" t="s">
        <v>35</v>
      </c>
      <c r="E4" s="78" t="s">
        <v>36</v>
      </c>
      <c r="F4" s="78" t="s">
        <v>37</v>
      </c>
      <c r="G4" s="78" t="s">
        <v>38</v>
      </c>
      <c r="H4" s="78" t="s">
        <v>39</v>
      </c>
      <c r="I4" s="79" t="s">
        <v>40</v>
      </c>
    </row>
    <row r="5" spans="1:10" ht="16.2" x14ac:dyDescent="0.3">
      <c r="A5" s="70"/>
      <c r="B5" s="80"/>
      <c r="C5" s="81"/>
      <c r="D5" s="81"/>
      <c r="E5" s="82"/>
      <c r="F5" s="83"/>
      <c r="G5" s="84"/>
      <c r="H5" s="85"/>
      <c r="I5" s="86"/>
    </row>
    <row r="6" spans="1:10" ht="15.6" x14ac:dyDescent="0.3">
      <c r="A6" s="70">
        <v>2023</v>
      </c>
      <c r="B6" s="87" t="s">
        <v>41</v>
      </c>
      <c r="C6" s="88">
        <v>55760384</v>
      </c>
      <c r="D6" s="88">
        <v>55760384</v>
      </c>
      <c r="E6" s="89">
        <v>35.200000000000003</v>
      </c>
      <c r="F6" s="88">
        <v>7577000</v>
      </c>
      <c r="G6" s="88">
        <v>7577000</v>
      </c>
      <c r="H6" s="90">
        <v>34.159999999999997</v>
      </c>
      <c r="I6" s="86">
        <f t="shared" ref="I6:I15" si="0">+D6*E6</f>
        <v>1962765516.8000002</v>
      </c>
    </row>
    <row r="7" spans="1:10" ht="16.2" x14ac:dyDescent="0.3">
      <c r="A7" s="70">
        <v>2023</v>
      </c>
      <c r="B7" s="91" t="s">
        <v>42</v>
      </c>
      <c r="C7" s="92">
        <v>56084237</v>
      </c>
      <c r="D7" s="92">
        <v>56084237</v>
      </c>
      <c r="E7" s="93">
        <v>30.33</v>
      </c>
      <c r="F7" s="92">
        <v>7577000</v>
      </c>
      <c r="G7" s="92">
        <v>7577000</v>
      </c>
      <c r="H7" s="94">
        <v>30.05</v>
      </c>
      <c r="I7" s="86">
        <f t="shared" si="0"/>
        <v>1701034908.2099998</v>
      </c>
    </row>
    <row r="8" spans="1:10" ht="16.2" x14ac:dyDescent="0.3">
      <c r="A8" s="70">
        <v>2023</v>
      </c>
      <c r="B8" s="95" t="s">
        <v>43</v>
      </c>
      <c r="C8" s="96">
        <v>56395720</v>
      </c>
      <c r="D8" s="96">
        <v>56395720</v>
      </c>
      <c r="E8" s="97">
        <v>27.85</v>
      </c>
      <c r="F8" s="96">
        <v>7577000</v>
      </c>
      <c r="G8" s="96">
        <v>7577000</v>
      </c>
      <c r="H8" s="98">
        <v>27.01</v>
      </c>
      <c r="I8" s="86">
        <f t="shared" si="0"/>
        <v>1570620802</v>
      </c>
    </row>
    <row r="9" spans="1:10" ht="16.2" x14ac:dyDescent="0.3">
      <c r="A9" s="70">
        <v>2022</v>
      </c>
      <c r="B9" s="80" t="s">
        <v>44</v>
      </c>
      <c r="C9" s="81">
        <v>58020854</v>
      </c>
      <c r="D9" s="81">
        <v>58020854</v>
      </c>
      <c r="E9" s="82">
        <v>26.8</v>
      </c>
      <c r="F9" s="83">
        <v>7942750</v>
      </c>
      <c r="G9" s="84">
        <v>7942750</v>
      </c>
      <c r="H9" s="85">
        <v>26</v>
      </c>
      <c r="I9" s="86">
        <f t="shared" si="0"/>
        <v>1554958887.2</v>
      </c>
    </row>
    <row r="10" spans="1:10" ht="16.2" x14ac:dyDescent="0.3">
      <c r="A10" s="70">
        <v>2022</v>
      </c>
      <c r="B10" s="99" t="s">
        <v>45</v>
      </c>
      <c r="C10" s="100">
        <v>56956085</v>
      </c>
      <c r="D10" s="100">
        <v>56956085</v>
      </c>
      <c r="E10" s="101">
        <v>27</v>
      </c>
      <c r="F10" s="100">
        <v>7942750</v>
      </c>
      <c r="G10" s="100">
        <v>7942750</v>
      </c>
      <c r="H10" s="102">
        <v>30</v>
      </c>
      <c r="I10" s="86">
        <f t="shared" si="0"/>
        <v>1537814295</v>
      </c>
    </row>
    <row r="11" spans="1:10" ht="16.2" x14ac:dyDescent="0.3">
      <c r="A11" s="70">
        <v>2022</v>
      </c>
      <c r="B11" s="103" t="s">
        <v>46</v>
      </c>
      <c r="C11" s="104">
        <v>58331300</v>
      </c>
      <c r="D11" s="104">
        <v>58331300</v>
      </c>
      <c r="E11" s="105">
        <v>30.85</v>
      </c>
      <c r="F11" s="104">
        <v>7942750</v>
      </c>
      <c r="G11" s="104">
        <v>7942750</v>
      </c>
      <c r="H11" s="106">
        <v>28.13</v>
      </c>
      <c r="I11" s="86">
        <f t="shared" si="0"/>
        <v>1799520605</v>
      </c>
    </row>
    <row r="12" spans="1:10" ht="16.2" x14ac:dyDescent="0.3">
      <c r="A12" s="70">
        <v>2022</v>
      </c>
      <c r="B12" s="107" t="s">
        <v>47</v>
      </c>
      <c r="C12" s="108">
        <v>58527697</v>
      </c>
      <c r="D12" s="108">
        <v>58527697</v>
      </c>
      <c r="E12" s="109">
        <v>29.15</v>
      </c>
      <c r="F12" s="108">
        <v>7942750</v>
      </c>
      <c r="G12" s="108">
        <v>7079000</v>
      </c>
      <c r="H12" s="110">
        <v>19.7</v>
      </c>
      <c r="I12" s="86">
        <f t="shared" si="0"/>
        <v>1706082367.55</v>
      </c>
    </row>
    <row r="13" spans="1:10" ht="16.2" x14ac:dyDescent="0.3">
      <c r="A13" s="70">
        <v>2021</v>
      </c>
      <c r="B13" s="103" t="s">
        <v>48</v>
      </c>
      <c r="C13" s="104">
        <v>68598217</v>
      </c>
      <c r="D13" s="104">
        <v>68598217</v>
      </c>
      <c r="E13" s="105">
        <v>28.26</v>
      </c>
      <c r="F13" s="104">
        <v>8306250</v>
      </c>
      <c r="G13" s="104">
        <v>8306250</v>
      </c>
      <c r="H13" s="106">
        <v>34.01</v>
      </c>
      <c r="I13" s="86">
        <f t="shared" si="0"/>
        <v>1938585612.4200001</v>
      </c>
    </row>
    <row r="14" spans="1:10" ht="16.2" x14ac:dyDescent="0.3">
      <c r="A14" s="70">
        <v>2021</v>
      </c>
      <c r="B14" s="107" t="s">
        <v>49</v>
      </c>
      <c r="C14" s="108">
        <v>71261536</v>
      </c>
      <c r="D14" s="108">
        <v>71261536</v>
      </c>
      <c r="E14" s="109">
        <v>23.3</v>
      </c>
      <c r="F14" s="108">
        <v>8306250</v>
      </c>
      <c r="G14" s="108">
        <v>8306250</v>
      </c>
      <c r="H14" s="110">
        <v>23.69</v>
      </c>
      <c r="I14" s="86">
        <f t="shared" si="0"/>
        <v>1660393788.8</v>
      </c>
    </row>
    <row r="15" spans="1:10" ht="16.2" x14ac:dyDescent="0.3">
      <c r="A15" s="70">
        <v>2021</v>
      </c>
      <c r="B15" s="103" t="s">
        <v>50</v>
      </c>
      <c r="C15" s="104">
        <v>71647138</v>
      </c>
      <c r="D15" s="104">
        <v>71647138</v>
      </c>
      <c r="E15" s="105">
        <v>18.8</v>
      </c>
      <c r="F15" s="104">
        <v>8306250</v>
      </c>
      <c r="G15" s="104">
        <v>8306250</v>
      </c>
      <c r="H15" s="106">
        <v>19.04</v>
      </c>
      <c r="I15" s="86">
        <f t="shared" si="0"/>
        <v>1346966194.4000001</v>
      </c>
    </row>
    <row r="16" spans="1:10" ht="15.6" x14ac:dyDescent="0.3">
      <c r="A16" s="70">
        <v>2021</v>
      </c>
      <c r="B16" s="111" t="s">
        <v>51</v>
      </c>
      <c r="C16" s="112">
        <v>54773607</v>
      </c>
      <c r="D16" s="112">
        <v>54773607</v>
      </c>
      <c r="E16" s="113">
        <v>17.8</v>
      </c>
      <c r="F16" s="112">
        <v>8306250</v>
      </c>
      <c r="G16" s="112">
        <v>8306250</v>
      </c>
      <c r="H16" s="114">
        <v>18.010000000000002</v>
      </c>
      <c r="I16" s="86">
        <f>+D16*E16</f>
        <v>974970204.60000002</v>
      </c>
      <c r="J16" s="115"/>
    </row>
    <row r="17" spans="1:10" ht="15.6" x14ac:dyDescent="0.3">
      <c r="A17" s="70">
        <v>2020</v>
      </c>
      <c r="B17" s="116" t="s">
        <v>52</v>
      </c>
      <c r="C17" s="104">
        <v>56366432</v>
      </c>
      <c r="D17" s="104">
        <v>56366432</v>
      </c>
      <c r="E17" s="117">
        <v>16.93</v>
      </c>
      <c r="F17" s="104">
        <v>8672250</v>
      </c>
      <c r="G17" s="104">
        <v>8672250</v>
      </c>
      <c r="H17" s="105">
        <v>17.350000000000001</v>
      </c>
      <c r="I17" s="86">
        <f>+D17*E17</f>
        <v>954283693.75999999</v>
      </c>
      <c r="J17" s="115"/>
    </row>
    <row r="18" spans="1:10" ht="15.6" x14ac:dyDescent="0.3">
      <c r="A18" s="70">
        <v>2020</v>
      </c>
      <c r="B18" s="118" t="s">
        <v>53</v>
      </c>
      <c r="C18" s="119">
        <v>59250484</v>
      </c>
      <c r="D18" s="119">
        <v>52627000</v>
      </c>
      <c r="E18" s="120">
        <v>16.68</v>
      </c>
      <c r="F18" s="119">
        <v>8672250</v>
      </c>
      <c r="G18" s="119">
        <v>8672250</v>
      </c>
      <c r="H18" s="121">
        <v>16.73</v>
      </c>
      <c r="I18" s="86">
        <f t="shared" ref="I18:I28" si="1">+D18*E18</f>
        <v>877818360</v>
      </c>
    </row>
    <row r="19" spans="1:10" ht="15.6" x14ac:dyDescent="0.3">
      <c r="A19" s="70">
        <v>2020</v>
      </c>
      <c r="B19" s="116" t="s">
        <v>54</v>
      </c>
      <c r="C19" s="104">
        <v>57540731</v>
      </c>
      <c r="D19" s="104">
        <v>21161000</v>
      </c>
      <c r="E19" s="117">
        <v>16.68</v>
      </c>
      <c r="F19" s="104">
        <v>8672250</v>
      </c>
      <c r="G19" s="104">
        <v>1763000</v>
      </c>
      <c r="H19" s="105">
        <v>16.68</v>
      </c>
      <c r="I19" s="86">
        <f t="shared" si="1"/>
        <v>352965480</v>
      </c>
    </row>
    <row r="20" spans="1:10" ht="15.6" x14ac:dyDescent="0.3">
      <c r="A20" s="70">
        <v>2020</v>
      </c>
      <c r="B20" s="111" t="s">
        <v>55</v>
      </c>
      <c r="C20" s="112">
        <v>57090077</v>
      </c>
      <c r="D20" s="112">
        <v>57090077</v>
      </c>
      <c r="E20" s="113">
        <v>17.87</v>
      </c>
      <c r="F20" s="112">
        <v>8672250</v>
      </c>
      <c r="G20" s="112">
        <v>8672250</v>
      </c>
      <c r="H20" s="114">
        <v>18</v>
      </c>
      <c r="I20" s="86">
        <f t="shared" si="1"/>
        <v>1020199675.99</v>
      </c>
    </row>
    <row r="21" spans="1:10" ht="15.6" x14ac:dyDescent="0.3">
      <c r="A21" s="70">
        <v>2019</v>
      </c>
      <c r="B21" s="122" t="s">
        <v>56</v>
      </c>
      <c r="C21" s="123">
        <v>67435661</v>
      </c>
      <c r="D21" s="123">
        <v>67435661</v>
      </c>
      <c r="E21" s="124">
        <v>17</v>
      </c>
      <c r="F21" s="123">
        <v>9038000</v>
      </c>
      <c r="G21" s="123">
        <v>9038000</v>
      </c>
      <c r="H21" s="125">
        <v>16.8</v>
      </c>
      <c r="I21" s="86">
        <f t="shared" si="1"/>
        <v>1146406237</v>
      </c>
    </row>
    <row r="22" spans="1:10" ht="15.6" x14ac:dyDescent="0.3">
      <c r="A22" s="70">
        <v>2019</v>
      </c>
      <c r="B22" s="118" t="s">
        <v>57</v>
      </c>
      <c r="C22" s="126">
        <v>66289515</v>
      </c>
      <c r="D22" s="126">
        <v>66289515</v>
      </c>
      <c r="E22" s="127">
        <v>17.16</v>
      </c>
      <c r="F22" s="126">
        <v>9038000</v>
      </c>
      <c r="G22" s="126">
        <v>9038000</v>
      </c>
      <c r="H22" s="128">
        <v>16.850000000000001</v>
      </c>
      <c r="I22" s="86">
        <f t="shared" si="1"/>
        <v>1137528077.4000001</v>
      </c>
    </row>
    <row r="23" spans="1:10" ht="15.6" x14ac:dyDescent="0.3">
      <c r="A23" s="70">
        <v>2019</v>
      </c>
      <c r="B23" s="116" t="s">
        <v>58</v>
      </c>
      <c r="C23" s="129">
        <v>66321122</v>
      </c>
      <c r="D23" s="129">
        <v>66321122</v>
      </c>
      <c r="E23" s="130">
        <v>17.45</v>
      </c>
      <c r="F23" s="129">
        <v>9038000</v>
      </c>
      <c r="G23" s="129">
        <v>9038000</v>
      </c>
      <c r="H23" s="131">
        <v>17.399999999999999</v>
      </c>
      <c r="I23" s="86">
        <f t="shared" si="1"/>
        <v>1157303578.8999999</v>
      </c>
    </row>
    <row r="24" spans="1:10" ht="15.6" x14ac:dyDescent="0.3">
      <c r="A24" s="70">
        <v>2019</v>
      </c>
      <c r="B24" s="118" t="s">
        <v>59</v>
      </c>
      <c r="C24" s="126">
        <v>80847404</v>
      </c>
      <c r="D24" s="126">
        <v>80847404</v>
      </c>
      <c r="E24" s="127">
        <v>15.73</v>
      </c>
      <c r="F24" s="126">
        <v>9038000</v>
      </c>
      <c r="G24" s="126">
        <v>5983000</v>
      </c>
      <c r="H24" s="128">
        <v>15.62</v>
      </c>
      <c r="I24" s="86">
        <f t="shared" si="1"/>
        <v>1271729664.9200001</v>
      </c>
    </row>
    <row r="25" spans="1:10" ht="15.6" x14ac:dyDescent="0.3">
      <c r="A25" s="70">
        <v>2018</v>
      </c>
      <c r="B25" s="132" t="s">
        <v>60</v>
      </c>
      <c r="C25" s="133">
        <v>78825717</v>
      </c>
      <c r="D25" s="133">
        <v>78825717</v>
      </c>
      <c r="E25" s="134">
        <v>15.31</v>
      </c>
      <c r="F25" s="133">
        <v>9401500</v>
      </c>
      <c r="G25" s="133">
        <v>9401500</v>
      </c>
      <c r="H25" s="134">
        <v>15.33</v>
      </c>
      <c r="I25" s="86">
        <f t="shared" si="1"/>
        <v>1206821727.27</v>
      </c>
    </row>
    <row r="26" spans="1:10" ht="15.6" x14ac:dyDescent="0.3">
      <c r="A26" s="70">
        <v>2018</v>
      </c>
      <c r="B26" s="135" t="s">
        <v>61</v>
      </c>
      <c r="C26" s="136">
        <v>79421265</v>
      </c>
      <c r="D26" s="136">
        <v>79421265</v>
      </c>
      <c r="E26" s="137">
        <v>15.05</v>
      </c>
      <c r="F26" s="136">
        <v>9401500</v>
      </c>
      <c r="G26" s="136">
        <v>9401500</v>
      </c>
      <c r="H26" s="137">
        <v>14.9</v>
      </c>
      <c r="I26" s="86">
        <f t="shared" si="1"/>
        <v>1195290038.25</v>
      </c>
    </row>
    <row r="27" spans="1:10" ht="15.6" x14ac:dyDescent="0.3">
      <c r="A27" s="70">
        <v>2018</v>
      </c>
      <c r="B27" s="132" t="s">
        <v>62</v>
      </c>
      <c r="C27" s="133">
        <v>90587738</v>
      </c>
      <c r="D27" s="133">
        <v>90587738</v>
      </c>
      <c r="E27" s="134">
        <v>14.65</v>
      </c>
      <c r="F27" s="133">
        <v>12427950</v>
      </c>
      <c r="G27" s="133">
        <v>6057000</v>
      </c>
      <c r="H27" s="134">
        <v>14.53</v>
      </c>
      <c r="I27" s="86">
        <f t="shared" si="1"/>
        <v>1327110361.7</v>
      </c>
    </row>
    <row r="28" spans="1:10" ht="15.6" x14ac:dyDescent="0.3">
      <c r="A28" s="70">
        <v>2018</v>
      </c>
      <c r="B28" s="135" t="s">
        <v>63</v>
      </c>
      <c r="C28" s="136">
        <v>98215920</v>
      </c>
      <c r="D28" s="136">
        <v>98215920</v>
      </c>
      <c r="E28" s="137">
        <v>14.61</v>
      </c>
      <c r="F28" s="136">
        <v>12428950</v>
      </c>
      <c r="G28" s="136">
        <v>8576000</v>
      </c>
      <c r="H28" s="137">
        <v>14.53</v>
      </c>
      <c r="I28" s="86">
        <f t="shared" si="1"/>
        <v>1434934591.2</v>
      </c>
    </row>
    <row r="29" spans="1:10" ht="15.6" x14ac:dyDescent="0.3">
      <c r="A29" s="70">
        <v>2017</v>
      </c>
      <c r="B29" s="138" t="s">
        <v>64</v>
      </c>
      <c r="C29" s="133">
        <v>79548286</v>
      </c>
      <c r="D29" s="133">
        <v>79548286</v>
      </c>
      <c r="E29" s="134">
        <v>15.06</v>
      </c>
      <c r="F29" s="133">
        <v>9723500</v>
      </c>
      <c r="G29" s="133">
        <v>9723500</v>
      </c>
      <c r="H29" s="134">
        <v>14.76</v>
      </c>
      <c r="I29" s="86">
        <f t="shared" ref="I29:I49" si="2">D29*E29</f>
        <v>1197997187.1600001</v>
      </c>
    </row>
    <row r="30" spans="1:10" ht="15.6" x14ac:dyDescent="0.3">
      <c r="A30" s="70">
        <f>+A29</f>
        <v>2017</v>
      </c>
      <c r="B30" s="139" t="s">
        <v>65</v>
      </c>
      <c r="C30" s="140">
        <v>63887833</v>
      </c>
      <c r="D30" s="136">
        <v>63887833</v>
      </c>
      <c r="E30" s="137">
        <v>14.75</v>
      </c>
      <c r="F30" s="140">
        <v>9723500</v>
      </c>
      <c r="G30" s="140">
        <v>9723500</v>
      </c>
      <c r="H30" s="137">
        <v>14.55</v>
      </c>
      <c r="I30" s="86">
        <f t="shared" si="2"/>
        <v>942345536.75</v>
      </c>
    </row>
    <row r="31" spans="1:10" ht="15.6" x14ac:dyDescent="0.3">
      <c r="A31" s="70">
        <f>+A30</f>
        <v>2017</v>
      </c>
      <c r="B31" s="138" t="s">
        <v>66</v>
      </c>
      <c r="C31" s="141">
        <v>75311960</v>
      </c>
      <c r="D31" s="133">
        <v>75311960</v>
      </c>
      <c r="E31" s="134">
        <v>13.8</v>
      </c>
      <c r="F31" s="141">
        <v>9723500</v>
      </c>
      <c r="G31" s="141">
        <v>2117000</v>
      </c>
      <c r="H31" s="134">
        <v>13.57</v>
      </c>
      <c r="I31" s="86">
        <f t="shared" si="2"/>
        <v>1039305048</v>
      </c>
    </row>
    <row r="32" spans="1:10" ht="15.6" x14ac:dyDescent="0.3">
      <c r="A32" s="70">
        <f>+A31</f>
        <v>2017</v>
      </c>
      <c r="B32" s="139" t="s">
        <v>67</v>
      </c>
      <c r="C32" s="140">
        <v>65104273</v>
      </c>
      <c r="D32" s="136">
        <v>11673000</v>
      </c>
      <c r="E32" s="137">
        <v>13.57</v>
      </c>
      <c r="F32" s="140">
        <v>9723500</v>
      </c>
      <c r="G32" s="140">
        <v>701000</v>
      </c>
      <c r="H32" s="137">
        <v>13.57</v>
      </c>
      <c r="I32" s="86">
        <f t="shared" si="2"/>
        <v>158402610</v>
      </c>
    </row>
    <row r="33" spans="1:9" ht="15.6" x14ac:dyDescent="0.3">
      <c r="A33" s="70">
        <f t="shared" ref="A33:A48" si="3">+A29-1</f>
        <v>2016</v>
      </c>
      <c r="B33" s="138" t="s">
        <v>68</v>
      </c>
      <c r="C33" s="141">
        <v>87069495</v>
      </c>
      <c r="D33" s="133">
        <v>76960000</v>
      </c>
      <c r="E33" s="134">
        <v>12.73</v>
      </c>
      <c r="F33" s="141">
        <v>10078750</v>
      </c>
      <c r="G33" s="141">
        <v>1020000</v>
      </c>
      <c r="H33" s="134">
        <v>12.73</v>
      </c>
      <c r="I33" s="86">
        <f t="shared" si="2"/>
        <v>979700800</v>
      </c>
    </row>
    <row r="34" spans="1:9" ht="15.6" x14ac:dyDescent="0.3">
      <c r="A34" s="70">
        <f t="shared" si="3"/>
        <v>2016</v>
      </c>
      <c r="B34" s="139" t="s">
        <v>69</v>
      </c>
      <c r="C34" s="140">
        <v>86278410</v>
      </c>
      <c r="D34" s="136">
        <v>30021000</v>
      </c>
      <c r="E34" s="137">
        <v>12.73</v>
      </c>
      <c r="F34" s="140">
        <v>10078750</v>
      </c>
      <c r="G34" s="140">
        <v>769000</v>
      </c>
      <c r="H34" s="137">
        <v>12.73</v>
      </c>
      <c r="I34" s="86">
        <f t="shared" si="2"/>
        <v>382167330</v>
      </c>
    </row>
    <row r="35" spans="1:9" ht="15.6" x14ac:dyDescent="0.3">
      <c r="A35" s="70">
        <f t="shared" si="3"/>
        <v>2016</v>
      </c>
      <c r="B35" s="138" t="s">
        <v>70</v>
      </c>
      <c r="C35" s="141">
        <v>67675951</v>
      </c>
      <c r="D35" s="133">
        <v>7260000</v>
      </c>
      <c r="E35" s="134">
        <v>12.73</v>
      </c>
      <c r="F35" s="141">
        <v>10078750</v>
      </c>
      <c r="G35" s="141">
        <v>914000</v>
      </c>
      <c r="H35" s="134">
        <v>12.73</v>
      </c>
      <c r="I35" s="86">
        <f t="shared" si="2"/>
        <v>92419800</v>
      </c>
    </row>
    <row r="36" spans="1:9" ht="15.6" x14ac:dyDescent="0.3">
      <c r="A36" s="70">
        <f t="shared" si="3"/>
        <v>2016</v>
      </c>
      <c r="B36" s="139" t="s">
        <v>71</v>
      </c>
      <c r="C36" s="140">
        <v>71555827</v>
      </c>
      <c r="D36" s="136">
        <v>68026000</v>
      </c>
      <c r="E36" s="137">
        <v>12.73</v>
      </c>
      <c r="F36" s="140">
        <v>10078750</v>
      </c>
      <c r="G36" s="140">
        <v>9361000</v>
      </c>
      <c r="H36" s="137">
        <v>12.73</v>
      </c>
      <c r="I36" s="86">
        <f t="shared" si="2"/>
        <v>865970980</v>
      </c>
    </row>
    <row r="37" spans="1:9" ht="15.6" x14ac:dyDescent="0.3">
      <c r="A37" s="70">
        <f t="shared" si="3"/>
        <v>2015</v>
      </c>
      <c r="B37" s="138" t="s">
        <v>72</v>
      </c>
      <c r="C37" s="141">
        <v>75113008</v>
      </c>
      <c r="D37" s="133">
        <v>75113008</v>
      </c>
      <c r="E37" s="134">
        <v>12.73</v>
      </c>
      <c r="F37" s="141">
        <v>10431500</v>
      </c>
      <c r="G37" s="141">
        <v>10431500</v>
      </c>
      <c r="H37" s="134">
        <v>12.65</v>
      </c>
      <c r="I37" s="86">
        <f t="shared" si="2"/>
        <v>956188591.84000003</v>
      </c>
    </row>
    <row r="38" spans="1:9" ht="15.6" x14ac:dyDescent="0.3">
      <c r="A38" s="70">
        <f t="shared" si="3"/>
        <v>2015</v>
      </c>
      <c r="B38" s="139" t="s">
        <v>73</v>
      </c>
      <c r="C38" s="140">
        <v>73429360</v>
      </c>
      <c r="D38" s="136">
        <v>73429360</v>
      </c>
      <c r="E38" s="137">
        <v>12.52</v>
      </c>
      <c r="F38" s="140">
        <v>10431500</v>
      </c>
      <c r="G38" s="140">
        <v>10431500</v>
      </c>
      <c r="H38" s="137">
        <v>12.3</v>
      </c>
      <c r="I38" s="86">
        <f t="shared" si="2"/>
        <v>919335587.19999993</v>
      </c>
    </row>
    <row r="39" spans="1:9" ht="15.6" x14ac:dyDescent="0.3">
      <c r="A39" s="70">
        <f t="shared" si="3"/>
        <v>2015</v>
      </c>
      <c r="B39" s="138" t="s">
        <v>74</v>
      </c>
      <c r="C39" s="141">
        <v>76931627</v>
      </c>
      <c r="D39" s="133">
        <v>76931627</v>
      </c>
      <c r="E39" s="134">
        <v>12.29</v>
      </c>
      <c r="F39" s="141">
        <v>10431500</v>
      </c>
      <c r="G39" s="141">
        <v>9812000</v>
      </c>
      <c r="H39" s="134">
        <v>12.1</v>
      </c>
      <c r="I39" s="86">
        <f t="shared" si="2"/>
        <v>945489695.82999992</v>
      </c>
    </row>
    <row r="40" spans="1:9" ht="15.6" x14ac:dyDescent="0.3">
      <c r="A40" s="70">
        <f t="shared" si="3"/>
        <v>2015</v>
      </c>
      <c r="B40" s="139" t="s">
        <v>75</v>
      </c>
      <c r="C40" s="140">
        <v>73610528</v>
      </c>
      <c r="D40" s="136">
        <v>73610528</v>
      </c>
      <c r="E40" s="137">
        <v>12.21</v>
      </c>
      <c r="F40" s="140">
        <v>10431500</v>
      </c>
      <c r="G40" s="140">
        <v>10431500</v>
      </c>
      <c r="H40" s="137">
        <v>12.1</v>
      </c>
      <c r="I40" s="86">
        <f t="shared" si="2"/>
        <v>898784546.88000011</v>
      </c>
    </row>
    <row r="41" spans="1:9" ht="15.6" x14ac:dyDescent="0.3">
      <c r="A41" s="70">
        <f t="shared" si="3"/>
        <v>2014</v>
      </c>
      <c r="B41" s="138" t="s">
        <v>76</v>
      </c>
      <c r="C41" s="141">
        <v>23070987</v>
      </c>
      <c r="D41" s="133">
        <v>23070987</v>
      </c>
      <c r="E41" s="134">
        <v>12.1</v>
      </c>
      <c r="F41" s="141">
        <v>10787000</v>
      </c>
      <c r="G41" s="141">
        <v>10787000</v>
      </c>
      <c r="H41" s="134">
        <v>11.86</v>
      </c>
      <c r="I41" s="86">
        <f t="shared" si="2"/>
        <v>279158942.69999999</v>
      </c>
    </row>
    <row r="42" spans="1:9" ht="15.6" x14ac:dyDescent="0.3">
      <c r="A42" s="70">
        <f t="shared" si="3"/>
        <v>2014</v>
      </c>
      <c r="B42" s="142" t="s">
        <v>77</v>
      </c>
      <c r="C42" s="140">
        <v>22473043</v>
      </c>
      <c r="D42" s="136">
        <v>22473043</v>
      </c>
      <c r="E42" s="137">
        <v>11.5</v>
      </c>
      <c r="F42" s="140">
        <v>9260000</v>
      </c>
      <c r="G42" s="140">
        <v>6470000</v>
      </c>
      <c r="H42" s="137">
        <v>11.34</v>
      </c>
      <c r="I42" s="86">
        <f t="shared" si="2"/>
        <v>258439994.5</v>
      </c>
    </row>
    <row r="43" spans="1:9" ht="15.6" x14ac:dyDescent="0.3">
      <c r="A43" s="70">
        <f t="shared" si="3"/>
        <v>2014</v>
      </c>
      <c r="B43" s="143" t="s">
        <v>78</v>
      </c>
      <c r="C43" s="141">
        <v>16947080</v>
      </c>
      <c r="D43" s="133">
        <v>16947080</v>
      </c>
      <c r="E43" s="134">
        <v>11.5</v>
      </c>
      <c r="F43" s="141">
        <v>9260000</v>
      </c>
      <c r="G43" s="141">
        <v>4036000</v>
      </c>
      <c r="H43" s="134">
        <v>11.34</v>
      </c>
      <c r="I43" s="86">
        <f t="shared" si="2"/>
        <v>194891420</v>
      </c>
    </row>
    <row r="44" spans="1:9" ht="15.6" x14ac:dyDescent="0.3">
      <c r="A44" s="70">
        <f t="shared" si="3"/>
        <v>2014</v>
      </c>
      <c r="B44" s="142" t="s">
        <v>79</v>
      </c>
      <c r="C44" s="140">
        <v>19538695</v>
      </c>
      <c r="D44" s="136">
        <v>19538695</v>
      </c>
      <c r="E44" s="137">
        <v>11.48</v>
      </c>
      <c r="F44" s="140">
        <v>9260000</v>
      </c>
      <c r="G44" s="140">
        <v>9260000</v>
      </c>
      <c r="H44" s="137">
        <v>11.38</v>
      </c>
      <c r="I44" s="86">
        <f t="shared" si="2"/>
        <v>224304218.59999999</v>
      </c>
    </row>
    <row r="45" spans="1:9" ht="15.6" x14ac:dyDescent="0.3">
      <c r="A45" s="70">
        <f t="shared" si="3"/>
        <v>2013</v>
      </c>
      <c r="B45" s="143" t="s">
        <v>80</v>
      </c>
      <c r="C45" s="141">
        <v>16614526</v>
      </c>
      <c r="D45" s="133">
        <v>16614526</v>
      </c>
      <c r="E45" s="134">
        <v>11.48</v>
      </c>
      <c r="F45" s="141">
        <v>9560000</v>
      </c>
      <c r="G45" s="141">
        <v>9560000</v>
      </c>
      <c r="H45" s="134">
        <v>11.1</v>
      </c>
      <c r="I45" s="86">
        <f t="shared" si="2"/>
        <v>190734758.48000002</v>
      </c>
    </row>
    <row r="46" spans="1:9" ht="15.6" x14ac:dyDescent="0.3">
      <c r="A46" s="70">
        <f t="shared" si="3"/>
        <v>2013</v>
      </c>
      <c r="B46" s="142" t="s">
        <v>81</v>
      </c>
      <c r="C46" s="140">
        <v>13865422</v>
      </c>
      <c r="D46" s="136">
        <v>13865422</v>
      </c>
      <c r="E46" s="137">
        <v>12.22</v>
      </c>
      <c r="F46" s="140">
        <v>9560000</v>
      </c>
      <c r="G46" s="140">
        <v>9560000</v>
      </c>
      <c r="H46" s="137">
        <v>11.1</v>
      </c>
      <c r="I46" s="86">
        <f t="shared" si="2"/>
        <v>169435456.84</v>
      </c>
    </row>
    <row r="47" spans="1:9" ht="15.6" x14ac:dyDescent="0.3">
      <c r="A47" s="70">
        <f t="shared" si="3"/>
        <v>2013</v>
      </c>
      <c r="B47" s="143" t="s">
        <v>82</v>
      </c>
      <c r="C47" s="141">
        <v>14522048</v>
      </c>
      <c r="D47" s="133">
        <v>14522048</v>
      </c>
      <c r="E47" s="134">
        <v>14</v>
      </c>
      <c r="F47" s="141">
        <v>9560000</v>
      </c>
      <c r="G47" s="141">
        <v>7515000</v>
      </c>
      <c r="H47" s="134">
        <v>10.71</v>
      </c>
      <c r="I47" s="86">
        <f t="shared" si="2"/>
        <v>203308672</v>
      </c>
    </row>
    <row r="48" spans="1:9" ht="15.6" x14ac:dyDescent="0.3">
      <c r="A48" s="70">
        <f t="shared" si="3"/>
        <v>2013</v>
      </c>
      <c r="B48" s="142" t="s">
        <v>83</v>
      </c>
      <c r="C48" s="140">
        <v>12924822</v>
      </c>
      <c r="D48" s="136">
        <v>12924822</v>
      </c>
      <c r="E48" s="137">
        <v>13.62</v>
      </c>
      <c r="F48" s="140">
        <v>9560000</v>
      </c>
      <c r="G48" s="140">
        <v>4440000</v>
      </c>
      <c r="H48" s="137">
        <v>10.71</v>
      </c>
      <c r="I48" s="86">
        <f t="shared" si="2"/>
        <v>176036075.63999999</v>
      </c>
    </row>
    <row r="49" spans="1:10" ht="15.6" x14ac:dyDescent="0.3">
      <c r="A49" s="144">
        <v>2012</v>
      </c>
      <c r="B49" s="143" t="s">
        <v>84</v>
      </c>
      <c r="C49" s="141">
        <v>23126110</v>
      </c>
      <c r="D49" s="133">
        <v>23126110</v>
      </c>
      <c r="E49" s="134">
        <v>10.09</v>
      </c>
      <c r="F49" s="141">
        <v>39450000</v>
      </c>
      <c r="G49" s="141">
        <v>5576000</v>
      </c>
      <c r="H49" s="134">
        <v>10</v>
      </c>
      <c r="I49" s="86">
        <f t="shared" si="2"/>
        <v>233342449.90000001</v>
      </c>
    </row>
    <row r="50" spans="1:10" x14ac:dyDescent="0.3">
      <c r="A50" s="70"/>
      <c r="B50" s="70"/>
      <c r="C50" s="72"/>
      <c r="D50" s="73"/>
      <c r="E50" s="72"/>
      <c r="F50" s="74"/>
      <c r="G50" s="73"/>
      <c r="H50" s="73"/>
      <c r="I50" s="73"/>
      <c r="J50" s="70"/>
    </row>
    <row r="51" spans="1:10" x14ac:dyDescent="0.3">
      <c r="A51" s="70" t="s">
        <v>85</v>
      </c>
      <c r="B51" s="70"/>
      <c r="C51" s="72"/>
      <c r="D51" s="73"/>
      <c r="E51" s="72"/>
      <c r="F51" s="74"/>
      <c r="G51" s="73"/>
      <c r="H51" s="73" t="s">
        <v>86</v>
      </c>
      <c r="I51" s="73"/>
      <c r="J51" s="70"/>
    </row>
    <row r="52" spans="1:10" x14ac:dyDescent="0.3">
      <c r="A52" s="70"/>
      <c r="B52" s="70"/>
      <c r="C52" s="72"/>
      <c r="D52" s="73"/>
      <c r="E52" s="72">
        <v>2012</v>
      </c>
      <c r="F52" s="74" t="s">
        <v>87</v>
      </c>
      <c r="G52" s="73" t="s">
        <v>88</v>
      </c>
      <c r="H52" s="73" t="s">
        <v>89</v>
      </c>
      <c r="I52" s="73"/>
      <c r="J52" s="70"/>
    </row>
    <row r="53" spans="1:10" x14ac:dyDescent="0.3">
      <c r="A53" s="70"/>
      <c r="B53" s="70"/>
      <c r="C53" s="72"/>
      <c r="D53" s="73"/>
      <c r="E53" s="72">
        <v>2013</v>
      </c>
      <c r="F53" s="74">
        <f>SUMIF($A$4:$A$49,$E53,D$4:D$49)</f>
        <v>57926818</v>
      </c>
      <c r="G53" s="73">
        <f>SUMIF($A$4:$A$49,$E53,I$4:I$49)</f>
        <v>739514962.96000004</v>
      </c>
      <c r="H53" s="145">
        <f t="shared" ref="H53:H58" si="4">+G53/F53</f>
        <v>12.766366054493103</v>
      </c>
      <c r="I53" s="73"/>
      <c r="J53" s="70"/>
    </row>
    <row r="54" spans="1:10" x14ac:dyDescent="0.3">
      <c r="A54" s="70"/>
      <c r="B54" s="70"/>
      <c r="C54" s="72"/>
      <c r="D54" s="73"/>
      <c r="E54" s="72">
        <f t="shared" ref="E54:E61" si="5">+E53+1</f>
        <v>2014</v>
      </c>
      <c r="F54" s="74">
        <f t="shared" ref="F54:F65" si="6">SUMIF($A$4:$A$49,$E54,D$4:D$49)</f>
        <v>82029805</v>
      </c>
      <c r="G54" s="73">
        <f t="shared" ref="G54:G65" si="7">SUMIF($A$4:$A$49,$E54,I$4:I$49)</f>
        <v>956794575.80000007</v>
      </c>
      <c r="H54" s="145">
        <f t="shared" si="4"/>
        <v>11.663986959374096</v>
      </c>
      <c r="I54" s="73"/>
      <c r="J54" s="70"/>
    </row>
    <row r="55" spans="1:10" x14ac:dyDescent="0.3">
      <c r="A55" s="70"/>
      <c r="B55" s="70"/>
      <c r="C55" s="72"/>
      <c r="D55" s="73"/>
      <c r="E55" s="72">
        <f t="shared" si="5"/>
        <v>2015</v>
      </c>
      <c r="F55" s="74">
        <f t="shared" si="6"/>
        <v>299084523</v>
      </c>
      <c r="G55" s="73">
        <f t="shared" si="7"/>
        <v>3719798421.75</v>
      </c>
      <c r="H55" s="145">
        <f t="shared" si="4"/>
        <v>12.437281556525077</v>
      </c>
      <c r="I55" s="73"/>
      <c r="J55" s="70"/>
    </row>
    <row r="56" spans="1:10" x14ac:dyDescent="0.3">
      <c r="A56" s="70"/>
      <c r="B56" s="70"/>
      <c r="C56" s="72"/>
      <c r="D56" s="73"/>
      <c r="E56" s="72">
        <f t="shared" si="5"/>
        <v>2016</v>
      </c>
      <c r="F56" s="74">
        <f t="shared" si="6"/>
        <v>182267000</v>
      </c>
      <c r="G56" s="73">
        <f t="shared" si="7"/>
        <v>2320258910</v>
      </c>
      <c r="H56" s="145">
        <f t="shared" si="4"/>
        <v>12.73</v>
      </c>
      <c r="I56" s="73"/>
      <c r="J56" s="70"/>
    </row>
    <row r="57" spans="1:10" x14ac:dyDescent="0.3">
      <c r="A57" s="70"/>
      <c r="B57" s="70"/>
      <c r="C57" s="72"/>
      <c r="D57" s="73"/>
      <c r="E57" s="72">
        <f t="shared" si="5"/>
        <v>2017</v>
      </c>
      <c r="F57" s="74">
        <f t="shared" si="6"/>
        <v>230421079</v>
      </c>
      <c r="G57" s="73">
        <f t="shared" si="7"/>
        <v>3338050381.9099998</v>
      </c>
      <c r="H57" s="145">
        <f t="shared" si="4"/>
        <v>14.486740520427819</v>
      </c>
      <c r="I57" s="73"/>
      <c r="J57" s="70"/>
    </row>
    <row r="58" spans="1:10" x14ac:dyDescent="0.3">
      <c r="A58" s="70"/>
      <c r="B58" s="70"/>
      <c r="C58" s="72"/>
      <c r="D58" s="73"/>
      <c r="E58" s="72">
        <f t="shared" si="5"/>
        <v>2018</v>
      </c>
      <c r="F58" s="74">
        <f t="shared" si="6"/>
        <v>347050640</v>
      </c>
      <c r="G58" s="73">
        <f t="shared" si="7"/>
        <v>5164156718.4200001</v>
      </c>
      <c r="H58" s="145">
        <f t="shared" si="4"/>
        <v>14.880124463738202</v>
      </c>
      <c r="I58" s="73"/>
      <c r="J58" s="70"/>
    </row>
    <row r="59" spans="1:10" x14ac:dyDescent="0.3">
      <c r="A59" s="70"/>
      <c r="B59" s="70"/>
      <c r="C59" s="72"/>
      <c r="D59" s="73"/>
      <c r="E59" s="72">
        <f t="shared" si="5"/>
        <v>2019</v>
      </c>
      <c r="F59" s="74">
        <f t="shared" si="6"/>
        <v>280893702</v>
      </c>
      <c r="G59" s="73">
        <f t="shared" si="7"/>
        <v>4712967558.2200003</v>
      </c>
      <c r="H59" s="145">
        <f>+G59/F59</f>
        <v>16.77847358151163</v>
      </c>
      <c r="I59" s="73"/>
      <c r="J59" s="70"/>
    </row>
    <row r="60" spans="1:10" x14ac:dyDescent="0.3">
      <c r="A60" s="70"/>
      <c r="B60" s="70"/>
      <c r="C60" s="72"/>
      <c r="D60" s="73"/>
      <c r="E60" s="72">
        <f t="shared" si="5"/>
        <v>2020</v>
      </c>
      <c r="F60" s="74">
        <f t="shared" si="6"/>
        <v>187244509</v>
      </c>
      <c r="G60" s="73">
        <f t="shared" si="7"/>
        <v>3205267209.75</v>
      </c>
      <c r="H60" s="145">
        <f>+G60/F60</f>
        <v>17.1180838726224</v>
      </c>
      <c r="I60" s="146"/>
      <c r="J60" s="70"/>
    </row>
    <row r="61" spans="1:10" x14ac:dyDescent="0.3">
      <c r="B61" s="147" t="s">
        <v>90</v>
      </c>
      <c r="E61" s="72">
        <f t="shared" si="5"/>
        <v>2021</v>
      </c>
      <c r="F61" s="74">
        <f t="shared" si="6"/>
        <v>266280498</v>
      </c>
      <c r="G61" s="73">
        <f t="shared" si="7"/>
        <v>5920915800.2200012</v>
      </c>
      <c r="H61" s="145">
        <f>+G61/F61</f>
        <v>22.235634395651466</v>
      </c>
      <c r="I61" s="149"/>
    </row>
    <row r="62" spans="1:10" x14ac:dyDescent="0.3">
      <c r="B62" s="150" t="s">
        <v>91</v>
      </c>
      <c r="E62" s="148">
        <v>2022</v>
      </c>
      <c r="F62" s="74">
        <f t="shared" si="6"/>
        <v>231835936</v>
      </c>
      <c r="G62" s="73">
        <f t="shared" si="7"/>
        <v>6598376154.75</v>
      </c>
      <c r="H62" s="145">
        <f t="shared" ref="H62:H65" si="8">+G62/F62</f>
        <v>28.461403648612958</v>
      </c>
    </row>
    <row r="63" spans="1:10" x14ac:dyDescent="0.3">
      <c r="B63" t="s">
        <v>92</v>
      </c>
      <c r="E63" s="148">
        <v>2023</v>
      </c>
      <c r="F63" s="74">
        <f t="shared" si="6"/>
        <v>168240341</v>
      </c>
      <c r="G63" s="73">
        <f t="shared" si="7"/>
        <v>5234421227.0100002</v>
      </c>
      <c r="H63" s="145">
        <f t="shared" si="8"/>
        <v>31.112759257959421</v>
      </c>
    </row>
    <row r="64" spans="1:10" x14ac:dyDescent="0.3">
      <c r="E64" s="148">
        <v>2024</v>
      </c>
      <c r="F64" s="74">
        <f t="shared" si="6"/>
        <v>0</v>
      </c>
      <c r="G64" s="73">
        <f t="shared" si="7"/>
        <v>0</v>
      </c>
      <c r="H64" s="145" t="e">
        <f t="shared" si="8"/>
        <v>#DIV/0!</v>
      </c>
    </row>
    <row r="65" spans="5:8" x14ac:dyDescent="0.3">
      <c r="E65" s="148">
        <v>2025</v>
      </c>
      <c r="F65" s="74">
        <f t="shared" si="6"/>
        <v>0</v>
      </c>
      <c r="G65" s="73">
        <f t="shared" si="7"/>
        <v>0</v>
      </c>
      <c r="H65" s="145" t="e">
        <f t="shared" si="8"/>
        <v>#DIV/0!</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GHG Price Calculations</vt:lpstr>
      <vt:lpstr>Auction Data</vt:lpstr>
      <vt:lpstr>'Auction Data'!Print_Area</vt:lpstr>
      <vt:lpstr>'GHG Price Calculations'!Print_Area</vt:lpstr>
      <vt:lpstr>'GHG Price Calculations'!Print_Titles</vt:lpstr>
    </vt:vector>
  </TitlesOfParts>
  <Company>CEC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Lynn@Energy</dc:creator>
  <cp:lastModifiedBy>Marshall, Lynn@Energy</cp:lastModifiedBy>
  <dcterms:created xsi:type="dcterms:W3CDTF">2023-10-24T15:56:25Z</dcterms:created>
  <dcterms:modified xsi:type="dcterms:W3CDTF">2023-10-24T16:21:20Z</dcterms:modified>
</cp:coreProperties>
</file>