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4.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showInkAnnotation="0" codeName="ThisWorkbook" hidePivotFieldList="1" defaultThemeVersion="124226"/>
  <mc:AlternateContent xmlns:mc="http://schemas.openxmlformats.org/markup-compatibility/2006">
    <mc:Choice Requires="x15">
      <x15ac:absPath xmlns:x15ac="http://schemas.microsoft.com/office/spreadsheetml/2010/11/ac" url="I:\Reports\Integrated Energy Policy Report (IEPR)\2023\"/>
    </mc:Choice>
  </mc:AlternateContent>
  <bookViews>
    <workbookView xWindow="28680" yWindow="-120" windowWidth="29040" windowHeight="15840" tabRatio="838" firstSheet="2" activeTab="18"/>
  </bookViews>
  <sheets>
    <sheet name="Cover" sheetId="44" r:id="rId1"/>
    <sheet name="FormsList&amp;FilerInfo" sheetId="2" r:id="rId2"/>
    <sheet name="Form 1.1b 23-IEPR Incr" sheetId="3" r:id="rId3"/>
    <sheet name="Form 1.2 23-IEPR Incr" sheetId="5" r:id="rId4"/>
    <sheet name="Form 1.3 23-IEPR Incr" sheetId="36" r:id="rId5"/>
    <sheet name="Form 1.5 23-IEPR Incr" sheetId="8" r:id="rId6"/>
    <sheet name="Form 1.5 22-IEPR Flat" sheetId="52" r:id="rId7"/>
    <sheet name="23-IEPR Customer Class Dist" sheetId="54" state="hidden" r:id="rId8"/>
    <sheet name="23-IEPR TPP 2425 LF" sheetId="49" state="hidden" r:id="rId9"/>
    <sheet name="22-IEPR TPP 2324 LF" sheetId="51" state="hidden" r:id="rId10"/>
    <sheet name="Weather Scalars" sheetId="50" state="hidden" r:id="rId11"/>
    <sheet name="System Losses" sheetId="55" state="hidden" r:id="rId12"/>
    <sheet name="Form 1.6a" sheetId="48" r:id="rId13"/>
    <sheet name="Form 2.1" sheetId="17" r:id="rId14"/>
    <sheet name="Form 2.2" sheetId="18" r:id="rId15"/>
    <sheet name="Form 2.3" sheetId="19" r:id="rId16"/>
    <sheet name="Form 3" sheetId="45" r:id="rId17"/>
    <sheet name="Form 4" sheetId="39" r:id="rId18"/>
    <sheet name="Form 8.1a" sheetId="46" r:id="rId19"/>
    <sheet name="Form 8.1b" sheetId="47"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Order1" localSheetId="12" hidden="1">0</definedName>
    <definedName name="_Order1" hidden="1">255</definedName>
    <definedName name="_Order2" localSheetId="12" hidden="1">0</definedName>
    <definedName name="_Order2" hidden="1">255</definedName>
    <definedName name="ComName" localSheetId="2">'[1]FormList&amp;FilerInfo'!$B$2</definedName>
    <definedName name="ComName" localSheetId="3">'[1]FormList&amp;FilerInfo'!$B$2</definedName>
    <definedName name="ComName" localSheetId="18">'[2]FormList&amp;FilerInfo'!$B$2</definedName>
    <definedName name="ComName" localSheetId="19">'[2]FormList&amp;FilerInfo'!$B$2</definedName>
    <definedName name="ComName">'[3]FormList&amp;FilerInfo'!$B$2</definedName>
    <definedName name="CoName" localSheetId="2">'[4]FormList&amp;FilerInfo'!$B$2</definedName>
    <definedName name="CoName" localSheetId="3">'[4]FormList&amp;FilerInfo'!$B$2</definedName>
    <definedName name="CoName" localSheetId="4">'[5]FormsList&amp;FilerInfo'!$B$2</definedName>
    <definedName name="CoName" localSheetId="12">#REF!</definedName>
    <definedName name="coname" localSheetId="16">[6]Certification!$B$4</definedName>
    <definedName name="CoName" localSheetId="17">'[7]FormsList&amp;FilerInfo'!$B$2</definedName>
    <definedName name="CoName" localSheetId="18">'[8]FormsList&amp;FilerInfo'!$B$2</definedName>
    <definedName name="CoName" localSheetId="19">'[8]FormsList&amp;FilerInfo'!$B$2</definedName>
    <definedName name="CoName">'FormsList&amp;FilerInfo'!$B$2</definedName>
    <definedName name="Data3.4" localSheetId="0">#REF!</definedName>
    <definedName name="Data3.4" localSheetId="12">#REF!</definedName>
    <definedName name="Data3.4" localSheetId="16">#REF!</definedName>
    <definedName name="Data3.4" localSheetId="17">#REF!</definedName>
    <definedName name="Data3.4">#REF!</definedName>
    <definedName name="filedate">'FormsList&amp;FilerInfo'!$B$3</definedName>
    <definedName name="_xlnm.Print_Area" localSheetId="0">Cover!$A$1:$B$21</definedName>
    <definedName name="_xlnm.Print_Area" localSheetId="2">'Form 1.1b 23-IEPR Incr'!$B$1:$J$17</definedName>
    <definedName name="_xlnm.Print_Area" localSheetId="3">'Form 1.2 23-IEPR Incr'!$B$1:$F$19</definedName>
    <definedName name="_xlnm.Print_Area" localSheetId="4">'Form 1.3 23-IEPR Incr'!$B$1:$K$20</definedName>
    <definedName name="_xlnm.Print_Area" localSheetId="6">'Form 1.5 22-IEPR Flat'!$B$1:$F$19</definedName>
    <definedName name="_xlnm.Print_Area" localSheetId="5">'Form 1.5 23-IEPR Incr'!$B$1:$F$19</definedName>
    <definedName name="_xlnm.Print_Area" localSheetId="12">'Form 1.6a'!$A$1:$H$38</definedName>
    <definedName name="_xlnm.Print_Area" localSheetId="16">'Form 3'!$B$6:$S$57</definedName>
    <definedName name="_xlnm.Print_Area" localSheetId="1">'FormsList&amp;FilerInfo'!$A$1:$C$21</definedName>
    <definedName name="_xlnm.Print_Titles" localSheetId="12">'Form 1.6a'!$14:$18</definedName>
    <definedName name="_xlnm.Print_Titles" localSheetId="13">'Form 2.1'!$B:$B,'Form 2.1'!$2:$8</definedName>
    <definedName name="_xlnm.Print_Titles" localSheetId="15">'Form 2.3'!$B:$B,'Form 2.3'!$2:$8</definedName>
    <definedName name="_xlnm.Print_Titles" localSheetId="16">'Form 3'!$B:$D,'Form 3'!$6:$7</definedName>
    <definedName name="pv">'Form 3'!$B$6:$S$55</definedName>
    <definedName name="Z_2C54E754_4594_47E3_AFE9_B28C28B63E5C_.wvu.PrintArea" localSheetId="0" hidden="1">Cover!$A$1:$B$21</definedName>
    <definedName name="Z_2C54E754_4594_47E3_AFE9_B28C28B63E5C_.wvu.PrintArea" localSheetId="2" hidden="1">'Form 1.1b 23-IEPR Incr'!$B$1:$J$17</definedName>
    <definedName name="Z_2C54E754_4594_47E3_AFE9_B28C28B63E5C_.wvu.PrintArea" localSheetId="3" hidden="1">'Form 1.2 23-IEPR Incr'!$B$1:$F$19</definedName>
    <definedName name="Z_2C54E754_4594_47E3_AFE9_B28C28B63E5C_.wvu.PrintArea" localSheetId="4" hidden="1">'Form 1.3 23-IEPR Incr'!$B$1:$K$20</definedName>
    <definedName name="Z_2C54E754_4594_47E3_AFE9_B28C28B63E5C_.wvu.PrintArea" localSheetId="6" hidden="1">'Form 1.5 22-IEPR Flat'!$B$1:$F$19</definedName>
    <definedName name="Z_2C54E754_4594_47E3_AFE9_B28C28B63E5C_.wvu.PrintArea" localSheetId="5" hidden="1">'Form 1.5 23-IEPR Incr'!$B$1:$F$19</definedName>
    <definedName name="Z_2C54E754_4594_47E3_AFE9_B28C28B63E5C_.wvu.PrintArea" localSheetId="12" hidden="1">'Form 1.6a'!$A$1:$H$38</definedName>
    <definedName name="Z_2C54E754_4594_47E3_AFE9_B28C28B63E5C_.wvu.PrintArea" localSheetId="13" hidden="1">'Form 2.1'!$B$1:$J$16</definedName>
    <definedName name="Z_2C54E754_4594_47E3_AFE9_B28C28B63E5C_.wvu.PrintArea" localSheetId="14" hidden="1">'Form 2.2'!$B$1:$J$16</definedName>
    <definedName name="Z_2C54E754_4594_47E3_AFE9_B28C28B63E5C_.wvu.PrintArea" localSheetId="15" hidden="1">'Form 2.3'!$B$1:$J$16</definedName>
    <definedName name="Z_2C54E754_4594_47E3_AFE9_B28C28B63E5C_.wvu.PrintArea" localSheetId="18" hidden="1">'Form 8.1a'!$C$1:$Q$71</definedName>
    <definedName name="Z_2C54E754_4594_47E3_AFE9_B28C28B63E5C_.wvu.PrintArea" localSheetId="19" hidden="1">'Form 8.1b'!$A$1:$O$31</definedName>
    <definedName name="Z_2C54E754_4594_47E3_AFE9_B28C28B63E5C_.wvu.PrintArea" localSheetId="1" hidden="1">'FormsList&amp;FilerInfo'!$A$1:$C$21</definedName>
    <definedName name="Z_2C54E754_4594_47E3_AFE9_B28C28B63E5C_.wvu.PrintTitles" localSheetId="12" hidden="1">'Form 1.6a'!$14:$18</definedName>
    <definedName name="Z_2C54E754_4594_47E3_AFE9_B28C28B63E5C_.wvu.PrintTitles" localSheetId="13" hidden="1">'Form 2.1'!$B:$B,'Form 2.1'!$2:$8</definedName>
    <definedName name="Z_2C54E754_4594_47E3_AFE9_B28C28B63E5C_.wvu.PrintTitles" localSheetId="15" hidden="1">'Form 2.3'!$B:$B,'Form 2.3'!$2:$8</definedName>
    <definedName name="Z_64245E33_E577_4C25_9B98_21C112E84FF6_.wvu.PrintArea" localSheetId="0" hidden="1">Cover!$A$1:$B$21</definedName>
    <definedName name="Z_64245E33_E577_4C25_9B98_21C112E84FF6_.wvu.PrintArea" localSheetId="2" hidden="1">'Form 1.1b 23-IEPR Incr'!$B$1:$J$17</definedName>
    <definedName name="Z_64245E33_E577_4C25_9B98_21C112E84FF6_.wvu.PrintArea" localSheetId="3" hidden="1">'Form 1.2 23-IEPR Incr'!$B$1:$F$19</definedName>
    <definedName name="Z_64245E33_E577_4C25_9B98_21C112E84FF6_.wvu.PrintArea" localSheetId="4" hidden="1">'Form 1.3 23-IEPR Incr'!$B$1:$K$20</definedName>
    <definedName name="Z_64245E33_E577_4C25_9B98_21C112E84FF6_.wvu.PrintArea" localSheetId="6" hidden="1">'Form 1.5 22-IEPR Flat'!$B$1:$F$19</definedName>
    <definedName name="Z_64245E33_E577_4C25_9B98_21C112E84FF6_.wvu.PrintArea" localSheetId="5" hidden="1">'Form 1.5 23-IEPR Incr'!$B$1:$F$19</definedName>
    <definedName name="Z_64245E33_E577_4C25_9B98_21C112E84FF6_.wvu.PrintArea" localSheetId="12" hidden="1">'Form 1.6a'!$A$1:$H$38</definedName>
    <definedName name="Z_64245E33_E577_4C25_9B98_21C112E84FF6_.wvu.PrintArea" localSheetId="13" hidden="1">'Form 2.1'!$B$1:$J$16</definedName>
    <definedName name="Z_64245E33_E577_4C25_9B98_21C112E84FF6_.wvu.PrintArea" localSheetId="14" hidden="1">'Form 2.2'!$B$1:$J$16</definedName>
    <definedName name="Z_64245E33_E577_4C25_9B98_21C112E84FF6_.wvu.PrintArea" localSheetId="15" hidden="1">'Form 2.3'!$B$1:$J$16</definedName>
    <definedName name="Z_64245E33_E577_4C25_9B98_21C112E84FF6_.wvu.PrintArea" localSheetId="18" hidden="1">'Form 8.1a'!$C$1:$Q$71</definedName>
    <definedName name="Z_64245E33_E577_4C25_9B98_21C112E84FF6_.wvu.PrintArea" localSheetId="19" hidden="1">'Form 8.1b'!$A$1:$O$31</definedName>
    <definedName name="Z_64245E33_E577_4C25_9B98_21C112E84FF6_.wvu.PrintArea" localSheetId="1" hidden="1">'FormsList&amp;FilerInfo'!$A$1:$C$21</definedName>
    <definedName name="Z_64245E33_E577_4C25_9B98_21C112E84FF6_.wvu.PrintTitles" localSheetId="12" hidden="1">'Form 1.6a'!$14:$18</definedName>
    <definedName name="Z_64245E33_E577_4C25_9B98_21C112E84FF6_.wvu.PrintTitles" localSheetId="13" hidden="1">'Form 2.1'!$B:$B,'Form 2.1'!$2:$8</definedName>
    <definedName name="Z_64245E33_E577_4C25_9B98_21C112E84FF6_.wvu.PrintTitles" localSheetId="15" hidden="1">'Form 2.3'!$B:$B,'Form 2.3'!$2:$8</definedName>
    <definedName name="Z_C3E70234_FA18_40E7_B25F_218A5F7D2EA2_.wvu.PrintArea" localSheetId="0" hidden="1">Cover!$A$1:$B$21</definedName>
    <definedName name="Z_C3E70234_FA18_40E7_B25F_218A5F7D2EA2_.wvu.PrintArea" localSheetId="2" hidden="1">'Form 1.1b 23-IEPR Incr'!$A$1:$J$17</definedName>
    <definedName name="Z_C3E70234_FA18_40E7_B25F_218A5F7D2EA2_.wvu.PrintArea" localSheetId="3" hidden="1">'Form 1.2 23-IEPR Incr'!$A$1:$F$20</definedName>
    <definedName name="Z_C3E70234_FA18_40E7_B25F_218A5F7D2EA2_.wvu.PrintArea" localSheetId="4" hidden="1">'Form 1.3 23-IEPR Incr'!$A$1:$K$20</definedName>
    <definedName name="Z_C3E70234_FA18_40E7_B25F_218A5F7D2EA2_.wvu.PrintArea" localSheetId="6" hidden="1">'Form 1.5 22-IEPR Flat'!$A$1:$F$20</definedName>
    <definedName name="Z_C3E70234_FA18_40E7_B25F_218A5F7D2EA2_.wvu.PrintArea" localSheetId="5" hidden="1">'Form 1.5 23-IEPR Incr'!$A$1:$F$20</definedName>
    <definedName name="Z_C3E70234_FA18_40E7_B25F_218A5F7D2EA2_.wvu.PrintArea" localSheetId="12" hidden="1">'Form 1.6a'!$A$1:$H$42</definedName>
    <definedName name="Z_C3E70234_FA18_40E7_B25F_218A5F7D2EA2_.wvu.PrintArea" localSheetId="13" hidden="1">'Form 2.1'!$B$1:$J$18</definedName>
    <definedName name="Z_C3E70234_FA18_40E7_B25F_218A5F7D2EA2_.wvu.PrintArea" localSheetId="14" hidden="1">'Form 2.2'!$B$1:$J$18</definedName>
    <definedName name="Z_C3E70234_FA18_40E7_B25F_218A5F7D2EA2_.wvu.PrintArea" localSheetId="15" hidden="1">'Form 2.3'!$B$1:$J$18</definedName>
    <definedName name="Z_C3E70234_FA18_40E7_B25F_218A5F7D2EA2_.wvu.PrintArea" localSheetId="18" hidden="1">'Form 8.1a'!$C$1:$Q$71</definedName>
    <definedName name="Z_C3E70234_FA18_40E7_B25F_218A5F7D2EA2_.wvu.PrintArea" localSheetId="19" hidden="1">'Form 8.1b'!$A$1:$O$31</definedName>
    <definedName name="Z_C3E70234_FA18_40E7_B25F_218A5F7D2EA2_.wvu.PrintArea" localSheetId="1" hidden="1">'FormsList&amp;FilerInfo'!$A$1:$C$21</definedName>
    <definedName name="Z_C3E70234_FA18_40E7_B25F_218A5F7D2EA2_.wvu.PrintTitles" localSheetId="12" hidden="1">'Form 1.6a'!$14:$18</definedName>
    <definedName name="Z_C3E70234_FA18_40E7_B25F_218A5F7D2EA2_.wvu.PrintTitles" localSheetId="13" hidden="1">'Form 2.1'!$B:$B,'Form 2.1'!$2:$8</definedName>
    <definedName name="Z_C3E70234_FA18_40E7_B25F_218A5F7D2EA2_.wvu.PrintTitles" localSheetId="15" hidden="1">'Form 2.3'!$B:$B,'Form 2.3'!$2:$8</definedName>
    <definedName name="Z_DC437496_B10F_474B_8F6E_F19B4DA7C026_.wvu.PrintArea" localSheetId="0" hidden="1">Cover!$A$1:$B$21</definedName>
    <definedName name="Z_DC437496_B10F_474B_8F6E_F19B4DA7C026_.wvu.PrintArea" localSheetId="2" hidden="1">'Form 1.1b 23-IEPR Incr'!$A$1:$J$17</definedName>
    <definedName name="Z_DC437496_B10F_474B_8F6E_F19B4DA7C026_.wvu.PrintArea" localSheetId="3" hidden="1">'Form 1.2 23-IEPR Incr'!$A$1:$F$20</definedName>
    <definedName name="Z_DC437496_B10F_474B_8F6E_F19B4DA7C026_.wvu.PrintArea" localSheetId="4" hidden="1">'Form 1.3 23-IEPR Incr'!$A$1:$K$20</definedName>
    <definedName name="Z_DC437496_B10F_474B_8F6E_F19B4DA7C026_.wvu.PrintArea" localSheetId="6" hidden="1">'Form 1.5 22-IEPR Flat'!$A$1:$F$20</definedName>
    <definedName name="Z_DC437496_B10F_474B_8F6E_F19B4DA7C026_.wvu.PrintArea" localSheetId="5" hidden="1">'Form 1.5 23-IEPR Incr'!$A$1:$F$20</definedName>
    <definedName name="Z_DC437496_B10F_474B_8F6E_F19B4DA7C026_.wvu.PrintArea" localSheetId="12" hidden="1">'Form 1.6a'!$A$1:$H$42</definedName>
    <definedName name="Z_DC437496_B10F_474B_8F6E_F19B4DA7C026_.wvu.PrintArea" localSheetId="13" hidden="1">'Form 2.1'!$B$1:$J$18</definedName>
    <definedName name="Z_DC437496_B10F_474B_8F6E_F19B4DA7C026_.wvu.PrintArea" localSheetId="14" hidden="1">'Form 2.2'!$B$1:$J$18</definedName>
    <definedName name="Z_DC437496_B10F_474B_8F6E_F19B4DA7C026_.wvu.PrintArea" localSheetId="15" hidden="1">'Form 2.3'!$B$1:$J$18</definedName>
    <definedName name="Z_DC437496_B10F_474B_8F6E_F19B4DA7C026_.wvu.PrintArea" localSheetId="18" hidden="1">'Form 8.1a'!$C$1:$Q$71</definedName>
    <definedName name="Z_DC437496_B10F_474B_8F6E_F19B4DA7C026_.wvu.PrintArea" localSheetId="19" hidden="1">'Form 8.1b'!$A$1:$O$31</definedName>
    <definedName name="Z_DC437496_B10F_474B_8F6E_F19B4DA7C026_.wvu.PrintArea" localSheetId="1" hidden="1">'FormsList&amp;FilerInfo'!$A$1:$C$21</definedName>
    <definedName name="Z_DC437496_B10F_474B_8F6E_F19B4DA7C026_.wvu.PrintTitles" localSheetId="12" hidden="1">'Form 1.6a'!$14:$18</definedName>
    <definedName name="Z_DC437496_B10F_474B_8F6E_F19B4DA7C026_.wvu.PrintTitles" localSheetId="13" hidden="1">'Form 2.1'!$B:$B,'Form 2.1'!$2:$8</definedName>
    <definedName name="Z_DC437496_B10F_474B_8F6E_F19B4DA7C026_.wvu.PrintTitles" localSheetId="15" hidden="1">'Form 2.3'!$B:$B,'Form 2.3'!$2:$8</definedName>
  </definedNames>
  <calcPr calcId="162913" iterate="1" iterateCount="1000"/>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8" l="1"/>
  <c r="D13" i="18" s="1"/>
  <c r="D14" i="18" s="1"/>
  <c r="D15" i="18" s="1"/>
  <c r="D16" i="18" s="1"/>
  <c r="D17" i="18" s="1"/>
  <c r="D18" i="18" s="1"/>
  <c r="D19" i="18" s="1"/>
  <c r="D20" i="18" s="1"/>
  <c r="D21" i="18" s="1"/>
  <c r="E12" i="18"/>
  <c r="E13" i="18" s="1"/>
  <c r="E14" i="18" s="1"/>
  <c r="E15" i="18" s="1"/>
  <c r="E16" i="18" s="1"/>
  <c r="E17" i="18" s="1"/>
  <c r="E18" i="18" s="1"/>
  <c r="E19" i="18" s="1"/>
  <c r="E20" i="18" s="1"/>
  <c r="E21" i="18" s="1"/>
  <c r="F12" i="18"/>
  <c r="G12" i="18"/>
  <c r="G13" i="18" s="1"/>
  <c r="G14" i="18" s="1"/>
  <c r="G15" i="18" s="1"/>
  <c r="G16" i="18" s="1"/>
  <c r="G17" i="18" s="1"/>
  <c r="G18" i="18" s="1"/>
  <c r="G19" i="18" s="1"/>
  <c r="G20" i="18" s="1"/>
  <c r="G21" i="18" s="1"/>
  <c r="F13" i="18"/>
  <c r="F14" i="18" s="1"/>
  <c r="F15" i="18" s="1"/>
  <c r="F16" i="18" s="1"/>
  <c r="F17" i="18" s="1"/>
  <c r="F18" i="18" s="1"/>
  <c r="F19" i="18" s="1"/>
  <c r="F20" i="18" s="1"/>
  <c r="F21" i="18" s="1"/>
  <c r="I11" i="18"/>
  <c r="I12" i="18" s="1"/>
  <c r="I13" i="18" s="1"/>
  <c r="I14" i="18" s="1"/>
  <c r="I15" i="18" s="1"/>
  <c r="I16" i="18" s="1"/>
  <c r="I17" i="18" s="1"/>
  <c r="I18" i="18" s="1"/>
  <c r="I19" i="18" s="1"/>
  <c r="I20" i="18" s="1"/>
  <c r="I21" i="18" s="1"/>
  <c r="G11" i="18"/>
  <c r="F11" i="18"/>
  <c r="E11" i="18"/>
  <c r="D11" i="18"/>
  <c r="I10" i="18"/>
  <c r="I9" i="18"/>
  <c r="T6" i="19" l="1"/>
  <c r="R6" i="19"/>
  <c r="P6" i="19"/>
  <c r="C10" i="19"/>
  <c r="C11" i="19" s="1"/>
  <c r="C12" i="19" s="1"/>
  <c r="C13" i="19" s="1"/>
  <c r="C14" i="19" s="1"/>
  <c r="C15" i="19" s="1"/>
  <c r="C16" i="19" s="1"/>
  <c r="C17" i="19" s="1"/>
  <c r="C18" i="19" s="1"/>
  <c r="C19" i="19" s="1"/>
  <c r="C20" i="19" s="1"/>
  <c r="C21" i="19" s="1"/>
  <c r="D10" i="19"/>
  <c r="D11" i="19" s="1"/>
  <c r="D12" i="19" s="1"/>
  <c r="D13" i="19" s="1"/>
  <c r="D14" i="19" s="1"/>
  <c r="D15" i="19" s="1"/>
  <c r="D16" i="19" s="1"/>
  <c r="D17" i="19" s="1"/>
  <c r="D18" i="19" s="1"/>
  <c r="D19" i="19" s="1"/>
  <c r="D20" i="19" s="1"/>
  <c r="D21" i="19" s="1"/>
  <c r="E10" i="19"/>
  <c r="E11" i="19" s="1"/>
  <c r="E12" i="19" s="1"/>
  <c r="E13" i="19" s="1"/>
  <c r="E14" i="19" s="1"/>
  <c r="E15" i="19" s="1"/>
  <c r="E16" i="19" s="1"/>
  <c r="E17" i="19" s="1"/>
  <c r="E18" i="19" s="1"/>
  <c r="E19" i="19" s="1"/>
  <c r="E20" i="19" s="1"/>
  <c r="E21" i="19" s="1"/>
  <c r="F10" i="19"/>
  <c r="E9" i="19"/>
  <c r="D9" i="19"/>
  <c r="C9" i="19"/>
  <c r="P27" i="19"/>
  <c r="P28" i="19"/>
  <c r="P29" i="19"/>
  <c r="R27" i="19"/>
  <c r="R28" i="19"/>
  <c r="R29" i="19"/>
  <c r="T26" i="19"/>
  <c r="T27" i="19"/>
  <c r="T28" i="19"/>
  <c r="T29" i="19"/>
  <c r="Z27" i="19"/>
  <c r="Z28" i="19"/>
  <c r="Y27" i="19"/>
  <c r="Y29" i="19"/>
  <c r="Z29" i="19" s="1"/>
  <c r="Y28" i="19"/>
  <c r="F9" i="19" s="1"/>
  <c r="Z26" i="19"/>
  <c r="R26" i="19"/>
  <c r="P26" i="19"/>
  <c r="Z25" i="19"/>
  <c r="T25" i="19"/>
  <c r="R25" i="19"/>
  <c r="P25" i="19"/>
  <c r="Z24" i="19"/>
  <c r="T24" i="19"/>
  <c r="R24" i="19"/>
  <c r="P24" i="19"/>
  <c r="Z23" i="19"/>
  <c r="T23" i="19"/>
  <c r="R23" i="19"/>
  <c r="P23" i="19"/>
  <c r="Z22" i="19"/>
  <c r="T22" i="19"/>
  <c r="R22" i="19"/>
  <c r="P22" i="19"/>
  <c r="Z21" i="19"/>
  <c r="T21" i="19"/>
  <c r="R21" i="19"/>
  <c r="P21" i="19"/>
  <c r="Z20" i="19"/>
  <c r="T20" i="19"/>
  <c r="R20" i="19"/>
  <c r="P20" i="19"/>
  <c r="Z19" i="19"/>
  <c r="T19" i="19"/>
  <c r="R19" i="19"/>
  <c r="P19" i="19"/>
  <c r="Z18" i="19"/>
  <c r="T18" i="19"/>
  <c r="R18" i="19"/>
  <c r="P18" i="19"/>
  <c r="Z17" i="19"/>
  <c r="T17" i="19"/>
  <c r="R17" i="19"/>
  <c r="P17" i="19"/>
  <c r="Z16" i="19"/>
  <c r="T16" i="19"/>
  <c r="R16" i="19"/>
  <c r="P16" i="19"/>
  <c r="Z15" i="19"/>
  <c r="T15" i="19"/>
  <c r="R15" i="19"/>
  <c r="P15" i="19"/>
  <c r="Z14" i="19"/>
  <c r="T14" i="19"/>
  <c r="R14" i="19"/>
  <c r="P14" i="19"/>
  <c r="Z13" i="19"/>
  <c r="T13" i="19"/>
  <c r="R13" i="19"/>
  <c r="P13" i="19"/>
  <c r="Z12" i="19"/>
  <c r="T12" i="19"/>
  <c r="R12" i="19"/>
  <c r="P12" i="19"/>
  <c r="Z11" i="19"/>
  <c r="T11" i="19"/>
  <c r="R11" i="19"/>
  <c r="P11" i="19"/>
  <c r="Z10" i="19"/>
  <c r="T10" i="19"/>
  <c r="R10" i="19"/>
  <c r="P10" i="19"/>
  <c r="H10" i="3"/>
  <c r="U9" i="3"/>
  <c r="U8" i="3"/>
  <c r="P5" i="3"/>
  <c r="Q5" i="3"/>
  <c r="R5" i="3"/>
  <c r="W32" i="3"/>
  <c r="X32" i="3" s="1"/>
  <c r="W33" i="3"/>
  <c r="X33" i="3" s="1"/>
  <c r="P9" i="3"/>
  <c r="C9" i="3" s="1"/>
  <c r="Q9" i="3"/>
  <c r="R9" i="3"/>
  <c r="E9" i="3" s="1"/>
  <c r="S9" i="3"/>
  <c r="F9" i="3" s="1"/>
  <c r="S8" i="3"/>
  <c r="F8" i="3" s="1"/>
  <c r="R8" i="3"/>
  <c r="E8" i="3" s="1"/>
  <c r="Q8" i="3"/>
  <c r="D8" i="3" s="1"/>
  <c r="P8" i="3"/>
  <c r="C8" i="3" s="1"/>
  <c r="W31" i="3"/>
  <c r="X31" i="3" s="1"/>
  <c r="W30" i="3"/>
  <c r="X30" i="3" s="1"/>
  <c r="W29" i="3"/>
  <c r="X29" i="3" s="1"/>
  <c r="W28" i="3"/>
  <c r="X28" i="3" s="1"/>
  <c r="W27" i="3"/>
  <c r="X27" i="3" s="1"/>
  <c r="X10" i="3"/>
  <c r="X11" i="3"/>
  <c r="X12" i="3"/>
  <c r="X13" i="3"/>
  <c r="X14" i="3"/>
  <c r="X15" i="3"/>
  <c r="X16" i="3"/>
  <c r="X17" i="3"/>
  <c r="X18" i="3"/>
  <c r="X19" i="3"/>
  <c r="X20" i="3"/>
  <c r="F11" i="5"/>
  <c r="F12" i="5"/>
  <c r="F13" i="5"/>
  <c r="F14" i="5"/>
  <c r="F15" i="5"/>
  <c r="F16" i="5"/>
  <c r="F17" i="5"/>
  <c r="F18" i="5"/>
  <c r="F19" i="5"/>
  <c r="F20" i="5"/>
  <c r="F21" i="5"/>
  <c r="F10" i="5"/>
  <c r="H11" i="3"/>
  <c r="H12" i="3"/>
  <c r="H13" i="3"/>
  <c r="H14" i="3"/>
  <c r="H15" i="3"/>
  <c r="H16" i="3"/>
  <c r="H17" i="3"/>
  <c r="H18" i="3"/>
  <c r="H19" i="3"/>
  <c r="H20" i="3"/>
  <c r="D9" i="3"/>
  <c r="Z6" i="19" l="1"/>
  <c r="W8" i="3"/>
  <c r="X8" i="3" s="1"/>
  <c r="X5" i="3" s="1"/>
  <c r="W9" i="3"/>
  <c r="X9" i="3" s="1"/>
  <c r="S5" i="3"/>
  <c r="H9" i="3"/>
  <c r="J9" i="3" s="1"/>
  <c r="U5" i="3"/>
  <c r="H8" i="3"/>
  <c r="J8" i="3" s="1"/>
  <c r="W5" i="3" l="1"/>
  <c r="K8" i="3"/>
  <c r="K9" i="3"/>
  <c r="R6" i="3"/>
  <c r="P6" i="3"/>
  <c r="S6" i="3"/>
  <c r="Q6" i="3"/>
  <c r="Q14" i="3" l="1"/>
  <c r="D14" i="3" s="1"/>
  <c r="Q18" i="3"/>
  <c r="D18" i="3" s="1"/>
  <c r="Q13" i="3"/>
  <c r="D13" i="3" s="1"/>
  <c r="Q17" i="3"/>
  <c r="D17" i="3" s="1"/>
  <c r="Q16" i="3"/>
  <c r="D16" i="3" s="1"/>
  <c r="Q10" i="3"/>
  <c r="D10" i="3" s="1"/>
  <c r="Q20" i="3"/>
  <c r="D20" i="3" s="1"/>
  <c r="Q15" i="3"/>
  <c r="D15" i="3" s="1"/>
  <c r="Q19" i="3"/>
  <c r="D19" i="3" s="1"/>
  <c r="Q12" i="3"/>
  <c r="D12" i="3" s="1"/>
  <c r="Q11" i="3"/>
  <c r="D11" i="3" s="1"/>
  <c r="P13" i="3"/>
  <c r="P19" i="3"/>
  <c r="P20" i="3"/>
  <c r="P17" i="3"/>
  <c r="P12" i="3"/>
  <c r="P16" i="3"/>
  <c r="P15" i="3"/>
  <c r="P11" i="3"/>
  <c r="P10" i="3"/>
  <c r="P18" i="3"/>
  <c r="P14" i="3"/>
  <c r="S12" i="3"/>
  <c r="F12" i="3" s="1"/>
  <c r="S13" i="3"/>
  <c r="F13" i="3" s="1"/>
  <c r="S18" i="3"/>
  <c r="F18" i="3" s="1"/>
  <c r="S19" i="3"/>
  <c r="F19" i="3" s="1"/>
  <c r="S10" i="3"/>
  <c r="F10" i="3" s="1"/>
  <c r="S20" i="3"/>
  <c r="F20" i="3" s="1"/>
  <c r="S17" i="3"/>
  <c r="F17" i="3" s="1"/>
  <c r="S14" i="3"/>
  <c r="F14" i="3" s="1"/>
  <c r="S11" i="3"/>
  <c r="F11" i="3" s="1"/>
  <c r="S15" i="3"/>
  <c r="F15" i="3" s="1"/>
  <c r="S16" i="3"/>
  <c r="F16" i="3" s="1"/>
  <c r="R20" i="3"/>
  <c r="E20" i="3" s="1"/>
  <c r="R18" i="3"/>
  <c r="E18" i="3" s="1"/>
  <c r="R16" i="3"/>
  <c r="E16" i="3" s="1"/>
  <c r="R13" i="3"/>
  <c r="E13" i="3" s="1"/>
  <c r="R15" i="3"/>
  <c r="E15" i="3" s="1"/>
  <c r="R19" i="3"/>
  <c r="E19" i="3" s="1"/>
  <c r="R10" i="3"/>
  <c r="E10" i="3" s="1"/>
  <c r="R14" i="3"/>
  <c r="E14" i="3" s="1"/>
  <c r="R17" i="3"/>
  <c r="E17" i="3" s="1"/>
  <c r="R12" i="3"/>
  <c r="E12" i="3" s="1"/>
  <c r="R11" i="3"/>
  <c r="E11" i="3" s="1"/>
  <c r="C16" i="3" l="1"/>
  <c r="J16" i="3" s="1"/>
  <c r="W16" i="3"/>
  <c r="C12" i="3"/>
  <c r="J12" i="3" s="1"/>
  <c r="W12" i="3"/>
  <c r="C15" i="3"/>
  <c r="J15" i="3" s="1"/>
  <c r="W15" i="3"/>
  <c r="C17" i="3"/>
  <c r="J17" i="3" s="1"/>
  <c r="W17" i="3"/>
  <c r="C14" i="3"/>
  <c r="J14" i="3" s="1"/>
  <c r="W14" i="3"/>
  <c r="C20" i="3"/>
  <c r="J20" i="3" s="1"/>
  <c r="W20" i="3"/>
  <c r="C18" i="3"/>
  <c r="J18" i="3" s="1"/>
  <c r="W18" i="3"/>
  <c r="C19" i="3"/>
  <c r="J19" i="3" s="1"/>
  <c r="W19" i="3"/>
  <c r="W10" i="3"/>
  <c r="C10" i="3"/>
  <c r="J10" i="3" s="1"/>
  <c r="C13" i="3"/>
  <c r="J13" i="3" s="1"/>
  <c r="W13" i="3"/>
  <c r="C11" i="3"/>
  <c r="J11" i="3" s="1"/>
  <c r="W11" i="3"/>
  <c r="K10" i="3" l="1"/>
  <c r="K13" i="3"/>
  <c r="K20" i="3"/>
  <c r="K19" i="3"/>
  <c r="K18" i="3"/>
  <c r="K15" i="3"/>
  <c r="K12" i="3"/>
  <c r="K17" i="3"/>
  <c r="K11" i="3"/>
  <c r="K14" i="3"/>
  <c r="K16" i="3"/>
  <c r="B39" i="55" l="1"/>
  <c r="D23" i="49" l="1"/>
  <c r="B31" i="55" l="1"/>
  <c r="D26" i="55"/>
  <c r="K42" i="54" l="1"/>
  <c r="T32" i="54"/>
  <c r="S32" i="54"/>
  <c r="R32" i="54"/>
  <c r="Q32" i="54"/>
  <c r="P32" i="54"/>
  <c r="O32" i="54"/>
  <c r="N32" i="54"/>
  <c r="M32" i="54"/>
  <c r="L32" i="54"/>
  <c r="K32" i="54"/>
  <c r="U25" i="54"/>
  <c r="V25" i="54" s="1"/>
  <c r="T24" i="54"/>
  <c r="U24" i="54" s="1"/>
  <c r="S24" i="54"/>
  <c r="R24" i="54"/>
  <c r="Q24" i="54"/>
  <c r="P24" i="54"/>
  <c r="O24" i="54"/>
  <c r="N24" i="54"/>
  <c r="M24" i="54"/>
  <c r="L24" i="54"/>
  <c r="K24" i="54"/>
  <c r="K31" i="54" s="1"/>
  <c r="T23" i="54"/>
  <c r="U23" i="54" s="1"/>
  <c r="S23" i="54"/>
  <c r="R23" i="54"/>
  <c r="Q23" i="54"/>
  <c r="P23" i="54"/>
  <c r="O23" i="54"/>
  <c r="N23" i="54"/>
  <c r="M23" i="54"/>
  <c r="L23" i="54"/>
  <c r="K23" i="54"/>
  <c r="K30" i="54" s="1"/>
  <c r="T22" i="54"/>
  <c r="S22" i="54"/>
  <c r="R22" i="54"/>
  <c r="Q22" i="54"/>
  <c r="P22" i="54"/>
  <c r="O22" i="54"/>
  <c r="N22" i="54"/>
  <c r="M22" i="54"/>
  <c r="L22" i="54"/>
  <c r="K22" i="54"/>
  <c r="K29" i="54" s="1"/>
  <c r="G7" i="54"/>
  <c r="K7" i="54" s="1"/>
  <c r="K50" i="54" s="1"/>
  <c r="G6" i="54"/>
  <c r="K6" i="54" s="1"/>
  <c r="K49" i="54" s="1"/>
  <c r="G5" i="54"/>
  <c r="K5" i="54" s="1"/>
  <c r="K48" i="54" s="1"/>
  <c r="G4" i="54"/>
  <c r="K4" i="54" s="1"/>
  <c r="M3" i="54"/>
  <c r="N3" i="54" s="1"/>
  <c r="O3" i="54" s="1"/>
  <c r="P3" i="54" s="1"/>
  <c r="Q3" i="54" s="1"/>
  <c r="R3" i="54" s="1"/>
  <c r="S3" i="54" s="1"/>
  <c r="T3" i="54" s="1"/>
  <c r="U3" i="54" s="1"/>
  <c r="V3" i="54" s="1"/>
  <c r="W3" i="54" s="1"/>
  <c r="X3" i="54" s="1"/>
  <c r="O30" i="54" l="1"/>
  <c r="L30" i="54"/>
  <c r="R31" i="54"/>
  <c r="P26" i="54"/>
  <c r="Q30" i="54"/>
  <c r="L29" i="54"/>
  <c r="O29" i="54"/>
  <c r="Q31" i="54"/>
  <c r="R30" i="54"/>
  <c r="O31" i="54"/>
  <c r="N31" i="54"/>
  <c r="N29" i="54"/>
  <c r="Q26" i="54"/>
  <c r="P31" i="54"/>
  <c r="S30" i="54"/>
  <c r="R26" i="54"/>
  <c r="T26" i="54"/>
  <c r="S31" i="54"/>
  <c r="M29" i="54"/>
  <c r="N26" i="54"/>
  <c r="U22" i="54"/>
  <c r="U29" i="54" s="1"/>
  <c r="K26" i="54"/>
  <c r="K33" i="54" s="1"/>
  <c r="M30" i="54"/>
  <c r="N30" i="54"/>
  <c r="O26" i="54"/>
  <c r="L31" i="54"/>
  <c r="S26" i="54"/>
  <c r="P29" i="54"/>
  <c r="L26" i="54"/>
  <c r="P30" i="54"/>
  <c r="M31" i="54"/>
  <c r="V24" i="54"/>
  <c r="U31" i="54"/>
  <c r="V23" i="54"/>
  <c r="U30" i="54"/>
  <c r="W25" i="54"/>
  <c r="V32" i="54"/>
  <c r="K47" i="54"/>
  <c r="K51" i="54" s="1"/>
  <c r="K8" i="54"/>
  <c r="Q29" i="54"/>
  <c r="M26" i="54"/>
  <c r="S29" i="54"/>
  <c r="R29" i="54"/>
  <c r="T29" i="54"/>
  <c r="U32" i="54"/>
  <c r="T31" i="54"/>
  <c r="T30" i="54"/>
  <c r="L33" i="54" l="1"/>
  <c r="O33" i="54"/>
  <c r="R33" i="54"/>
  <c r="Q33" i="54"/>
  <c r="P33" i="54"/>
  <c r="N33" i="54"/>
  <c r="M33" i="54"/>
  <c r="V22" i="54"/>
  <c r="V26" i="54" s="1"/>
  <c r="S33" i="54"/>
  <c r="U26" i="54"/>
  <c r="U33" i="54"/>
  <c r="T33" i="54"/>
  <c r="X25" i="54"/>
  <c r="X32" i="54" s="1"/>
  <c r="W32" i="54"/>
  <c r="V30" i="54"/>
  <c r="W23" i="54"/>
  <c r="W24" i="54"/>
  <c r="V31" i="54"/>
  <c r="V29" i="54" l="1"/>
  <c r="W22" i="54"/>
  <c r="W26" i="54" s="1"/>
  <c r="X24" i="54"/>
  <c r="X31" i="54" s="1"/>
  <c r="W31" i="54"/>
  <c r="W30" i="54"/>
  <c r="X23" i="54"/>
  <c r="X30" i="54" s="1"/>
  <c r="V33" i="54"/>
  <c r="X22" i="54" l="1"/>
  <c r="W29" i="54"/>
  <c r="W33" i="54" s="1"/>
  <c r="X26" i="54"/>
  <c r="X29" i="54"/>
  <c r="X33" i="54" s="1"/>
  <c r="X34" i="54" l="1"/>
  <c r="C11" i="5" l="1"/>
  <c r="C21" i="5"/>
  <c r="E21" i="5" s="1"/>
  <c r="C20" i="5"/>
  <c r="E20" i="5" s="1"/>
  <c r="C19" i="5"/>
  <c r="E19" i="5" s="1"/>
  <c r="C18" i="5"/>
  <c r="E18" i="5" s="1"/>
  <c r="C17" i="5"/>
  <c r="E17" i="5" s="1"/>
  <c r="C10" i="5"/>
  <c r="B2" i="52"/>
  <c r="D36" i="51"/>
  <c r="H36" i="51" s="1"/>
  <c r="D35" i="51"/>
  <c r="H35" i="51" s="1"/>
  <c r="D34" i="51"/>
  <c r="C34" i="51"/>
  <c r="G34" i="51" s="1"/>
  <c r="D33" i="51"/>
  <c r="E20" i="52" s="1"/>
  <c r="D32" i="51"/>
  <c r="H32" i="51" s="1"/>
  <c r="D31" i="51"/>
  <c r="H31" i="51" s="1"/>
  <c r="D30" i="51"/>
  <c r="E17" i="52" s="1"/>
  <c r="D29" i="51"/>
  <c r="B29" i="51" s="1"/>
  <c r="D28" i="51"/>
  <c r="D27" i="51"/>
  <c r="H27" i="51" s="1"/>
  <c r="D26" i="51"/>
  <c r="H26" i="51" s="1"/>
  <c r="D25" i="51"/>
  <c r="H25" i="51" s="1"/>
  <c r="E24" i="51"/>
  <c r="F11" i="52" s="1"/>
  <c r="D24" i="51"/>
  <c r="E11" i="52" s="1"/>
  <c r="C24" i="51"/>
  <c r="D11" i="52" s="1"/>
  <c r="B24" i="51"/>
  <c r="C11" i="52" s="1"/>
  <c r="H23" i="51"/>
  <c r="E23" i="51"/>
  <c r="F10" i="52" s="1"/>
  <c r="D23" i="51"/>
  <c r="E10" i="52" s="1"/>
  <c r="C23" i="51"/>
  <c r="D10" i="52" s="1"/>
  <c r="B23" i="51"/>
  <c r="C10" i="52" s="1"/>
  <c r="D18" i="51"/>
  <c r="D17" i="51"/>
  <c r="D16" i="51"/>
  <c r="D15" i="51"/>
  <c r="D14" i="51"/>
  <c r="D13" i="51"/>
  <c r="D12" i="51"/>
  <c r="D11" i="51"/>
  <c r="D10" i="51"/>
  <c r="D9" i="51"/>
  <c r="D8" i="51"/>
  <c r="D7" i="51"/>
  <c r="D6" i="51"/>
  <c r="I24" i="51" s="1"/>
  <c r="E5" i="51"/>
  <c r="D5" i="51"/>
  <c r="F23" i="51" s="1"/>
  <c r="E10" i="8"/>
  <c r="D4" i="50"/>
  <c r="B35" i="51" s="1"/>
  <c r="F35" i="51" s="1"/>
  <c r="D5" i="50"/>
  <c r="C35" i="51" s="1"/>
  <c r="G35" i="51" s="1"/>
  <c r="D6" i="50"/>
  <c r="D7" i="50"/>
  <c r="E26" i="51" s="1"/>
  <c r="I26" i="51" l="1"/>
  <c r="F13" i="52"/>
  <c r="F29" i="51"/>
  <c r="C16" i="52"/>
  <c r="C26" i="51"/>
  <c r="E34" i="51"/>
  <c r="E12" i="52"/>
  <c r="E16" i="52"/>
  <c r="E6" i="51"/>
  <c r="B27" i="51"/>
  <c r="D21" i="52"/>
  <c r="G23" i="51"/>
  <c r="C27" i="51"/>
  <c r="E13" i="52"/>
  <c r="E21" i="52"/>
  <c r="E31" i="49"/>
  <c r="I31" i="49" s="1"/>
  <c r="I23" i="51"/>
  <c r="E28" i="51"/>
  <c r="E29" i="51"/>
  <c r="E14" i="52"/>
  <c r="E18" i="52"/>
  <c r="E30" i="51"/>
  <c r="F24" i="51"/>
  <c r="B32" i="51"/>
  <c r="G24" i="51"/>
  <c r="C32" i="51"/>
  <c r="E15" i="52"/>
  <c r="E19" i="52"/>
  <c r="H24" i="51"/>
  <c r="E33" i="51"/>
  <c r="D10" i="5"/>
  <c r="E10" i="5" s="1"/>
  <c r="D11" i="5"/>
  <c r="E11" i="5" s="1"/>
  <c r="C14" i="5"/>
  <c r="E14" i="5" s="1"/>
  <c r="C15" i="5"/>
  <c r="E15" i="5" s="1"/>
  <c r="C12" i="5"/>
  <c r="C16" i="5"/>
  <c r="E16" i="5" s="1"/>
  <c r="C13" i="5"/>
  <c r="E13" i="5" s="1"/>
  <c r="B34" i="51"/>
  <c r="B30" i="51"/>
  <c r="E32" i="51"/>
  <c r="C29" i="51"/>
  <c r="H34" i="51"/>
  <c r="E31" i="51"/>
  <c r="H29" i="51"/>
  <c r="H28" i="51"/>
  <c r="C30" i="51"/>
  <c r="C36" i="51"/>
  <c r="G36" i="51" s="1"/>
  <c r="E27" i="51"/>
  <c r="B25" i="51"/>
  <c r="H33" i="51"/>
  <c r="C25" i="51"/>
  <c r="C31" i="51"/>
  <c r="E36" i="51"/>
  <c r="I36" i="51" s="1"/>
  <c r="E35" i="51"/>
  <c r="I35" i="51" s="1"/>
  <c r="B28" i="51"/>
  <c r="B33" i="51"/>
  <c r="E25" i="51"/>
  <c r="C28" i="51"/>
  <c r="C33" i="51"/>
  <c r="H30" i="51"/>
  <c r="B26" i="51"/>
  <c r="B31" i="51"/>
  <c r="B36" i="51"/>
  <c r="F36" i="51" s="1"/>
  <c r="E26" i="49"/>
  <c r="E30" i="49"/>
  <c r="E32" i="49"/>
  <c r="E33" i="49"/>
  <c r="B31" i="49"/>
  <c r="R11" i="54" s="1"/>
  <c r="B33" i="49"/>
  <c r="T11" i="54" s="1"/>
  <c r="B34" i="49"/>
  <c r="U11" i="54" s="1"/>
  <c r="U10" i="54" s="1"/>
  <c r="E24" i="49"/>
  <c r="F11" i="8" s="1"/>
  <c r="D24" i="49"/>
  <c r="E11" i="8" s="1"/>
  <c r="C24" i="49"/>
  <c r="D11" i="8" s="1"/>
  <c r="B24" i="49"/>
  <c r="C11" i="8" s="1"/>
  <c r="E23" i="49"/>
  <c r="F10" i="8" s="1"/>
  <c r="C23" i="49"/>
  <c r="D10" i="8" s="1"/>
  <c r="B23" i="49"/>
  <c r="D36" i="49"/>
  <c r="C36" i="49" s="1"/>
  <c r="G36" i="49" s="1"/>
  <c r="D35" i="49"/>
  <c r="H35" i="49" s="1"/>
  <c r="D34" i="49"/>
  <c r="D33" i="49"/>
  <c r="D32" i="49"/>
  <c r="D31" i="49"/>
  <c r="C31" i="49" s="1"/>
  <c r="D30" i="49"/>
  <c r="D29" i="49"/>
  <c r="D28" i="49"/>
  <c r="D27" i="49"/>
  <c r="D26" i="49"/>
  <c r="B26" i="49" s="1"/>
  <c r="D25" i="49"/>
  <c r="B25" i="49" s="1"/>
  <c r="L11" i="54" s="1"/>
  <c r="D18" i="49"/>
  <c r="D17" i="49"/>
  <c r="D16" i="49"/>
  <c r="D15" i="49"/>
  <c r="D14" i="49"/>
  <c r="D13" i="49"/>
  <c r="D12" i="49"/>
  <c r="D11" i="49"/>
  <c r="D10" i="49"/>
  <c r="D9" i="49"/>
  <c r="D8" i="49"/>
  <c r="D7" i="49"/>
  <c r="F26" i="49" l="1"/>
  <c r="M11" i="54"/>
  <c r="M10" i="54" s="1"/>
  <c r="C13" i="8"/>
  <c r="L13" i="54"/>
  <c r="L14" i="54"/>
  <c r="L15" i="54"/>
  <c r="L16" i="54"/>
  <c r="F26" i="51"/>
  <c r="C13" i="52"/>
  <c r="C29" i="49"/>
  <c r="E16" i="8"/>
  <c r="H29" i="49"/>
  <c r="G27" i="51"/>
  <c r="D14" i="52"/>
  <c r="C28" i="49"/>
  <c r="H28" i="49"/>
  <c r="E15" i="8"/>
  <c r="G28" i="51"/>
  <c r="D15" i="52"/>
  <c r="G32" i="51"/>
  <c r="D19" i="52"/>
  <c r="I25" i="51"/>
  <c r="F12" i="52"/>
  <c r="G29" i="51"/>
  <c r="D16" i="52"/>
  <c r="F31" i="51"/>
  <c r="C18" i="52"/>
  <c r="I31" i="51"/>
  <c r="F18" i="52"/>
  <c r="F33" i="51"/>
  <c r="C20" i="52"/>
  <c r="I32" i="51"/>
  <c r="F19" i="52"/>
  <c r="F32" i="51"/>
  <c r="C19" i="52"/>
  <c r="F27" i="51"/>
  <c r="C14" i="52"/>
  <c r="C27" i="49"/>
  <c r="E14" i="8"/>
  <c r="H27" i="49"/>
  <c r="G33" i="51"/>
  <c r="D20" i="52"/>
  <c r="E20" i="8"/>
  <c r="H33" i="49"/>
  <c r="H34" i="49"/>
  <c r="E21" i="8"/>
  <c r="B29" i="49"/>
  <c r="P11" i="54" s="1"/>
  <c r="P10" i="54" s="1"/>
  <c r="F28" i="51"/>
  <c r="C15" i="52"/>
  <c r="F30" i="51"/>
  <c r="C17" i="52"/>
  <c r="I33" i="51"/>
  <c r="F20" i="52"/>
  <c r="B28" i="49"/>
  <c r="O11" i="54" s="1"/>
  <c r="F34" i="51"/>
  <c r="C21" i="52"/>
  <c r="C35" i="49"/>
  <c r="G35" i="49" s="1"/>
  <c r="E19" i="8"/>
  <c r="H32" i="49"/>
  <c r="E27" i="49"/>
  <c r="F14" i="8" s="1"/>
  <c r="E35" i="49"/>
  <c r="I35" i="49" s="1"/>
  <c r="C34" i="49"/>
  <c r="I30" i="51"/>
  <c r="F17" i="52"/>
  <c r="E28" i="49"/>
  <c r="H36" i="49"/>
  <c r="E36" i="49"/>
  <c r="I36" i="49" s="1"/>
  <c r="C10" i="8"/>
  <c r="J11" i="36"/>
  <c r="B27" i="49"/>
  <c r="N11" i="54" s="1"/>
  <c r="N10" i="54" s="1"/>
  <c r="G31" i="51"/>
  <c r="D18" i="52"/>
  <c r="B32" i="49"/>
  <c r="I34" i="51"/>
  <c r="F21" i="52"/>
  <c r="G30" i="51"/>
  <c r="D17" i="52"/>
  <c r="E17" i="8"/>
  <c r="H30" i="49"/>
  <c r="E18" i="8"/>
  <c r="H31" i="49"/>
  <c r="C33" i="49"/>
  <c r="G25" i="51"/>
  <c r="D12" i="52"/>
  <c r="G26" i="51"/>
  <c r="D13" i="52"/>
  <c r="B36" i="49"/>
  <c r="F18" i="8"/>
  <c r="C32" i="49"/>
  <c r="F25" i="51"/>
  <c r="C12" i="52"/>
  <c r="I29" i="51"/>
  <c r="F16" i="52"/>
  <c r="B30" i="49"/>
  <c r="Q11" i="54" s="1"/>
  <c r="Q10" i="54" s="1"/>
  <c r="C25" i="49"/>
  <c r="E25" i="49"/>
  <c r="E12" i="8"/>
  <c r="H25" i="49"/>
  <c r="B35" i="49"/>
  <c r="C30" i="49"/>
  <c r="G30" i="49" s="1"/>
  <c r="I27" i="51"/>
  <c r="F14" i="52"/>
  <c r="I28" i="51"/>
  <c r="F15" i="52"/>
  <c r="E29" i="49"/>
  <c r="F16" i="8" s="1"/>
  <c r="C26" i="49"/>
  <c r="E13" i="8"/>
  <c r="H26" i="49"/>
  <c r="E34" i="49"/>
  <c r="F21" i="8" s="1"/>
  <c r="E12" i="5"/>
  <c r="D12" i="5"/>
  <c r="D13" i="5" s="1"/>
  <c r="D14" i="5" s="1"/>
  <c r="D15" i="5" s="1"/>
  <c r="D16" i="5" s="1"/>
  <c r="D17" i="5" s="1"/>
  <c r="D18" i="5" s="1"/>
  <c r="D19" i="5" s="1"/>
  <c r="D20" i="5" s="1"/>
  <c r="D21" i="5" s="1"/>
  <c r="F17" i="8"/>
  <c r="I30" i="49"/>
  <c r="F19" i="8"/>
  <c r="I32" i="49"/>
  <c r="I26" i="49"/>
  <c r="F13" i="8"/>
  <c r="I33" i="49"/>
  <c r="F20" i="8"/>
  <c r="I28" i="49"/>
  <c r="F15" i="8"/>
  <c r="F25" i="49"/>
  <c r="C12" i="8"/>
  <c r="D21" i="8"/>
  <c r="G34" i="49"/>
  <c r="I34" i="49"/>
  <c r="D17" i="8"/>
  <c r="C21" i="8"/>
  <c r="F34" i="49"/>
  <c r="F28" i="49"/>
  <c r="C15" i="8"/>
  <c r="F33" i="49"/>
  <c r="C20" i="8"/>
  <c r="F27" i="49"/>
  <c r="C14" i="8"/>
  <c r="F31" i="49"/>
  <c r="C18" i="8"/>
  <c r="G31" i="49"/>
  <c r="D18" i="8"/>
  <c r="G28" i="49" l="1"/>
  <c r="D15" i="8"/>
  <c r="G26" i="49"/>
  <c r="D13" i="8"/>
  <c r="S11" i="54"/>
  <c r="F32" i="49"/>
  <c r="C19" i="8"/>
  <c r="R10" i="54"/>
  <c r="D16" i="8"/>
  <c r="G29" i="49"/>
  <c r="G32" i="49"/>
  <c r="D19" i="8"/>
  <c r="F36" i="49"/>
  <c r="J21" i="3" s="1"/>
  <c r="W11" i="54"/>
  <c r="J24" i="36"/>
  <c r="L41" i="54"/>
  <c r="M16" i="54"/>
  <c r="O10" i="54"/>
  <c r="G27" i="49"/>
  <c r="D14" i="8"/>
  <c r="L40" i="54"/>
  <c r="M15" i="54"/>
  <c r="N15" i="54" s="1"/>
  <c r="O15" i="54" s="1"/>
  <c r="P15" i="54" s="1"/>
  <c r="Q15" i="54" s="1"/>
  <c r="R15" i="54" s="1"/>
  <c r="S15" i="54" s="1"/>
  <c r="T15" i="54" s="1"/>
  <c r="U15" i="54" s="1"/>
  <c r="V15" i="54" s="1"/>
  <c r="W15" i="54" s="1"/>
  <c r="X15" i="54" s="1"/>
  <c r="L39" i="54"/>
  <c r="M14" i="54"/>
  <c r="I27" i="49"/>
  <c r="C16" i="8"/>
  <c r="L17" i="54"/>
  <c r="L38" i="54"/>
  <c r="M13" i="54"/>
  <c r="F29" i="49"/>
  <c r="F35" i="49"/>
  <c r="V11" i="54"/>
  <c r="V10" i="54" s="1"/>
  <c r="F30" i="49"/>
  <c r="G33" i="49"/>
  <c r="D20" i="8"/>
  <c r="C17" i="8"/>
  <c r="F12" i="8"/>
  <c r="I25" i="49"/>
  <c r="I29" i="49"/>
  <c r="G25" i="49"/>
  <c r="D12" i="8"/>
  <c r="D5" i="49"/>
  <c r="D6" i="49"/>
  <c r="A2" i="48"/>
  <c r="A2" i="47"/>
  <c r="C2" i="46"/>
  <c r="Q71" i="46"/>
  <c r="P71" i="46"/>
  <c r="B2" i="45"/>
  <c r="B2" i="19"/>
  <c r="B2" i="18"/>
  <c r="B2" i="17"/>
  <c r="B2" i="8"/>
  <c r="B2" i="36"/>
  <c r="B2" i="5"/>
  <c r="B2" i="3"/>
  <c r="B6" i="19"/>
  <c r="C7" i="18"/>
  <c r="X10" i="54" l="1"/>
  <c r="W10" i="54"/>
  <c r="E6" i="49"/>
  <c r="F24" i="49"/>
  <c r="I24" i="49"/>
  <c r="H24" i="49"/>
  <c r="G24" i="49"/>
  <c r="M39" i="54"/>
  <c r="N14" i="54"/>
  <c r="L42" i="54"/>
  <c r="L50" i="54" s="1"/>
  <c r="L57" i="54" s="1"/>
  <c r="E5" i="49"/>
  <c r="F23" i="49"/>
  <c r="G23" i="49"/>
  <c r="H23" i="49"/>
  <c r="I23" i="49"/>
  <c r="S10" i="54"/>
  <c r="T10" i="54"/>
  <c r="N13" i="54"/>
  <c r="M17" i="54"/>
  <c r="M18" i="54" s="1"/>
  <c r="M40" i="54" s="1"/>
  <c r="M38" i="54"/>
  <c r="M41" i="54"/>
  <c r="N16" i="54"/>
  <c r="B12" i="2"/>
  <c r="B13" i="2"/>
  <c r="L47" i="54" l="1"/>
  <c r="N39" i="54"/>
  <c r="O14" i="54"/>
  <c r="M42" i="54"/>
  <c r="N38" i="54"/>
  <c r="O13" i="54"/>
  <c r="N17" i="54"/>
  <c r="N18" i="54" s="1"/>
  <c r="N40" i="54" s="1"/>
  <c r="L48" i="54"/>
  <c r="L43" i="54"/>
  <c r="N41" i="54"/>
  <c r="O16" i="54"/>
  <c r="L49" i="54"/>
  <c r="M49" i="54"/>
  <c r="B10" i="2"/>
  <c r="B11" i="2"/>
  <c r="B16" i="2"/>
  <c r="B17" i="2"/>
  <c r="B18" i="2"/>
  <c r="L56" i="54" l="1"/>
  <c r="L69" i="54"/>
  <c r="P13" i="54"/>
  <c r="O17" i="54"/>
  <c r="O18" i="54" s="1"/>
  <c r="O40" i="54" s="1"/>
  <c r="O38" i="54"/>
  <c r="M56" i="54"/>
  <c r="M62" i="54" s="1"/>
  <c r="N42" i="54"/>
  <c r="M47" i="54"/>
  <c r="M69" i="54" s="1"/>
  <c r="M43" i="54"/>
  <c r="O39" i="54"/>
  <c r="P14" i="54"/>
  <c r="N49" i="54"/>
  <c r="N48" i="54"/>
  <c r="O41" i="54"/>
  <c r="P16" i="54"/>
  <c r="L55" i="54"/>
  <c r="L68" i="54"/>
  <c r="M50" i="54"/>
  <c r="M57" i="54" s="1"/>
  <c r="M63" i="54" s="1"/>
  <c r="L67" i="54"/>
  <c r="L51" i="54"/>
  <c r="L54" i="54"/>
  <c r="L58" i="54" s="1"/>
  <c r="L59" i="54" s="1"/>
  <c r="M48" i="54"/>
  <c r="N55" i="54" l="1"/>
  <c r="O42" i="54"/>
  <c r="N56" i="54"/>
  <c r="N62" i="54" s="1"/>
  <c r="O49" i="54"/>
  <c r="O48" i="54"/>
  <c r="N47" i="54"/>
  <c r="N68" i="54" s="1"/>
  <c r="N43" i="54"/>
  <c r="M55" i="54"/>
  <c r="M61" i="54" s="1"/>
  <c r="M68" i="54"/>
  <c r="L70" i="54"/>
  <c r="P17" i="54"/>
  <c r="P18" i="54" s="1"/>
  <c r="P40" i="54" s="1"/>
  <c r="P38" i="54"/>
  <c r="Q13" i="54"/>
  <c r="M54" i="54"/>
  <c r="M67" i="54"/>
  <c r="M51" i="54"/>
  <c r="Q14" i="54"/>
  <c r="P39" i="54"/>
  <c r="N50" i="54"/>
  <c r="N57" i="54" s="1"/>
  <c r="N63" i="54" s="1"/>
  <c r="P41" i="54"/>
  <c r="Q16" i="54"/>
  <c r="R16" i="54" l="1"/>
  <c r="Q41" i="54"/>
  <c r="Q17" i="54"/>
  <c r="Q18" i="54" s="1"/>
  <c r="Q40" i="54" s="1"/>
  <c r="R13" i="54"/>
  <c r="Q38" i="54"/>
  <c r="O55" i="54"/>
  <c r="O61" i="54" s="1"/>
  <c r="O56" i="54"/>
  <c r="O62" i="54" s="1"/>
  <c r="O47" i="54"/>
  <c r="O69" i="54" s="1"/>
  <c r="O43" i="54"/>
  <c r="P42" i="54"/>
  <c r="P49" i="54" s="1"/>
  <c r="R14" i="54"/>
  <c r="Q39" i="54"/>
  <c r="N61" i="54"/>
  <c r="N54" i="54"/>
  <c r="N51" i="54"/>
  <c r="N67" i="54"/>
  <c r="N69" i="54"/>
  <c r="M70" i="54"/>
  <c r="M60" i="54"/>
  <c r="M58" i="54"/>
  <c r="M59" i="54" s="1"/>
  <c r="O50" i="54"/>
  <c r="O57" i="54" s="1"/>
  <c r="O63" i="54" s="1"/>
  <c r="P47" i="54" l="1"/>
  <c r="P43" i="54"/>
  <c r="O68" i="54"/>
  <c r="Q42" i="54"/>
  <c r="Q47" i="54"/>
  <c r="P50" i="54"/>
  <c r="P57" i="54" s="1"/>
  <c r="P63" i="54" s="1"/>
  <c r="R38" i="54"/>
  <c r="S13" i="54"/>
  <c r="R17" i="54"/>
  <c r="R18" i="54" s="1"/>
  <c r="R40" i="54" s="1"/>
  <c r="P69" i="54"/>
  <c r="P56" i="54"/>
  <c r="P62" i="54" s="1"/>
  <c r="N70" i="54"/>
  <c r="Q49" i="54"/>
  <c r="S14" i="54"/>
  <c r="R39" i="54"/>
  <c r="O54" i="54"/>
  <c r="O67" i="54"/>
  <c r="O51" i="54"/>
  <c r="P48" i="54"/>
  <c r="N60" i="54"/>
  <c r="N58" i="54"/>
  <c r="N59" i="54" s="1"/>
  <c r="S16" i="54"/>
  <c r="R41" i="54"/>
  <c r="T14" i="54" l="1"/>
  <c r="S39" i="54"/>
  <c r="S17" i="54"/>
  <c r="S18" i="54" s="1"/>
  <c r="S40" i="54" s="1"/>
  <c r="S38" i="54"/>
  <c r="T13" i="54"/>
  <c r="Q56" i="54"/>
  <c r="Q62" i="54" s="1"/>
  <c r="R42" i="54"/>
  <c r="R48" i="54" s="1"/>
  <c r="Q54" i="54"/>
  <c r="Q48" i="54"/>
  <c r="Q69" i="54" s="1"/>
  <c r="Q43" i="54"/>
  <c r="O60" i="54"/>
  <c r="O58" i="54"/>
  <c r="O59" i="54" s="1"/>
  <c r="S41" i="54"/>
  <c r="T16" i="54"/>
  <c r="Q50" i="54"/>
  <c r="Q57" i="54" s="1"/>
  <c r="Q63" i="54" s="1"/>
  <c r="P68" i="54"/>
  <c r="P55" i="54"/>
  <c r="P61" i="54" s="1"/>
  <c r="O70" i="54"/>
  <c r="P54" i="54"/>
  <c r="P67" i="54"/>
  <c r="P51" i="54"/>
  <c r="P70" i="54" l="1"/>
  <c r="R55" i="54"/>
  <c r="R49" i="54"/>
  <c r="Q67" i="54"/>
  <c r="R47" i="54"/>
  <c r="R43" i="54"/>
  <c r="R50" i="54"/>
  <c r="R57" i="54" s="1"/>
  <c r="R63" i="54" s="1"/>
  <c r="S49" i="54"/>
  <c r="Q55" i="54"/>
  <c r="Q61" i="54" s="1"/>
  <c r="Q68" i="54"/>
  <c r="Q51" i="54"/>
  <c r="Q60" i="54"/>
  <c r="Q58" i="54"/>
  <c r="Q59" i="54" s="1"/>
  <c r="P60" i="54"/>
  <c r="P58" i="54"/>
  <c r="P59" i="54" s="1"/>
  <c r="T38" i="54"/>
  <c r="T17" i="54"/>
  <c r="T18" i="54" s="1"/>
  <c r="T40" i="54" s="1"/>
  <c r="U13" i="54"/>
  <c r="S42" i="54"/>
  <c r="S47" i="54"/>
  <c r="U16" i="54"/>
  <c r="T41" i="54"/>
  <c r="S50" i="54"/>
  <c r="S57" i="54" s="1"/>
  <c r="S63" i="54" s="1"/>
  <c r="U14" i="54"/>
  <c r="T39" i="54"/>
  <c r="T42" i="54" l="1"/>
  <c r="T43" i="54" s="1"/>
  <c r="T47" i="54"/>
  <c r="T48" i="54"/>
  <c r="S54" i="54"/>
  <c r="R56" i="54"/>
  <c r="R62" i="54" s="1"/>
  <c r="R69" i="54"/>
  <c r="Q70" i="54"/>
  <c r="U17" i="54"/>
  <c r="U18" i="54" s="1"/>
  <c r="U40" i="54" s="1"/>
  <c r="U38" i="54"/>
  <c r="V13" i="54"/>
  <c r="R61" i="54"/>
  <c r="V14" i="54"/>
  <c r="U39" i="54"/>
  <c r="S69" i="54"/>
  <c r="S56" i="54"/>
  <c r="T50" i="54"/>
  <c r="T57" i="54" s="1"/>
  <c r="T63" i="54" s="1"/>
  <c r="V16" i="54"/>
  <c r="U41" i="54"/>
  <c r="R54" i="54"/>
  <c r="R67" i="54"/>
  <c r="R51" i="54"/>
  <c r="S48" i="54"/>
  <c r="S51" i="54" s="1"/>
  <c r="S43" i="54"/>
  <c r="T49" i="54"/>
  <c r="R68" i="54"/>
  <c r="W14" i="54" l="1"/>
  <c r="V39" i="54"/>
  <c r="U42" i="54"/>
  <c r="U43" i="54" s="1"/>
  <c r="U47" i="54"/>
  <c r="S67" i="54"/>
  <c r="U48" i="54"/>
  <c r="W16" i="54"/>
  <c r="V41" i="54"/>
  <c r="T55" i="54"/>
  <c r="T68" i="54"/>
  <c r="T56" i="54"/>
  <c r="T62" i="54" s="1"/>
  <c r="T69" i="54"/>
  <c r="S55" i="54"/>
  <c r="S61" i="54" s="1"/>
  <c r="S68" i="54"/>
  <c r="S70" i="54" s="1"/>
  <c r="R70" i="54"/>
  <c r="T67" i="54"/>
  <c r="T51" i="54"/>
  <c r="T54" i="54"/>
  <c r="W13" i="54"/>
  <c r="V38" i="54"/>
  <c r="V17" i="54"/>
  <c r="V18" i="54" s="1"/>
  <c r="V40" i="54" s="1"/>
  <c r="R60" i="54"/>
  <c r="R58" i="54"/>
  <c r="R59" i="54" s="1"/>
  <c r="S60" i="54"/>
  <c r="S62" i="54"/>
  <c r="T61" i="54" l="1"/>
  <c r="W41" i="54"/>
  <c r="X16" i="54"/>
  <c r="X41" i="54" s="1"/>
  <c r="V42" i="54"/>
  <c r="V43" i="54" s="1"/>
  <c r="V47" i="54"/>
  <c r="V48" i="54"/>
  <c r="S58" i="54"/>
  <c r="S59" i="54" s="1"/>
  <c r="U55" i="54"/>
  <c r="U61" i="54" s="1"/>
  <c r="U68" i="54"/>
  <c r="W39" i="54"/>
  <c r="X14" i="54"/>
  <c r="X39" i="54" s="1"/>
  <c r="V49" i="54"/>
  <c r="X13" i="54"/>
  <c r="W38" i="54"/>
  <c r="W17" i="54"/>
  <c r="W18" i="54" s="1"/>
  <c r="W40" i="54" s="1"/>
  <c r="U54" i="54"/>
  <c r="T60" i="54"/>
  <c r="T58" i="54"/>
  <c r="T59" i="54" s="1"/>
  <c r="T70" i="54"/>
  <c r="U50" i="54"/>
  <c r="U57" i="54" s="1"/>
  <c r="U63" i="54" s="1"/>
  <c r="U49" i="54"/>
  <c r="V56" i="54" l="1"/>
  <c r="V69" i="54"/>
  <c r="V55" i="54"/>
  <c r="V61" i="54" s="1"/>
  <c r="V68" i="54"/>
  <c r="W42" i="54"/>
  <c r="W43" i="54" s="1"/>
  <c r="W50" i="54"/>
  <c r="W57" i="54" s="1"/>
  <c r="W63" i="54" s="1"/>
  <c r="W49" i="54"/>
  <c r="U56" i="54"/>
  <c r="U62" i="54" s="1"/>
  <c r="U69" i="54"/>
  <c r="V54" i="54"/>
  <c r="V67" i="54"/>
  <c r="V70" i="54" s="1"/>
  <c r="V51" i="54"/>
  <c r="U51" i="54"/>
  <c r="X17" i="54"/>
  <c r="X18" i="54" s="1"/>
  <c r="X40" i="54" s="1"/>
  <c r="X38" i="54"/>
  <c r="U60" i="54"/>
  <c r="U67" i="54"/>
  <c r="V50" i="54"/>
  <c r="V57" i="54" s="1"/>
  <c r="V63" i="54" s="1"/>
  <c r="W47" i="54" l="1"/>
  <c r="W48" i="54"/>
  <c r="W69" i="54"/>
  <c r="E21" i="3" s="1"/>
  <c r="W56" i="54"/>
  <c r="W62" i="54" s="1"/>
  <c r="U70" i="54"/>
  <c r="V60" i="54"/>
  <c r="V58" i="54"/>
  <c r="V59" i="54" s="1"/>
  <c r="W55" i="54"/>
  <c r="W61" i="54" s="1"/>
  <c r="W68" i="54"/>
  <c r="D21" i="3" s="1"/>
  <c r="W67" i="54"/>
  <c r="W51" i="54"/>
  <c r="W54" i="54"/>
  <c r="U58" i="54"/>
  <c r="U59" i="54" s="1"/>
  <c r="X42" i="54"/>
  <c r="X49" i="54" s="1"/>
  <c r="X56" i="54" s="1"/>
  <c r="X62" i="54" s="1"/>
  <c r="V62" i="54"/>
  <c r="W70" i="54" l="1"/>
  <c r="C21" i="3"/>
  <c r="X47" i="54"/>
  <c r="X43" i="54"/>
  <c r="X48" i="54"/>
  <c r="X55" i="54" s="1"/>
  <c r="X61" i="54" s="1"/>
  <c r="X50" i="54"/>
  <c r="X57" i="54" s="1"/>
  <c r="X63" i="54" s="1"/>
  <c r="W58" i="54"/>
  <c r="W59" i="54" s="1"/>
  <c r="W60" i="54"/>
  <c r="X54" i="54" l="1"/>
  <c r="X51" i="54"/>
  <c r="X58" i="54" l="1"/>
  <c r="X59" i="54" s="1"/>
  <c r="X60" i="54"/>
</calcChain>
</file>

<file path=xl/comments1.xml><?xml version="1.0" encoding="utf-8"?>
<comments xmlns="http://schemas.openxmlformats.org/spreadsheetml/2006/main">
  <authors>
    <author>Eric Shum</author>
  </authors>
  <commentList>
    <comment ref="A1" authorId="0" shapeId="0">
      <text>
        <r>
          <rPr>
            <b/>
            <sz val="9"/>
            <color indexed="81"/>
            <rFont val="Tahoma"/>
            <family val="2"/>
          </rPr>
          <t>Eric Shum:</t>
        </r>
        <r>
          <rPr>
            <sz val="9"/>
            <color indexed="81"/>
            <rFont val="Tahoma"/>
            <family val="2"/>
          </rPr>
          <t xml:space="preserve">
Resources</t>
        </r>
      </text>
    </comment>
    <comment ref="A18" authorId="0" shapeId="0">
      <text>
        <r>
          <rPr>
            <b/>
            <sz val="9"/>
            <color indexed="81"/>
            <rFont val="Tahoma"/>
            <family val="2"/>
          </rPr>
          <t>Eric Shum:</t>
        </r>
        <r>
          <rPr>
            <sz val="9"/>
            <color indexed="81"/>
            <rFont val="Tahoma"/>
            <family val="2"/>
          </rPr>
          <t xml:space="preserve">
List is missing Form 3, but it is in the packet</t>
        </r>
      </text>
    </comment>
  </commentList>
</comments>
</file>

<file path=xl/comments10.xml><?xml version="1.0" encoding="utf-8"?>
<comments xmlns="http://schemas.openxmlformats.org/spreadsheetml/2006/main">
  <authors>
    <author>Eric Shum</author>
  </authors>
  <commentList>
    <comment ref="B1" authorId="0" shapeId="0">
      <text>
        <r>
          <rPr>
            <b/>
            <sz val="9"/>
            <color indexed="81"/>
            <rFont val="Tahoma"/>
            <family val="2"/>
          </rPr>
          <t>Eric Shum:</t>
        </r>
        <r>
          <rPr>
            <sz val="9"/>
            <color indexed="81"/>
            <rFont val="Tahoma"/>
            <family val="2"/>
          </rPr>
          <t xml:space="preserve">
Resources + Finance</t>
        </r>
      </text>
    </comment>
  </commentList>
</comments>
</file>

<file path=xl/comments11.xml><?xml version="1.0" encoding="utf-8"?>
<comments xmlns="http://schemas.openxmlformats.org/spreadsheetml/2006/main">
  <authors>
    <author>Eric Shum</author>
  </authors>
  <commentList>
    <comment ref="B1" authorId="0" shapeId="0">
      <text>
        <r>
          <rPr>
            <b/>
            <sz val="9"/>
            <color indexed="81"/>
            <rFont val="Tahoma"/>
            <family val="2"/>
          </rPr>
          <t>Eric Shum:</t>
        </r>
        <r>
          <rPr>
            <sz val="9"/>
            <color indexed="81"/>
            <rFont val="Tahoma"/>
            <family val="2"/>
          </rPr>
          <t xml:space="preserve">
Resources + Customer Engagement + Engineering</t>
        </r>
      </text>
    </comment>
    <comment ref="C32" authorId="0" shapeId="0">
      <text>
        <r>
          <rPr>
            <b/>
            <sz val="9"/>
            <color indexed="81"/>
            <rFont val="Tahoma"/>
            <family val="2"/>
          </rPr>
          <t>Eric Shum:</t>
        </r>
        <r>
          <rPr>
            <sz val="9"/>
            <color indexed="81"/>
            <rFont val="Tahoma"/>
            <family val="2"/>
          </rPr>
          <t xml:space="preserve">
EE/DSM impacts are </t>
        </r>
        <r>
          <rPr>
            <b/>
            <u/>
            <sz val="9"/>
            <color indexed="81"/>
            <rFont val="Tahoma"/>
            <family val="2"/>
          </rPr>
          <t>not</t>
        </r>
        <r>
          <rPr>
            <sz val="9"/>
            <color indexed="81"/>
            <rFont val="Tahoma"/>
            <family val="2"/>
          </rPr>
          <t xml:space="preserve"> included in the load and energy to serve load forecasts in this submittal as the potential study results were not published until Q1/Q2 of 2021 after load forecast updates for 20-IEPR-03 were completed. 
These data are listed here for CEC staff informational purposes as they will be included in SVP's CY2022 load forecast update. 
The "Other" category represents Data-Center specific potential. 
Overall programmatic impacts are ratio'd across customer groups by projected sector-level impacts. 
Normalizing units vary by program. Reported impacts are total net annual incremental market potential for all programs forecasted through SVP's CY2021 published Energy Efficiency/Demand Side Management (EE/DSM) impacts, and forward EE/DSM potential study results pursuant to SB1037. The current study horizon is 2022-2031 so we do not include impacts for 2032-2034 in this dataset. </t>
        </r>
      </text>
    </comment>
  </commentList>
</comments>
</file>

<file path=xl/comments12.xml><?xml version="1.0" encoding="utf-8"?>
<comments xmlns="http://schemas.openxmlformats.org/spreadsheetml/2006/main">
  <authors>
    <author>Eric Shum</author>
  </authors>
  <commentList>
    <comment ref="A1" authorId="0" shapeId="0">
      <text>
        <r>
          <rPr>
            <b/>
            <sz val="9"/>
            <color indexed="81"/>
            <rFont val="Tahoma"/>
            <family val="2"/>
          </rPr>
          <t>Eric Shum:</t>
        </r>
        <r>
          <rPr>
            <sz val="9"/>
            <color indexed="81"/>
            <rFont val="Tahoma"/>
            <family val="2"/>
          </rPr>
          <t xml:space="preserve">
Resources + Engineering</t>
        </r>
      </text>
    </comment>
  </commentList>
</comments>
</file>

<file path=xl/comments13.xml><?xml version="1.0" encoding="utf-8"?>
<comments xmlns="http://schemas.openxmlformats.org/spreadsheetml/2006/main">
  <authors>
    <author>Eric Shum</author>
    <author>Robert Valentukonis</author>
  </authors>
  <commentList>
    <comment ref="C1" authorId="0" shapeId="0">
      <text>
        <r>
          <rPr>
            <b/>
            <sz val="9"/>
            <color indexed="81"/>
            <rFont val="Tahoma"/>
            <family val="2"/>
          </rPr>
          <t>Eric Shum:</t>
        </r>
        <r>
          <rPr>
            <sz val="9"/>
            <color indexed="81"/>
            <rFont val="Tahoma"/>
            <family val="2"/>
          </rPr>
          <t xml:space="preserve">
Resources + Finance + Customer Engagement</t>
        </r>
      </text>
    </comment>
    <comment ref="E46" authorId="1" shapeId="0">
      <text>
        <r>
          <rPr>
            <b/>
            <sz val="9"/>
            <color indexed="81"/>
            <rFont val="Tahoma"/>
            <family val="2"/>
          </rPr>
          <t>Robert Valentukonis:</t>
        </r>
        <r>
          <rPr>
            <sz val="9"/>
            <color indexed="81"/>
            <rFont val="Tahoma"/>
            <family val="2"/>
          </rPr>
          <t xml:space="preserve">
Plug for FY 2021/22</t>
        </r>
      </text>
    </comment>
    <comment ref="E47" authorId="1" shapeId="0">
      <text>
        <r>
          <rPr>
            <b/>
            <sz val="9"/>
            <color indexed="81"/>
            <rFont val="Tahoma"/>
            <family val="2"/>
          </rPr>
          <t>Robert Valentukonis:</t>
        </r>
        <r>
          <rPr>
            <sz val="9"/>
            <color indexed="81"/>
            <rFont val="Tahoma"/>
            <family val="2"/>
          </rPr>
          <t xml:space="preserve">
Purchases - Sales</t>
        </r>
      </text>
    </comment>
  </commentList>
</comments>
</file>

<file path=xl/comments14.xml><?xml version="1.0" encoding="utf-8"?>
<comments xmlns="http://schemas.openxmlformats.org/spreadsheetml/2006/main">
  <authors>
    <author>Eric Shum</author>
  </authors>
  <commentList>
    <comment ref="A1" authorId="0" shapeId="0">
      <text>
        <r>
          <rPr>
            <b/>
            <sz val="9"/>
            <color indexed="81"/>
            <rFont val="Tahoma"/>
            <family val="2"/>
          </rPr>
          <t>Eric Shum:</t>
        </r>
        <r>
          <rPr>
            <sz val="9"/>
            <color indexed="81"/>
            <rFont val="Tahoma"/>
            <family val="2"/>
          </rPr>
          <t xml:space="preserve">
Finance + Back Office</t>
        </r>
      </text>
    </comment>
  </commentList>
</comments>
</file>

<file path=xl/comments2.xml><?xml version="1.0" encoding="utf-8"?>
<comments xmlns="http://schemas.openxmlformats.org/spreadsheetml/2006/main">
  <authors>
    <author>Eric Shum</author>
    <author>Hope Lee</author>
    <author>Robert Valentukonis</author>
  </authors>
  <commentList>
    <comment ref="B1" authorId="0" shapeId="0">
      <text>
        <r>
          <rPr>
            <b/>
            <sz val="9"/>
            <color indexed="81"/>
            <rFont val="Tahoma"/>
            <family val="2"/>
          </rPr>
          <t>Eric Shum:</t>
        </r>
        <r>
          <rPr>
            <sz val="9"/>
            <color indexed="81"/>
            <rFont val="Tahoma"/>
            <family val="2"/>
          </rPr>
          <t xml:space="preserve">
Resources + Finance</t>
        </r>
      </text>
    </comment>
    <comment ref="U29" authorId="1" shapeId="0">
      <text>
        <r>
          <rPr>
            <b/>
            <sz val="9"/>
            <color indexed="81"/>
            <rFont val="Tahoma"/>
            <family val="2"/>
          </rPr>
          <t>Hope Lee:</t>
        </r>
        <r>
          <rPr>
            <sz val="9"/>
            <color indexed="81"/>
            <rFont val="Tahoma"/>
            <family val="2"/>
          </rPr>
          <t xml:space="preserve">
FY 18-19 Report</t>
        </r>
      </text>
    </comment>
    <comment ref="U30" authorId="1" shapeId="0">
      <text>
        <r>
          <rPr>
            <b/>
            <sz val="9"/>
            <color indexed="81"/>
            <rFont val="Tahoma"/>
            <family val="2"/>
          </rPr>
          <t>Hope Lee:</t>
        </r>
        <r>
          <rPr>
            <sz val="9"/>
            <color indexed="81"/>
            <rFont val="Tahoma"/>
            <family val="2"/>
          </rPr>
          <t xml:space="preserve">
FY 19-20 Report</t>
        </r>
      </text>
    </comment>
    <comment ref="U31" authorId="1" shapeId="0">
      <text>
        <r>
          <rPr>
            <b/>
            <sz val="9"/>
            <color indexed="81"/>
            <rFont val="Tahoma"/>
            <family val="2"/>
          </rPr>
          <t>Hope Lee:</t>
        </r>
        <r>
          <rPr>
            <sz val="9"/>
            <color indexed="81"/>
            <rFont val="Tahoma"/>
            <family val="2"/>
          </rPr>
          <t xml:space="preserve">
Estimated
</t>
        </r>
      </text>
    </comment>
    <comment ref="U32" authorId="2" shapeId="0">
      <text>
        <r>
          <rPr>
            <b/>
            <sz val="9"/>
            <color indexed="81"/>
            <rFont val="Tahoma"/>
            <family val="2"/>
          </rPr>
          <t>Robert Valentukonis:</t>
        </r>
        <r>
          <rPr>
            <sz val="9"/>
            <color indexed="81"/>
            <rFont val="Tahoma"/>
            <family val="2"/>
          </rPr>
          <t xml:space="preserve">
FY 2021-22 Report</t>
        </r>
      </text>
    </comment>
    <comment ref="U33" authorId="2" shapeId="0">
      <text>
        <r>
          <rPr>
            <b/>
            <sz val="9"/>
            <color indexed="81"/>
            <rFont val="Tahoma"/>
            <family val="2"/>
          </rPr>
          <t>Robert Valentukonis:</t>
        </r>
        <r>
          <rPr>
            <sz val="9"/>
            <color indexed="81"/>
            <rFont val="Tahoma"/>
            <family val="2"/>
          </rPr>
          <t xml:space="preserve">
Estimated</t>
        </r>
      </text>
    </comment>
  </commentList>
</comments>
</file>

<file path=xl/comments3.xml><?xml version="1.0" encoding="utf-8"?>
<comments xmlns="http://schemas.openxmlformats.org/spreadsheetml/2006/main">
  <authors>
    <author>Eric Shum</author>
    <author>tc={A98DCF4D-51D5-4B82-BC1F-6ECEC60CF71D}</author>
  </authors>
  <commentList>
    <comment ref="B1" authorId="0" shapeId="0">
      <text>
        <r>
          <rPr>
            <b/>
            <sz val="9"/>
            <color indexed="81"/>
            <rFont val="Tahoma"/>
            <family val="2"/>
          </rPr>
          <t>Eric Shum:</t>
        </r>
        <r>
          <rPr>
            <sz val="9"/>
            <color indexed="81"/>
            <rFont val="Tahoma"/>
            <family val="2"/>
          </rPr>
          <t xml:space="preserve">
Resources + Finance</t>
        </r>
      </text>
    </comment>
    <comment ref="B5" authorId="1" shapeId="0">
      <text>
        <r>
          <rPr>
            <sz val="8"/>
            <rFont val="Arial"/>
          </rPr>
          <t>[Threaded comment]
Your version of Excel allows you to read this threaded comment; however, any edits to it will get removed if the file is opened in a newer version of Excel. Learn more: https://go.microsoft.com/fwlink/?linkid=870924
Comment:
    THis sheet had two less years than 1.1b</t>
        </r>
      </text>
    </comment>
  </commentList>
</comments>
</file>

<file path=xl/comments4.xml><?xml version="1.0" encoding="utf-8"?>
<comments xmlns="http://schemas.openxmlformats.org/spreadsheetml/2006/main">
  <authors>
    <author>Eric Shum</author>
  </authors>
  <commentList>
    <comment ref="B1" authorId="0" shapeId="0">
      <text>
        <r>
          <rPr>
            <b/>
            <sz val="9"/>
            <color indexed="81"/>
            <rFont val="Tahoma"/>
            <family val="2"/>
          </rPr>
          <t>Eric Shum:</t>
        </r>
        <r>
          <rPr>
            <sz val="9"/>
            <color indexed="81"/>
            <rFont val="Tahoma"/>
            <family val="2"/>
          </rPr>
          <t xml:space="preserve">
Resources + Finance + Engineering</t>
        </r>
      </text>
    </comment>
  </commentList>
</comments>
</file>

<file path=xl/comments5.xml><?xml version="1.0" encoding="utf-8"?>
<comments xmlns="http://schemas.openxmlformats.org/spreadsheetml/2006/main">
  <authors>
    <author>Eric Shum</author>
  </authors>
  <commentList>
    <comment ref="B1" authorId="0" shapeId="0">
      <text>
        <r>
          <rPr>
            <b/>
            <sz val="9"/>
            <color indexed="81"/>
            <rFont val="Tahoma"/>
            <family val="2"/>
          </rPr>
          <t>Eric Shum:</t>
        </r>
        <r>
          <rPr>
            <sz val="9"/>
            <color indexed="81"/>
            <rFont val="Tahoma"/>
            <family val="2"/>
          </rPr>
          <t xml:space="preserve">
Engineering + Resources</t>
        </r>
      </text>
    </comment>
  </commentList>
</comments>
</file>

<file path=xl/comments6.xml><?xml version="1.0" encoding="utf-8"?>
<comments xmlns="http://schemas.openxmlformats.org/spreadsheetml/2006/main">
  <authors>
    <author>Eric Shum</author>
  </authors>
  <commentList>
    <comment ref="B1" authorId="0" shapeId="0">
      <text>
        <r>
          <rPr>
            <b/>
            <sz val="9"/>
            <color indexed="81"/>
            <rFont val="Tahoma"/>
            <family val="2"/>
          </rPr>
          <t>Eric Shum:</t>
        </r>
        <r>
          <rPr>
            <sz val="9"/>
            <color indexed="81"/>
            <rFont val="Tahoma"/>
            <family val="2"/>
          </rPr>
          <t xml:space="preserve">
Engineering + Resources</t>
        </r>
      </text>
    </comment>
  </commentList>
</comments>
</file>

<file path=xl/comments7.xml><?xml version="1.0" encoding="utf-8"?>
<comments xmlns="http://schemas.openxmlformats.org/spreadsheetml/2006/main">
  <authors>
    <author>Eric Shum</author>
  </authors>
  <commentList>
    <comment ref="A1" authorId="0" shapeId="0">
      <text>
        <r>
          <rPr>
            <b/>
            <sz val="9"/>
            <color indexed="81"/>
            <rFont val="Tahoma"/>
            <family val="2"/>
          </rPr>
          <t>Eric Shum:</t>
        </r>
        <r>
          <rPr>
            <sz val="9"/>
            <color indexed="81"/>
            <rFont val="Tahoma"/>
            <family val="2"/>
          </rPr>
          <t xml:space="preserve">
Resources</t>
        </r>
      </text>
    </comment>
  </commentList>
</comments>
</file>

<file path=xl/comments8.xml><?xml version="1.0" encoding="utf-8"?>
<comments xmlns="http://schemas.openxmlformats.org/spreadsheetml/2006/main">
  <authors>
    <author>Eric Shum</author>
  </authors>
  <commentList>
    <comment ref="B1" authorId="0" shapeId="0">
      <text>
        <r>
          <rPr>
            <b/>
            <sz val="9"/>
            <color indexed="81"/>
            <rFont val="Tahoma"/>
            <family val="2"/>
          </rPr>
          <t>Eric Shum:</t>
        </r>
        <r>
          <rPr>
            <sz val="9"/>
            <color indexed="81"/>
            <rFont val="Tahoma"/>
            <family val="2"/>
          </rPr>
          <t xml:space="preserve">
Resources + Back Office + Finance (if we want it filled out)</t>
        </r>
      </text>
    </comment>
  </commentList>
</comments>
</file>

<file path=xl/comments9.xml><?xml version="1.0" encoding="utf-8"?>
<comments xmlns="http://schemas.openxmlformats.org/spreadsheetml/2006/main">
  <authors>
    <author>Eric Shum</author>
  </authors>
  <commentList>
    <comment ref="B1" authorId="0" shapeId="0">
      <text>
        <r>
          <rPr>
            <b/>
            <sz val="9"/>
            <color indexed="81"/>
            <rFont val="Tahoma"/>
            <family val="2"/>
          </rPr>
          <t>Eric Shum:</t>
        </r>
        <r>
          <rPr>
            <sz val="9"/>
            <color indexed="81"/>
            <rFont val="Tahoma"/>
            <family val="2"/>
          </rPr>
          <t xml:space="preserve">
Back Office + Finance</t>
        </r>
      </text>
    </comment>
  </commentList>
</comments>
</file>

<file path=xl/sharedStrings.xml><?xml version="1.0" encoding="utf-8"?>
<sst xmlns="http://schemas.openxmlformats.org/spreadsheetml/2006/main" count="692" uniqueCount="303">
  <si>
    <t>Electricity Demand Forecast Forms</t>
  </si>
  <si>
    <t>California Energy Commission</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</si>
  <si>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</si>
  <si>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</si>
  <si>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</si>
  <si>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</si>
  <si>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</si>
  <si>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</si>
  <si>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</si>
  <si>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Please Enter the Following Information:</t>
  </si>
  <si>
    <t>Publicly Owned Utility Name:</t>
  </si>
  <si>
    <t>Utility Name</t>
  </si>
  <si>
    <t>Date Submitted:</t>
  </si>
  <si>
    <t>Contact Information:</t>
  </si>
  <si>
    <t>First and Last Name, Title</t>
  </si>
  <si>
    <t>Address</t>
  </si>
  <si>
    <t>Telephone</t>
  </si>
  <si>
    <t>Email</t>
  </si>
  <si>
    <t>POU</t>
  </si>
  <si>
    <t>Form 1.1b</t>
  </si>
  <si>
    <t>X</t>
  </si>
  <si>
    <t>Form 1.2</t>
  </si>
  <si>
    <t>Form 1.3</t>
  </si>
  <si>
    <t>Form 1.5</t>
  </si>
  <si>
    <t>Form 1.6a</t>
  </si>
  <si>
    <t>RECORDED LSE HOURLY  LOADS FOR 2019, 2020 and Forecast Loads for 2022</t>
  </si>
  <si>
    <t>Form 1.8</t>
  </si>
  <si>
    <t>PHOTOVOLTAIC INTERCONNECTION DATA</t>
  </si>
  <si>
    <t>Form 2.1</t>
  </si>
  <si>
    <t>Form 2.2</t>
  </si>
  <si>
    <t>Form 2.3</t>
  </si>
  <si>
    <t>Form 4</t>
  </si>
  <si>
    <t>DEMAND FORCAST METHODS AND MODELS</t>
  </si>
  <si>
    <t>Form 8.1a</t>
  </si>
  <si>
    <t>BUDGET APPROPRIATIONS OR ACTUAL COSTS AND COST PROJECTIONS BY MAJOR EXPENSE CATEGORY</t>
  </si>
  <si>
    <t>Form 8.1b (Bundled)</t>
  </si>
  <si>
    <t>REVENUE REQUIREMENTS BY BUNDLED CUSTOMER CLASS</t>
  </si>
  <si>
    <t>FORM 1.1b</t>
  </si>
  <si>
    <t>RETAIL SALES OF ELECTRICITY BY CLASS OR SECTOR (GWh)</t>
  </si>
  <si>
    <t>(Modify the categories below as needed to be consistent with forecast method)</t>
  </si>
  <si>
    <t>YEAR</t>
  </si>
  <si>
    <t>RESIDENTIAL</t>
  </si>
  <si>
    <t>COMMERCIAL</t>
  </si>
  <si>
    <t>INDUSTRIAL</t>
  </si>
  <si>
    <t>WATER PUMPING</t>
  </si>
  <si>
    <t>TCU</t>
  </si>
  <si>
    <t>TOTAL</t>
  </si>
  <si>
    <t>FORM 1.2</t>
  </si>
  <si>
    <t>TOTAL ENERGY TO SERVE LOAD (GWh)</t>
  </si>
  <si>
    <t>TOTAL SALES
(from 1.1)</t>
  </si>
  <si>
    <t>LOSSES</t>
  </si>
  <si>
    <t>TOTAL ENERGY TO SERVE LOAD</t>
  </si>
  <si>
    <t>FORM 1.3</t>
  </si>
  <si>
    <t>LSE COINCIDENT PEAK DEMAND BY SECTOR</t>
  </si>
  <si>
    <t>(Report as MW)</t>
  </si>
  <si>
    <t>(Modify categories below to be consistent with sectors reported on Form 1.1)</t>
  </si>
  <si>
    <t>TCU &amp; STREETLIGHTING</t>
  </si>
  <si>
    <t>FORM 1.5</t>
  </si>
  <si>
    <t>PEAK DEMAND WEATHER SCENARIOS</t>
  </si>
  <si>
    <t>(Report distribution area peak demand as MW)</t>
  </si>
  <si>
    <t>(Report all available cases)</t>
  </si>
  <si>
    <t>UTILITY SYSTEM ENERGY REQUIREMENTS</t>
  </si>
  <si>
    <t>1-in-2 Temperatures</t>
  </si>
  <si>
    <t>1-in-5 Temperatures</t>
  </si>
  <si>
    <t>1-in-10 Temperatures</t>
  </si>
  <si>
    <t>1-in-20 Temperatures</t>
  </si>
  <si>
    <t xml:space="preserve">FORM 1.6a </t>
  </si>
  <si>
    <t>This form is to be filled for each LSE in each control area and  TAC area (for loads in the CAISO) in which they serve load.</t>
  </si>
  <si>
    <t xml:space="preserve">Begin each with the hour that ended at 1 a.m. on January 1.  </t>
  </si>
  <si>
    <t xml:space="preserve">The time basis should be Pacific Standard Time (PST) throughout the entire year. </t>
  </si>
  <si>
    <t xml:space="preserve">Identify the  Transmission Access Charge (TAC) Area (for load in the CAISO), or the control area in which the load is located. </t>
  </si>
  <si>
    <t>LSE Name:</t>
  </si>
  <si>
    <t>SCID:</t>
  </si>
  <si>
    <t>Balancing Authority Area / TAC AREA:</t>
  </si>
  <si>
    <t>Date (PST)</t>
  </si>
  <si>
    <t>Hour (PST)</t>
  </si>
  <si>
    <t>Customer Load</t>
  </si>
  <si>
    <t>Losses</t>
  </si>
  <si>
    <t>Total System Load</t>
  </si>
  <si>
    <t>Estimated Interruptible &amp; Demand Response (History only)</t>
  </si>
  <si>
    <t>Estimated Outages (History only)</t>
  </si>
  <si>
    <t>Distribution Service Area (Net Internal) Load</t>
  </si>
  <si>
    <t>FORM 2.1</t>
  </si>
  <si>
    <t>ECONOMIC AND DEMOGRAPHIC ASSUMPTIONS</t>
  </si>
  <si>
    <t>(Projections for Service Area)</t>
  </si>
  <si>
    <t>(Modify categories below as needed to report actual drivers used for forecast)</t>
  </si>
  <si>
    <t>GDP DEFLATOR SERIES USED (define if applicable)</t>
  </si>
  <si>
    <t>POPULATION (1,000s)</t>
  </si>
  <si>
    <t>HOUSEHOLDS</t>
  </si>
  <si>
    <t>GSP                 (Millions 2013$)</t>
  </si>
  <si>
    <t>TOTAL NON-
AGRICULTURAL EMPLOYMENT (1,000s)</t>
  </si>
  <si>
    <t>PERSONAL INCOME</t>
  </si>
  <si>
    <t>TAXABLE SALES</t>
  </si>
  <si>
    <t>FLOORSPACE (MM SQFT)</t>
  </si>
  <si>
    <t>FORM 2.2</t>
  </si>
  <si>
    <t>ELECTRICITY RATE FORECAST</t>
  </si>
  <si>
    <t>(Real or Nominal cents/kWh)</t>
  </si>
  <si>
    <t>DEFLATOR SERIES USED (define if applicable)</t>
  </si>
  <si>
    <t>Residential</t>
  </si>
  <si>
    <t>Commercial</t>
  </si>
  <si>
    <t>Industrial</t>
  </si>
  <si>
    <t>Agricultural</t>
  </si>
  <si>
    <t>Water Pumping</t>
  </si>
  <si>
    <t>Street Lighting</t>
  </si>
  <si>
    <t>FORM 2.3</t>
  </si>
  <si>
    <t>CUSTOMER COUNT &amp; OTHER FORECASTING INPUTS</t>
  </si>
  <si>
    <t>CUSTOMER COUNT</t>
  </si>
  <si>
    <t>OTHER INPUTS</t>
  </si>
  <si>
    <t>FORM 3</t>
  </si>
  <si>
    <t>INCREMENTAL DEMAND MODIFIER IMPACTS</t>
  </si>
  <si>
    <t>INSTALLATIONS (Specify Units)</t>
  </si>
  <si>
    <t>ENERGY (MWh)</t>
  </si>
  <si>
    <t xml:space="preserve"> PEAK DEMAND IMPACT - Coincident with LSE Annual Peak (MW)</t>
  </si>
  <si>
    <t>Program Category</t>
  </si>
  <si>
    <t>Technology Type</t>
  </si>
  <si>
    <t>Year</t>
  </si>
  <si>
    <t>Other</t>
  </si>
  <si>
    <t>PV</t>
  </si>
  <si>
    <t>Battery Storage</t>
  </si>
  <si>
    <t>Energy Efficiency</t>
  </si>
  <si>
    <t>Light-Duty Evs</t>
  </si>
  <si>
    <t>Medium/Heavy Evs</t>
  </si>
  <si>
    <t>Load-Modifying DR</t>
  </si>
  <si>
    <t>Building Electrification</t>
  </si>
  <si>
    <t>FORM 4</t>
  </si>
  <si>
    <t>Form 8.1a (POU)</t>
  </si>
  <si>
    <t>Budget Appropriations or Actual Costs and Cost Projections by Major Expense Category</t>
  </si>
  <si>
    <t>(report in nominal dollars, thousands)</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</si>
  <si>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</si>
  <si>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</si>
  <si>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</si>
  <si>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</si>
  <si>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</si>
  <si>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</si>
  <si>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</si>
  <si>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</si>
  <si>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</si>
  <si>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Average Natural Gas Price $/MMBtu</t>
  </si>
  <si>
    <t>Average Carbon Allowance Price $/MTCO2E</t>
  </si>
  <si>
    <t>Coal:</t>
  </si>
  <si>
    <t>Coal Price Forecast $/MMBtu</t>
  </si>
  <si>
    <t>Generation from Renewable Resources:</t>
  </si>
  <si>
    <t>Power Purchases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</si>
  <si>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</si>
  <si>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</si>
  <si>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</si>
  <si>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</si>
  <si>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</si>
  <si>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</si>
  <si>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</si>
  <si>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</si>
  <si>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</si>
  <si>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</si>
  <si>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</si>
  <si>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</si>
  <si>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Surplus Power Sales Revenue (-)</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</si>
  <si>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</si>
  <si>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</si>
  <si>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</si>
  <si>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</si>
  <si>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</si>
  <si>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</si>
  <si>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</si>
  <si>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</si>
  <si>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</si>
  <si>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</si>
  <si>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Transportation or building electrification</t>
  </si>
  <si>
    <t>Battery storage / distributed resources</t>
  </si>
  <si>
    <t>All other public benefit programs</t>
  </si>
  <si>
    <t>OPERATING EXPENSES NOT ALREADY REPORTED</t>
  </si>
  <si>
    <t>CAPITAL IMPROVEMENT PROJECTS:</t>
  </si>
  <si>
    <t>GENERATION PLANT</t>
  </si>
  <si>
    <t>TRANSMISSION PLANT</t>
  </si>
  <si>
    <t>DISTRIBUTION PLANT</t>
  </si>
  <si>
    <t>ALL OTHER CAPITAL IMPROVEMENT PROJECTS</t>
  </si>
  <si>
    <t>DEBT SERVICE</t>
  </si>
  <si>
    <t xml:space="preserve">RESERVE FUND CONTRIBUTIONS </t>
  </si>
  <si>
    <t xml:space="preserve">TRANSFERS TO CITY GENERAL FUND, PAYMENTS IN LIEU OF TAXES, &amp; OTHER FEES  </t>
  </si>
  <si>
    <t>TOTAL REVENUE REQUIREMENTS</t>
  </si>
  <si>
    <t>Form 8.1b</t>
  </si>
  <si>
    <t>Revenue Requirements Allocation</t>
  </si>
  <si>
    <t>Total Revenue Requirements (From Form 8.1a)</t>
  </si>
  <si>
    <t>Total Generation Revenue Requirement:</t>
  </si>
  <si>
    <t>Residential/Domestic</t>
  </si>
  <si>
    <t xml:space="preserve"> Commercial</t>
  </si>
  <si>
    <t xml:space="preserve"> Industrial</t>
  </si>
  <si>
    <t>All Other Customer Classes</t>
  </si>
  <si>
    <t xml:space="preserve">GENERATION SUBTOTAL </t>
  </si>
  <si>
    <t>Total Distribution Revenue Requirement:</t>
  </si>
  <si>
    <t xml:space="preserve">DISTRIBUTION SUBTOTAL </t>
  </si>
  <si>
    <t>All Other Revenue Requirements:</t>
  </si>
  <si>
    <t xml:space="preserve">"ALL OTHER" SUBTOTAL </t>
  </si>
  <si>
    <t>Total Revenue Requirements</t>
  </si>
  <si>
    <t>2023 Integrated Energy Policy Report</t>
  </si>
  <si>
    <t>RECORDED LSE HOURLY  LOADS FOR 2021, 2022 and Forecast Loads for 2023</t>
  </si>
  <si>
    <t xml:space="preserve">Report actual hourly demand in calendar years 2021 and 2022, in megawatts, for each hour of the day. </t>
  </si>
  <si>
    <t xml:space="preserve">Report forecasted hourly demand in calendar years 2023, in megawatts, for each hour of the day. </t>
  </si>
  <si>
    <t>Docket Number 23-IEPR-02</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</si>
  <si>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t>
    </r>
    <r>
      <rPr>
        <b/>
        <i/>
        <sz val="12"/>
        <rFont val="Arial"/>
        <family val="2"/>
      </rPr>
      <t>23-IEPR-02 Electricity Forecast.</t>
    </r>
    <r>
      <rPr>
        <sz val="12"/>
        <rFont val="Arial"/>
        <family val="2"/>
      </rPr>
      <t xml:space="preserve">
When naming an attached file of 50 megabytes or less, please include the LSE’s name in
the filename. Attachments should be submitted as separate files and clearly identified.
</t>
    </r>
  </si>
  <si>
    <t>Line Number</t>
  </si>
  <si>
    <t>Cost Category</t>
  </si>
  <si>
    <t>Forms 1 - 7 Due:</t>
  </si>
  <si>
    <t>Form 8 Due:</t>
  </si>
  <si>
    <t>Questions relating to the electricity demand forecast forms should be directed to Robert.Kennedy@energy.ca.gov.</t>
  </si>
  <si>
    <t>Source: 2023 STEP Study Scope ver 5-2</t>
  </si>
  <si>
    <t>LF_S1_Mid</t>
  </si>
  <si>
    <t>Note</t>
  </si>
  <si>
    <t>Utility Fact Sheet, Actual NCP1 Metered</t>
  </si>
  <si>
    <t>1-in-10</t>
  </si>
  <si>
    <t>Load 1-in-10 (MW)</t>
  </si>
  <si>
    <t>Energy to Serve Load (MWh)</t>
  </si>
  <si>
    <t>SVP Utility Fact Sheet File_Working File_2023-03-08_Executed.xlsx (siliconvalleypower.com)</t>
  </si>
  <si>
    <t>SVP Utility Fact Sheet File_Working File_2022-02-22.xlsx (siliconvalleypower.com)</t>
  </si>
  <si>
    <t>Source</t>
  </si>
  <si>
    <t>Implied Annual LF</t>
  </si>
  <si>
    <t>Resource Forecast Summary</t>
  </si>
  <si>
    <t>Hrs/Yr</t>
  </si>
  <si>
    <t>Engineering Planning Forecast (1-in-10)</t>
  </si>
  <si>
    <t>Energy to Serve Load 1-in-10 (GWh)</t>
  </si>
  <si>
    <t>1-in-2</t>
  </si>
  <si>
    <t>1-in-5</t>
  </si>
  <si>
    <t>1-in-20</t>
  </si>
  <si>
    <t>Load (MW)</t>
  </si>
  <si>
    <t>Peak Temp Month</t>
  </si>
  <si>
    <t>Temp Range Load Ratio</t>
  </si>
  <si>
    <t>Source: "SVP Temp Response Multiplier Calcs CY2022.xlsx"</t>
  </si>
  <si>
    <t>1-in-10 Base</t>
  </si>
  <si>
    <t>CY2021 &amp; CY2022 No assumption for weather scaling, these are historic actuals - Form instructions aren't clear if this needs to be scaled as well</t>
  </si>
  <si>
    <t>Modeling assumptions, actuals YoY depends on specific loads (e.g. Load Adjustment Factors)</t>
  </si>
  <si>
    <t>LF_TPP2324_S2</t>
  </si>
  <si>
    <t>% Distribution</t>
  </si>
  <si>
    <t>2022 SVP Utility Fact Sheet</t>
  </si>
  <si>
    <t>Municipal</t>
  </si>
  <si>
    <t>Unmetered</t>
  </si>
  <si>
    <t>N/A</t>
  </si>
  <si>
    <t>Utility Fact Sheet | Silicon Valley Power</t>
  </si>
  <si>
    <t xml:space="preserve">Project Type </t>
  </si>
  <si>
    <t>Mix-Use Residential</t>
  </si>
  <si>
    <t>Data Centers</t>
  </si>
  <si>
    <t>Total</t>
  </si>
  <si>
    <t>Base Load</t>
  </si>
  <si>
    <t>Load Growth</t>
  </si>
  <si>
    <t>Load</t>
  </si>
  <si>
    <t>Assume 2022 = 2023 Distribution at t=0</t>
  </si>
  <si>
    <t>12kV Tracked Load Growth</t>
  </si>
  <si>
    <t>Cumulative</t>
  </si>
  <si>
    <t>&gt;&gt;Lumped in mixed use per Krishn, Mixed use only has a couple storefronts at street level</t>
  </si>
  <si>
    <t>Annual Incremental</t>
  </si>
  <si>
    <t>Load Rebalanced</t>
  </si>
  <si>
    <t>SVP Load % Distribution over 22-IEPR Forecast Horizon</t>
  </si>
  <si>
    <t>Implied SVP Load Distribution</t>
  </si>
  <si>
    <t>I use 3% for budgeting, but is likely less than this based on CY 2022 results:</t>
  </si>
  <si>
    <t>Purchased Power &amp; Generation for Retail:</t>
  </si>
  <si>
    <t>kWh</t>
  </si>
  <si>
    <t>City-owned Generating Facilities</t>
  </si>
  <si>
    <t>Joint Power Agencies</t>
  </si>
  <si>
    <t>Market Purchases/Sales</t>
  </si>
  <si>
    <t>Purchased Power Agreements</t>
  </si>
  <si>
    <t>Average Monthly Customer Count &amp; Total kWh Sales:</t>
  </si>
  <si>
    <t> 59,803</t>
  </si>
  <si>
    <t>Retail Sales</t>
  </si>
  <si>
    <t>% Losses</t>
  </si>
  <si>
    <t>CY2022</t>
  </si>
  <si>
    <t>YEAR*</t>
  </si>
  <si>
    <t>*CY2021 &amp; CY2022 No assumption for weather scaling, these are historic actuals - Form instructions aren't clear if this needs to be scaled as well</t>
  </si>
  <si>
    <t>CY2021</t>
  </si>
  <si>
    <t>*The coincident peak used for SVP was calculated from the local distribution area peak (City of Santa Clara limits).  SVP does not record total peak per sector.</t>
  </si>
  <si>
    <t>TOTAL PEAK*</t>
  </si>
  <si>
    <t>&gt;&gt;&gt;1-in-2 23-IEPR TPP 24/25</t>
  </si>
  <si>
    <t>Redistribute to remove Municipal Retail Sales</t>
  </si>
  <si>
    <t>Remove Municipal Accounts</t>
  </si>
  <si>
    <t>Sumcheck</t>
  </si>
  <si>
    <t>Total KWh Sales</t>
  </si>
  <si>
    <t>&lt;&lt;&lt; Close enough, differences due to rounding in sum</t>
  </si>
  <si>
    <t>Sector Retail Sales</t>
  </si>
  <si>
    <t>MUNICIPAL &amp; UNMETERED</t>
  </si>
  <si>
    <t>TOTAL, excluding Street-Lighting</t>
  </si>
  <si>
    <t>Budgeted Load</t>
  </si>
  <si>
    <t>STREET-
LIGHTING</t>
  </si>
  <si>
    <t>LOSS FACTOR</t>
  </si>
  <si>
    <t>Should this match to the budget?</t>
  </si>
  <si>
    <t>*</t>
  </si>
  <si>
    <t>January</t>
  </si>
  <si>
    <t>July</t>
  </si>
  <si>
    <t>Rate Increases</t>
  </si>
  <si>
    <t>Used Fact Sheet</t>
  </si>
  <si>
    <t>Source??</t>
  </si>
  <si>
    <t>FY2021/22</t>
  </si>
  <si>
    <t>FY2022/23</t>
  </si>
  <si>
    <t>FY2023/24</t>
  </si>
  <si>
    <t>FY2024/25</t>
  </si>
  <si>
    <t>FY2025/26</t>
  </si>
  <si>
    <t>FY2026/27</t>
  </si>
  <si>
    <t>FY2027/28</t>
  </si>
  <si>
    <t>FY2028/29</t>
  </si>
  <si>
    <t>FY2029/30</t>
  </si>
  <si>
    <t>FY2030/31</t>
  </si>
  <si>
    <t>FY2031/32</t>
  </si>
  <si>
    <t>FY2032/33</t>
  </si>
  <si>
    <t>FY2033/34</t>
  </si>
  <si>
    <t>FY2034/35</t>
  </si>
  <si>
    <t>All years are budgeted values except 2021 (FY 2021/22)</t>
  </si>
  <si>
    <t>Can we break this out with Kathleen?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</si>
</sst>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6" formatCode="&quot;$&quot;#,##0_);[Red]\(&quot;$&quot;#,##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m/dd/yy"/>
    <numFmt numFmtId="170" formatCode="m\-d\-yy"/>
    <numFmt numFmtId="171" formatCode="#,##0.00&quot; $&quot;;\-#,##0.00&quot; $&quot;"/>
    <numFmt numFmtId="172" formatCode="0.0"/>
    <numFmt numFmtId="173" formatCode="0.0%"/>
    <numFmt numFmtId="174" formatCode="0.000%"/>
    <numFmt numFmtId="175" formatCode="_(* #,##0.0_);_(* \(#,##0.0\);_(* &quot;-&quot;??_);_(@_)"/>
    <numFmt numFmtId="176" formatCode="#,##0.000"/>
    <numFmt numFmtId="177" formatCode="#,##0,;\(#,##0,\)"/>
  </numFmts>
  <fonts count="55" x14ac:knownFonts="1">
    <font>
      <sz val="8"/>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1"/>
      <color indexed="9"/>
      <name val="Arial"/>
      <family val="2"/>
    </font>
    <font>
      <sz val="11"/>
      <name val="Arial"/>
      <family val="2"/>
    </font>
    <font>
      <sz val="12"/>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1"/>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2"/>
      <color theme="0"/>
      <name val="Arial"/>
      <family val="2"/>
    </font>
    <font>
      <b/>
      <sz val="14"/>
      <color rgb="FFFF0000"/>
      <name val="Arial"/>
      <family val="2"/>
    </font>
    <font>
      <b/>
      <sz val="14"/>
      <color theme="0"/>
      <name val="Arial"/>
      <family val="2"/>
    </font>
    <font>
      <b/>
      <sz val="12"/>
      <color theme="1"/>
      <name val="Arial"/>
      <family val="2"/>
    </font>
    <font>
      <sz val="12"/>
      <color theme="1"/>
      <name val="Arial"/>
      <family val="2"/>
    </font>
    <font>
      <b/>
      <sz val="11"/>
      <color theme="1"/>
      <name val="Calibri"/>
      <family val="2"/>
      <scheme val="minor"/>
    </font>
    <font>
      <sz val="10"/>
      <color theme="1"/>
      <name val="Calibri"/>
      <family val="2"/>
      <scheme val="minor"/>
    </font>
    <font>
      <sz val="9"/>
      <color indexed="81"/>
      <name val="Tahoma"/>
      <family val="2"/>
    </font>
    <font>
      <b/>
      <sz val="9"/>
      <color indexed="81"/>
      <name val="Tahoma"/>
      <family val="2"/>
    </font>
    <font>
      <sz val="8"/>
      <name val="Arial"/>
      <family val="2"/>
    </font>
    <font>
      <u/>
      <sz val="8"/>
      <color theme="10"/>
      <name val="Arial"/>
      <family val="2"/>
    </font>
    <font>
      <sz val="14"/>
      <color rgb="FF4B4B4B"/>
      <name val="Arial"/>
      <family val="2"/>
    </font>
    <font>
      <u/>
      <sz val="11"/>
      <color theme="10"/>
      <name val="Calibri"/>
      <family val="2"/>
      <scheme val="minor"/>
    </font>
    <font>
      <b/>
      <u/>
      <sz val="11"/>
      <color theme="1"/>
      <name val="Calibri"/>
      <family val="2"/>
      <scheme val="minor"/>
    </font>
    <font>
      <b/>
      <sz val="11"/>
      <color rgb="FFFF0000"/>
      <name val="Calibri"/>
      <family val="2"/>
      <scheme val="minor"/>
    </font>
    <font>
      <sz val="11"/>
      <color rgb="FF1F497D"/>
      <name val="Calibri"/>
      <family val="2"/>
    </font>
    <font>
      <sz val="10"/>
      <name val="Times New Roman"/>
      <family val="1"/>
    </font>
    <font>
      <sz val="13.5"/>
      <color rgb="FF4B4B4B"/>
      <name val="Arial"/>
      <family val="2"/>
    </font>
    <font>
      <sz val="11"/>
      <color rgb="FFFF0000"/>
      <name val="Calibri"/>
      <family val="2"/>
      <scheme val="minor"/>
    </font>
    <font>
      <b/>
      <u/>
      <sz val="9"/>
      <color indexed="81"/>
      <name val="Tahoma"/>
      <family val="2"/>
    </font>
    <font>
      <sz val="8"/>
      <color rgb="FFFF0000"/>
      <name val="Arial"/>
      <family val="2"/>
    </font>
    <font>
      <strike/>
      <sz val="8"/>
      <name val="Arial"/>
      <family val="2"/>
    </font>
    <font>
      <b/>
      <sz val="10"/>
      <color theme="9" tint="-0.499984740745262"/>
      <name val="Arial"/>
      <family val="2"/>
    </font>
  </fonts>
  <fills count="21">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
      <patternFill patternType="solid">
        <fgColor rgb="FFFFFFFF"/>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rgb="FFFFC000"/>
        <bgColor indexed="64"/>
      </patternFill>
    </fill>
    <fill>
      <patternFill patternType="solid">
        <fgColor theme="8" tint="0.59999389629810485"/>
        <bgColor indexed="64"/>
      </patternFill>
    </fill>
  </fills>
  <borders count="66">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medium">
        <color rgb="FF0070C0"/>
      </top>
      <bottom style="thin">
        <color rgb="FF0070C0"/>
      </bottom>
      <diagonal/>
    </border>
    <border>
      <left style="thin">
        <color rgb="FF0070C0"/>
      </left>
      <right style="thin">
        <color rgb="FF0070C0"/>
      </right>
      <top style="thin">
        <color rgb="FF0070C0"/>
      </top>
      <bottom style="medium">
        <color rgb="FF0070C0"/>
      </bottom>
      <diagonal/>
    </border>
    <border>
      <left style="medium">
        <color rgb="FF0070C0"/>
      </left>
      <right style="thin">
        <color rgb="FF0070C0"/>
      </right>
      <top style="medium">
        <color rgb="FF0070C0"/>
      </top>
      <bottom style="thin">
        <color rgb="FF0070C0"/>
      </bottom>
      <diagonal/>
    </border>
    <border>
      <left style="medium">
        <color rgb="FF0070C0"/>
      </left>
      <right style="thin">
        <color rgb="FF0070C0"/>
      </right>
      <top style="thin">
        <color rgb="FF0070C0"/>
      </top>
      <bottom style="thin">
        <color rgb="FF0070C0"/>
      </bottom>
      <diagonal/>
    </border>
    <border>
      <left style="medium">
        <color rgb="FF0070C0"/>
      </left>
      <right style="thin">
        <color rgb="FF0070C0"/>
      </right>
      <top style="thin">
        <color rgb="FF0070C0"/>
      </top>
      <bottom style="medium">
        <color rgb="FF0070C0"/>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0">
    <xf numFmtId="0" fontId="0" fillId="0" borderId="0"/>
    <xf numFmtId="170" fontId="13" fillId="2" borderId="1">
      <alignment horizontal="center" vertical="center"/>
    </xf>
    <xf numFmtId="43" fontId="7" fillId="0" borderId="0" applyFont="0" applyFill="0" applyBorder="0" applyAlignment="0" applyProtection="0"/>
    <xf numFmtId="3" fontId="7" fillId="0" borderId="0" applyFont="0" applyFill="0" applyBorder="0" applyAlignment="0" applyProtection="0"/>
    <xf numFmtId="44" fontId="7" fillId="0" borderId="0" applyFont="0" applyFill="0" applyBorder="0" applyAlignment="0" applyProtection="0"/>
    <xf numFmtId="166" fontId="7" fillId="0" borderId="0" applyFont="0" applyFill="0" applyBorder="0" applyAlignment="0" applyProtection="0"/>
    <xf numFmtId="167" fontId="7" fillId="0" borderId="0" applyFont="0" applyFill="0" applyBorder="0" applyAlignment="0" applyProtection="0"/>
    <xf numFmtId="2" fontId="7" fillId="0" borderId="0" applyFont="0" applyFill="0" applyBorder="0" applyAlignment="0" applyProtection="0"/>
    <xf numFmtId="38" fontId="8" fillId="3" borderId="0" applyNumberFormat="0" applyBorder="0" applyAlignment="0" applyProtection="0"/>
    <xf numFmtId="0" fontId="20" fillId="0" borderId="0" applyNumberFormat="0" applyFill="0" applyBorder="0" applyAlignment="0" applyProtection="0"/>
    <xf numFmtId="0" fontId="10" fillId="0" borderId="0" applyNumberFormat="0" applyFont="0" applyFill="0" applyAlignment="0" applyProtection="0"/>
    <xf numFmtId="0" fontId="11" fillId="0" borderId="0" applyNumberFormat="0" applyFont="0" applyFill="0" applyAlignment="0" applyProtection="0"/>
    <xf numFmtId="171" fontId="7" fillId="0" borderId="0">
      <protection locked="0"/>
    </xf>
    <xf numFmtId="171" fontId="7" fillId="0" borderId="0">
      <protection locked="0"/>
    </xf>
    <xf numFmtId="0" fontId="21" fillId="0" borderId="2" applyNumberFormat="0" applyFill="0" applyAlignment="0" applyProtection="0"/>
    <xf numFmtId="10" fontId="8" fillId="4" borderId="3" applyNumberFormat="0" applyBorder="0" applyAlignment="0" applyProtection="0"/>
    <xf numFmtId="37" fontId="22" fillId="0" borderId="0"/>
    <xf numFmtId="164" fontId="23" fillId="0" borderId="0"/>
    <xf numFmtId="0" fontId="7" fillId="0" borderId="0"/>
    <xf numFmtId="0" fontId="28" fillId="0" borderId="0"/>
    <xf numFmtId="0" fontId="5" fillId="0" borderId="0"/>
    <xf numFmtId="0" fontId="9" fillId="0" borderId="0"/>
    <xf numFmtId="0" fontId="7" fillId="0" borderId="0"/>
    <xf numFmtId="0" fontId="7" fillId="0" borderId="0"/>
    <xf numFmtId="10" fontId="7" fillId="0" borderId="0" applyFont="0" applyFill="0" applyBorder="0" applyAlignment="0" applyProtection="0"/>
    <xf numFmtId="0" fontId="7" fillId="0" borderId="4" applyNumberFormat="0" applyFont="0" applyBorder="0" applyAlignment="0" applyProtection="0"/>
    <xf numFmtId="37" fontId="8" fillId="5" borderId="0" applyNumberFormat="0" applyBorder="0" applyAlignment="0" applyProtection="0"/>
    <xf numFmtId="37" fontId="5" fillId="0" borderId="0"/>
    <xf numFmtId="3" fontId="24" fillId="0" borderId="2" applyProtection="0"/>
    <xf numFmtId="0" fontId="4" fillId="0" borderId="0"/>
    <xf numFmtId="0" fontId="3" fillId="0" borderId="0"/>
    <xf numFmtId="0" fontId="7" fillId="0" borderId="0"/>
    <xf numFmtId="43" fontId="3" fillId="0" borderId="0" applyFont="0" applyFill="0" applyBorder="0" applyAlignment="0" applyProtection="0"/>
    <xf numFmtId="43" fontId="41" fillId="0" borderId="0" applyFont="0" applyFill="0" applyBorder="0" applyAlignment="0" applyProtection="0"/>
    <xf numFmtId="9" fontId="41" fillId="0" borderId="0" applyFont="0" applyFill="0" applyBorder="0" applyAlignment="0" applyProtection="0"/>
    <xf numFmtId="0" fontId="42" fillId="0" borderId="0" applyNumberFormat="0" applyFill="0" applyBorder="0" applyAlignment="0" applyProtection="0"/>
    <xf numFmtId="0" fontId="2" fillId="0" borderId="0"/>
    <xf numFmtId="9" fontId="2" fillId="0" borderId="0" applyFont="0" applyFill="0" applyBorder="0" applyAlignment="0" applyProtection="0"/>
    <xf numFmtId="0" fontId="44" fillId="0" borderId="0" applyNumberFormat="0" applyFill="0" applyBorder="0" applyAlignment="0" applyProtection="0"/>
    <xf numFmtId="43" fontId="2" fillId="0" borderId="0" applyFont="0" applyFill="0" applyBorder="0" applyAlignment="0" applyProtection="0"/>
  </cellStyleXfs>
  <cellXfs count="475">
    <xf numFmtId="0" fontId="0" fillId="0" borderId="0" xfId="0"/>
    <xf numFmtId="0" fontId="0" fillId="0" borderId="0" xfId="0" applyAlignment="1">
      <alignment horizontal="centerContinuous"/>
    </xf>
    <xf numFmtId="0" fontId="0" fillId="0" borderId="3" xfId="0" applyBorder="1"/>
    <xf numFmtId="3" fontId="0" fillId="0" borderId="3" xfId="0" applyNumberFormat="1" applyBorder="1"/>
    <xf numFmtId="0" fontId="0" fillId="0" borderId="5" xfId="0" applyBorder="1" applyAlignment="1">
      <alignment horizontal="right"/>
    </xf>
    <xf numFmtId="0" fontId="0" fillId="0" borderId="6" xfId="0" applyBorder="1"/>
    <xf numFmtId="0" fontId="6" fillId="0" borderId="0" xfId="0" applyFont="1"/>
    <xf numFmtId="0" fontId="7" fillId="0" borderId="0" xfId="0" applyFont="1"/>
    <xf numFmtId="0" fontId="8" fillId="0" borderId="0" xfId="23" applyFont="1"/>
    <xf numFmtId="0" fontId="6" fillId="0" borderId="0" xfId="0" applyFont="1" applyAlignment="1">
      <alignment horizontal="centerContinuous"/>
    </xf>
    <xf numFmtId="0" fontId="0" fillId="0" borderId="3" xfId="0" applyBorder="1" applyAlignment="1" applyProtection="1">
      <alignment horizontal="center" wrapText="1"/>
      <protection locked="0"/>
    </xf>
    <xf numFmtId="0" fontId="6" fillId="0" borderId="0" xfId="0" quotePrefix="1" applyFont="1" applyAlignment="1">
      <alignment horizontal="centerContinuous"/>
    </xf>
    <xf numFmtId="3" fontId="0" fillId="0" borderId="6" xfId="0" applyNumberFormat="1" applyBorder="1"/>
    <xf numFmtId="16" fontId="0" fillId="6" borderId="8" xfId="0" quotePrefix="1" applyNumberFormat="1" applyFill="1" applyBorder="1" applyAlignment="1">
      <alignment horizontal="center" wrapText="1"/>
    </xf>
    <xf numFmtId="0" fontId="9" fillId="0" borderId="0" xfId="0" applyFont="1"/>
    <xf numFmtId="0" fontId="16" fillId="0" borderId="0" xfId="0" applyFont="1"/>
    <xf numFmtId="0" fontId="11" fillId="0" borderId="0" xfId="0" applyFont="1" applyAlignment="1">
      <alignment horizontal="centerContinuous"/>
    </xf>
    <xf numFmtId="0" fontId="9" fillId="0" borderId="0" xfId="0" applyFont="1" applyAlignment="1">
      <alignment horizontal="centerContinuous"/>
    </xf>
    <xf numFmtId="0" fontId="14" fillId="7" borderId="0" xfId="0" applyFont="1" applyFill="1" applyAlignment="1">
      <alignment horizontal="centerContinuous"/>
    </xf>
    <xf numFmtId="0" fontId="17" fillId="0" borderId="0" xfId="23" applyFont="1"/>
    <xf numFmtId="3" fontId="12" fillId="0" borderId="9" xfId="21" applyNumberFormat="1" applyFont="1" applyBorder="1" applyAlignment="1">
      <alignment horizontal="centerContinuous"/>
    </xf>
    <xf numFmtId="3" fontId="12" fillId="0" borderId="10" xfId="21" applyNumberFormat="1" applyFont="1" applyBorder="1" applyAlignment="1">
      <alignment horizontal="centerContinuous"/>
    </xf>
    <xf numFmtId="3" fontId="12" fillId="0" borderId="6" xfId="21" applyNumberFormat="1" applyFont="1" applyBorder="1" applyAlignment="1">
      <alignment horizontal="center"/>
    </xf>
    <xf numFmtId="0" fontId="0" fillId="0" borderId="8" xfId="0" applyBorder="1" applyAlignment="1" applyProtection="1">
      <alignment horizontal="center" wrapText="1"/>
      <protection locked="0"/>
    </xf>
    <xf numFmtId="0" fontId="6" fillId="0" borderId="0" xfId="21" applyFont="1" applyAlignment="1">
      <alignment horizontal="centerContinuous"/>
    </xf>
    <xf numFmtId="3" fontId="0" fillId="0" borderId="3" xfId="0" applyNumberFormat="1" applyBorder="1" applyAlignment="1" applyProtection="1">
      <alignment horizontal="center" wrapText="1"/>
      <protection locked="0"/>
    </xf>
    <xf numFmtId="0" fontId="11" fillId="0" borderId="0" xfId="0" applyFont="1" applyAlignment="1">
      <alignment horizontal="centerContinuous" vertical="center"/>
    </xf>
    <xf numFmtId="0" fontId="9" fillId="0" borderId="0" xfId="0" applyFont="1" applyAlignment="1">
      <alignment horizontal="centerContinuous" vertical="center"/>
    </xf>
    <xf numFmtId="0" fontId="9" fillId="0" borderId="0" xfId="18" applyFont="1" applyAlignment="1">
      <alignment vertical="center"/>
    </xf>
    <xf numFmtId="0" fontId="6" fillId="0" borderId="0" xfId="18" applyFont="1" applyAlignment="1">
      <alignment horizontal="centerContinuous" vertical="center"/>
    </xf>
    <xf numFmtId="0" fontId="16" fillId="0" borderId="0" xfId="18" applyFont="1" applyAlignment="1">
      <alignment horizontal="center" vertical="center"/>
    </xf>
    <xf numFmtId="0" fontId="16" fillId="0" borderId="0" xfId="18" applyFont="1" applyAlignment="1">
      <alignment horizontal="left" vertical="center" indent="1"/>
    </xf>
    <xf numFmtId="0" fontId="16" fillId="0" borderId="0" xfId="18" applyFont="1" applyAlignment="1">
      <alignment vertical="center"/>
    </xf>
    <xf numFmtId="0" fontId="7" fillId="0" borderId="0" xfId="18" applyAlignment="1">
      <alignment vertical="center"/>
    </xf>
    <xf numFmtId="0" fontId="7" fillId="0" borderId="0" xfId="18" applyAlignment="1">
      <alignment horizontal="center" vertical="center"/>
    </xf>
    <xf numFmtId="165" fontId="0" fillId="0" borderId="0" xfId="2" applyNumberFormat="1" applyFont="1" applyBorder="1" applyAlignment="1">
      <alignment vertical="center"/>
    </xf>
    <xf numFmtId="0" fontId="7" fillId="0" borderId="0" xfId="18"/>
    <xf numFmtId="0" fontId="14" fillId="9" borderId="14" xfId="18" applyFont="1" applyFill="1" applyBorder="1" applyAlignment="1">
      <alignment vertical="top" wrapText="1"/>
    </xf>
    <xf numFmtId="0" fontId="14" fillId="9" borderId="15" xfId="18" applyFont="1" applyFill="1" applyBorder="1" applyAlignment="1">
      <alignment horizontal="center" vertical="top" wrapText="1"/>
    </xf>
    <xf numFmtId="0" fontId="14" fillId="9" borderId="16" xfId="18" applyFont="1" applyFill="1" applyBorder="1" applyAlignment="1">
      <alignment horizontal="center" vertical="top" wrapText="1"/>
    </xf>
    <xf numFmtId="0" fontId="11" fillId="6" borderId="14" xfId="18" applyFont="1" applyFill="1" applyBorder="1" applyAlignment="1">
      <alignment horizontal="left" vertical="top" wrapText="1"/>
    </xf>
    <xf numFmtId="0" fontId="9" fillId="6" borderId="15" xfId="18" applyFont="1" applyFill="1" applyBorder="1" applyAlignment="1">
      <alignment vertical="top" wrapText="1"/>
    </xf>
    <xf numFmtId="0" fontId="7" fillId="6" borderId="0" xfId="18" applyFill="1"/>
    <xf numFmtId="0" fontId="11" fillId="3" borderId="14" xfId="18" applyFont="1" applyFill="1" applyBorder="1" applyAlignment="1">
      <alignment horizontal="left" vertical="top" wrapText="1"/>
    </xf>
    <xf numFmtId="0" fontId="9" fillId="3" borderId="15" xfId="18" applyFont="1" applyFill="1" applyBorder="1" applyAlignment="1">
      <alignment vertical="top" wrapText="1"/>
    </xf>
    <xf numFmtId="0" fontId="9" fillId="3" borderId="16" xfId="18" applyFont="1" applyFill="1" applyBorder="1" applyAlignment="1">
      <alignment vertical="top" wrapText="1"/>
    </xf>
    <xf numFmtId="0" fontId="11" fillId="6" borderId="17" xfId="18" applyFont="1" applyFill="1" applyBorder="1" applyAlignment="1">
      <alignment horizontal="right" vertical="top" wrapText="1"/>
    </xf>
    <xf numFmtId="0" fontId="11" fillId="6" borderId="18" xfId="18" applyFont="1" applyFill="1" applyBorder="1" applyAlignment="1">
      <alignment horizontal="right" vertical="top" wrapText="1"/>
    </xf>
    <xf numFmtId="0" fontId="11" fillId="6" borderId="19" xfId="18" applyFont="1" applyFill="1" applyBorder="1" applyAlignment="1">
      <alignment horizontal="right" vertical="top" wrapText="1"/>
    </xf>
    <xf numFmtId="0" fontId="9" fillId="6" borderId="19" xfId="18" applyFont="1" applyFill="1" applyBorder="1" applyAlignment="1">
      <alignment vertical="top" wrapText="1"/>
    </xf>
    <xf numFmtId="0" fontId="11" fillId="6" borderId="20" xfId="18" applyFont="1" applyFill="1" applyBorder="1" applyAlignment="1">
      <alignment horizontal="right" vertical="top" wrapText="1"/>
    </xf>
    <xf numFmtId="0" fontId="9" fillId="6" borderId="20" xfId="18" applyFont="1" applyFill="1" applyBorder="1" applyAlignment="1">
      <alignment vertical="top" wrapText="1"/>
    </xf>
    <xf numFmtId="0" fontId="9" fillId="6" borderId="17" xfId="18" applyFont="1" applyFill="1" applyBorder="1" applyAlignment="1">
      <alignment vertical="top" wrapText="1"/>
    </xf>
    <xf numFmtId="0" fontId="9" fillId="6" borderId="18" xfId="18" applyFont="1" applyFill="1" applyBorder="1" applyAlignment="1">
      <alignment vertical="top" wrapText="1"/>
    </xf>
    <xf numFmtId="0" fontId="9" fillId="6" borderId="22" xfId="18" applyFont="1" applyFill="1" applyBorder="1" applyAlignment="1">
      <alignment vertical="top" wrapText="1"/>
    </xf>
    <xf numFmtId="0" fontId="11" fillId="8" borderId="20" xfId="18" applyFont="1" applyFill="1" applyBorder="1" applyAlignment="1">
      <alignment horizontal="right" vertical="top" wrapText="1"/>
    </xf>
    <xf numFmtId="0" fontId="9" fillId="8" borderId="18" xfId="18" applyFont="1" applyFill="1" applyBorder="1" applyAlignment="1">
      <alignment vertical="top" wrapText="1"/>
    </xf>
    <xf numFmtId="0" fontId="9" fillId="0" borderId="17" xfId="18" applyFont="1" applyBorder="1" applyAlignment="1">
      <alignment vertical="top" wrapText="1"/>
    </xf>
    <xf numFmtId="0" fontId="9" fillId="0" borderId="18" xfId="18" applyFont="1" applyBorder="1" applyAlignment="1">
      <alignment vertical="top" wrapText="1"/>
    </xf>
    <xf numFmtId="0" fontId="11" fillId="0" borderId="23" xfId="18" applyFont="1" applyBorder="1" applyAlignment="1">
      <alignment horizontal="left" vertical="top" wrapText="1"/>
    </xf>
    <xf numFmtId="0" fontId="9" fillId="0" borderId="22" xfId="18" applyFont="1" applyBorder="1" applyAlignment="1">
      <alignment vertical="top" wrapText="1"/>
    </xf>
    <xf numFmtId="0" fontId="11" fillId="0" borderId="19" xfId="18" applyFont="1" applyBorder="1" applyAlignment="1">
      <alignment horizontal="right" vertical="top" wrapText="1"/>
    </xf>
    <xf numFmtId="0" fontId="11" fillId="0" borderId="21" xfId="18" applyFont="1" applyBorder="1" applyAlignment="1">
      <alignment horizontal="right" vertical="top" wrapText="1"/>
    </xf>
    <xf numFmtId="0" fontId="11" fillId="0" borderId="20" xfId="18" applyFont="1" applyBorder="1" applyAlignment="1">
      <alignment horizontal="right" vertical="top" wrapText="1"/>
    </xf>
    <xf numFmtId="0" fontId="11" fillId="0" borderId="13" xfId="18" applyFont="1" applyBorder="1" applyAlignment="1">
      <alignment horizontal="left" vertical="top" wrapText="1"/>
    </xf>
    <xf numFmtId="0" fontId="26" fillId="3" borderId="30" xfId="18" applyFont="1" applyFill="1" applyBorder="1" applyAlignment="1">
      <alignment vertical="top" wrapText="1"/>
    </xf>
    <xf numFmtId="0" fontId="9" fillId="3" borderId="26" xfId="18" applyFont="1" applyFill="1" applyBorder="1" applyAlignment="1">
      <alignment vertical="top" wrapText="1"/>
    </xf>
    <xf numFmtId="0" fontId="9" fillId="3" borderId="27" xfId="18" applyFont="1" applyFill="1" applyBorder="1" applyAlignment="1">
      <alignment vertical="top" wrapText="1"/>
    </xf>
    <xf numFmtId="0" fontId="9" fillId="0" borderId="31" xfId="18" applyFont="1" applyBorder="1" applyAlignment="1">
      <alignment vertical="top" wrapText="1"/>
    </xf>
    <xf numFmtId="0" fontId="9" fillId="0" borderId="13" xfId="18" applyFont="1" applyBorder="1" applyAlignment="1">
      <alignment vertical="top" wrapText="1"/>
    </xf>
    <xf numFmtId="0" fontId="26" fillId="3" borderId="14" xfId="18" applyFont="1" applyFill="1" applyBorder="1" applyAlignment="1">
      <alignment vertical="top" wrapText="1"/>
    </xf>
    <xf numFmtId="0" fontId="9" fillId="3" borderId="12" xfId="18" applyFont="1" applyFill="1" applyBorder="1" applyAlignment="1">
      <alignment vertical="top" wrapText="1"/>
    </xf>
    <xf numFmtId="0" fontId="26" fillId="0" borderId="17" xfId="18" applyFont="1" applyBorder="1" applyAlignment="1">
      <alignment horizontal="right" vertical="top" wrapText="1"/>
    </xf>
    <xf numFmtId="0" fontId="9" fillId="0" borderId="32" xfId="18" applyFont="1" applyBorder="1" applyAlignment="1">
      <alignment vertical="top" wrapText="1"/>
    </xf>
    <xf numFmtId="0" fontId="9" fillId="0" borderId="33" xfId="18" applyFont="1" applyBorder="1" applyAlignment="1">
      <alignment vertical="top" wrapText="1"/>
    </xf>
    <xf numFmtId="0" fontId="26" fillId="0" borderId="21" xfId="18" applyFont="1" applyBorder="1" applyAlignment="1">
      <alignment horizontal="right" vertical="top" wrapText="1"/>
    </xf>
    <xf numFmtId="0" fontId="9" fillId="0" borderId="3" xfId="18" applyFont="1" applyBorder="1" applyAlignment="1">
      <alignment vertical="top" wrapText="1"/>
    </xf>
    <xf numFmtId="0" fontId="9" fillId="0" borderId="34" xfId="18" applyFont="1" applyBorder="1" applyAlignment="1">
      <alignment vertical="top" wrapText="1"/>
    </xf>
    <xf numFmtId="0" fontId="26" fillId="0" borderId="20" xfId="18" applyFont="1" applyBorder="1" applyAlignment="1">
      <alignment horizontal="right" vertical="top" wrapText="1"/>
    </xf>
    <xf numFmtId="0" fontId="9" fillId="0" borderId="6" xfId="18" applyFont="1" applyBorder="1" applyAlignment="1">
      <alignment vertical="top" wrapText="1"/>
    </xf>
    <xf numFmtId="0" fontId="9" fillId="0" borderId="35" xfId="18" applyFont="1" applyBorder="1" applyAlignment="1">
      <alignment vertical="top" wrapText="1"/>
    </xf>
    <xf numFmtId="0" fontId="6" fillId="0" borderId="36" xfId="18" applyFont="1" applyBorder="1" applyAlignment="1">
      <alignment horizontal="right" vertical="top" wrapText="1"/>
    </xf>
    <xf numFmtId="0" fontId="6" fillId="0" borderId="36" xfId="18" applyFont="1" applyBorder="1" applyAlignment="1">
      <alignment vertical="top" wrapText="1"/>
    </xf>
    <xf numFmtId="0" fontId="9" fillId="0" borderId="37" xfId="18" applyFont="1" applyBorder="1" applyAlignment="1">
      <alignment vertical="top" wrapText="1"/>
    </xf>
    <xf numFmtId="0" fontId="9" fillId="0" borderId="38" xfId="18" applyFont="1" applyBorder="1" applyAlignment="1">
      <alignment vertical="top" wrapText="1"/>
    </xf>
    <xf numFmtId="0" fontId="9" fillId="0" borderId="10" xfId="18" applyFont="1" applyBorder="1" applyAlignment="1">
      <alignment vertical="top" wrapText="1"/>
    </xf>
    <xf numFmtId="0" fontId="9" fillId="0" borderId="39" xfId="18" applyFont="1" applyBorder="1" applyAlignment="1">
      <alignment vertical="top" wrapText="1"/>
    </xf>
    <xf numFmtId="0" fontId="9" fillId="0" borderId="40" xfId="18" applyFont="1" applyBorder="1" applyAlignment="1">
      <alignment vertical="top" wrapText="1"/>
    </xf>
    <xf numFmtId="0" fontId="9" fillId="0" borderId="41" xfId="18" applyFont="1" applyBorder="1" applyAlignment="1">
      <alignment vertical="top" wrapText="1"/>
    </xf>
    <xf numFmtId="0" fontId="26" fillId="3" borderId="13" xfId="18" applyFont="1" applyFill="1" applyBorder="1" applyAlignment="1">
      <alignment vertical="top" wrapText="1"/>
    </xf>
    <xf numFmtId="0" fontId="11" fillId="0" borderId="42" xfId="18" applyFont="1" applyBorder="1" applyAlignment="1">
      <alignment vertical="top" wrapText="1"/>
    </xf>
    <xf numFmtId="0" fontId="6" fillId="0" borderId="0" xfId="18" applyFont="1"/>
    <xf numFmtId="0" fontId="11" fillId="8" borderId="11" xfId="18" applyFont="1" applyFill="1" applyBorder="1" applyAlignment="1">
      <alignment horizontal="right" vertical="top" wrapText="1"/>
    </xf>
    <xf numFmtId="0" fontId="12" fillId="0" borderId="0" xfId="18" applyFont="1" applyAlignment="1">
      <alignment horizontal="center" vertical="top" wrapText="1"/>
    </xf>
    <xf numFmtId="15" fontId="0" fillId="0" borderId="0" xfId="0" applyNumberFormat="1" applyAlignment="1">
      <alignment horizontal="center"/>
    </xf>
    <xf numFmtId="6" fontId="7" fillId="0" borderId="0" xfId="22" applyNumberFormat="1" applyAlignment="1">
      <alignment horizontal="center"/>
    </xf>
    <xf numFmtId="0" fontId="0" fillId="0" borderId="26" xfId="0" applyBorder="1"/>
    <xf numFmtId="6" fontId="6" fillId="0" borderId="11" xfId="22" applyNumberFormat="1" applyFont="1" applyBorder="1"/>
    <xf numFmtId="0" fontId="6" fillId="0" borderId="11" xfId="0" applyFont="1" applyBorder="1"/>
    <xf numFmtId="15" fontId="0" fillId="0" borderId="29" xfId="0" applyNumberFormat="1" applyBorder="1" applyAlignment="1">
      <alignment horizontal="center"/>
    </xf>
    <xf numFmtId="0" fontId="0" fillId="0" borderId="29" xfId="0" applyBorder="1"/>
    <xf numFmtId="0" fontId="0" fillId="0" borderId="52" xfId="0" applyBorder="1"/>
    <xf numFmtId="0" fontId="5" fillId="0" borderId="52" xfId="18" applyFont="1" applyBorder="1" applyAlignment="1">
      <alignment horizontal="center"/>
    </xf>
    <xf numFmtId="0" fontId="5" fillId="0" borderId="52" xfId="0" applyFont="1" applyBorder="1"/>
    <xf numFmtId="14" fontId="7" fillId="0" borderId="52" xfId="18" applyNumberFormat="1" applyBorder="1" applyAlignment="1">
      <alignment horizontal="right" vertical="center" indent="1"/>
    </xf>
    <xf numFmtId="0" fontId="12" fillId="11" borderId="52" xfId="18" applyFont="1" applyFill="1" applyBorder="1" applyAlignment="1" applyProtection="1">
      <alignment horizontal="center" vertical="center" wrapText="1"/>
      <protection locked="0"/>
    </xf>
    <xf numFmtId="0" fontId="12" fillId="11" borderId="0" xfId="18" applyFont="1" applyFill="1" applyAlignment="1">
      <alignment vertical="center" wrapText="1"/>
    </xf>
    <xf numFmtId="0" fontId="5" fillId="0" borderId="3" xfId="0" applyFont="1" applyBorder="1" applyAlignment="1" applyProtection="1">
      <alignment horizontal="center" wrapText="1"/>
      <protection locked="0"/>
    </xf>
    <xf numFmtId="0" fontId="9" fillId="0" borderId="0" xfId="20" applyFont="1"/>
    <xf numFmtId="0" fontId="7" fillId="0" borderId="0" xfId="20" applyFont="1"/>
    <xf numFmtId="0" fontId="6" fillId="0" borderId="0" xfId="20" applyFont="1" applyAlignment="1">
      <alignment horizontal="centerContinuous"/>
    </xf>
    <xf numFmtId="0" fontId="5" fillId="0" borderId="0" xfId="20"/>
    <xf numFmtId="0" fontId="5" fillId="0" borderId="3" xfId="20" applyBorder="1" applyAlignment="1">
      <alignment horizontal="right"/>
    </xf>
    <xf numFmtId="0" fontId="5" fillId="0" borderId="3" xfId="20" applyBorder="1" applyAlignment="1" applyProtection="1">
      <alignment horizontal="center" wrapText="1"/>
      <protection locked="0"/>
    </xf>
    <xf numFmtId="0" fontId="5" fillId="0" borderId="3" xfId="20" applyBorder="1" applyAlignment="1">
      <alignment horizontal="center" wrapText="1"/>
    </xf>
    <xf numFmtId="0" fontId="5" fillId="6" borderId="3" xfId="20" applyFill="1" applyBorder="1" applyAlignment="1">
      <alignment horizontal="center" wrapText="1"/>
    </xf>
    <xf numFmtId="0" fontId="5" fillId="0" borderId="3" xfId="20" applyBorder="1"/>
    <xf numFmtId="3" fontId="5" fillId="0" borderId="3" xfId="20" applyNumberFormat="1" applyBorder="1"/>
    <xf numFmtId="0" fontId="6" fillId="0" borderId="45" xfId="20" applyFont="1" applyBorder="1" applyAlignment="1">
      <alignment horizontal="center"/>
    </xf>
    <xf numFmtId="0" fontId="12" fillId="0" borderId="45" xfId="20" applyFont="1" applyBorder="1" applyAlignment="1">
      <alignment horizontal="center"/>
    </xf>
    <xf numFmtId="0" fontId="5" fillId="0" borderId="8" xfId="20" applyBorder="1" applyAlignment="1" applyProtection="1">
      <alignment horizontal="center" wrapText="1"/>
      <protection locked="0"/>
    </xf>
    <xf numFmtId="0" fontId="5" fillId="6" borderId="8" xfId="20" applyFill="1" applyBorder="1" applyAlignment="1" applyProtection="1">
      <alignment horizontal="center" wrapText="1"/>
      <protection locked="0"/>
    </xf>
    <xf numFmtId="3" fontId="5" fillId="0" borderId="6" xfId="20" applyNumberFormat="1" applyBorder="1"/>
    <xf numFmtId="0" fontId="5" fillId="6" borderId="10" xfId="0" applyFont="1" applyFill="1" applyBorder="1" applyAlignment="1" applyProtection="1">
      <alignment horizontal="center" vertical="top" wrapText="1"/>
      <protection locked="0"/>
    </xf>
    <xf numFmtId="0" fontId="5" fillId="6" borderId="3" xfId="0" applyFont="1" applyFill="1" applyBorder="1" applyAlignment="1" applyProtection="1">
      <alignment horizontal="center" vertical="top" wrapText="1"/>
      <protection locked="0"/>
    </xf>
    <xf numFmtId="3" fontId="5" fillId="12" borderId="3" xfId="20" applyNumberFormat="1" applyFill="1" applyBorder="1"/>
    <xf numFmtId="3" fontId="0" fillId="12" borderId="3" xfId="0" applyNumberFormat="1" applyFill="1" applyBorder="1"/>
    <xf numFmtId="0" fontId="0" fillId="12" borderId="3" xfId="0" applyFill="1" applyBorder="1"/>
    <xf numFmtId="0" fontId="7" fillId="0" borderId="0" xfId="0" applyFont="1" applyAlignment="1">
      <alignment horizontal="centerContinuous"/>
    </xf>
    <xf numFmtId="6" fontId="6" fillId="0" borderId="0" xfId="0" applyNumberFormat="1" applyFont="1" applyAlignment="1">
      <alignment horizontal="centerContinuous"/>
    </xf>
    <xf numFmtId="0" fontId="33" fillId="0" borderId="43" xfId="0" applyFont="1" applyBorder="1"/>
    <xf numFmtId="0" fontId="12" fillId="0" borderId="26" xfId="0" applyFont="1" applyBorder="1"/>
    <xf numFmtId="0" fontId="11" fillId="0" borderId="58" xfId="18" applyFont="1" applyBorder="1" applyAlignment="1">
      <alignment horizontal="left" vertical="top" wrapText="1"/>
    </xf>
    <xf numFmtId="0" fontId="11" fillId="0" borderId="33" xfId="18" applyFont="1" applyBorder="1" applyAlignment="1">
      <alignment horizontal="right" vertical="top" wrapText="1"/>
    </xf>
    <xf numFmtId="0" fontId="11" fillId="0" borderId="47" xfId="18" applyFont="1" applyBorder="1" applyAlignment="1">
      <alignment horizontal="right" vertical="top" wrapText="1"/>
    </xf>
    <xf numFmtId="0" fontId="11" fillId="3" borderId="28" xfId="18" applyFont="1" applyFill="1" applyBorder="1" applyAlignment="1">
      <alignment horizontal="left" vertical="top" wrapText="1"/>
    </xf>
    <xf numFmtId="0" fontId="11" fillId="0" borderId="46" xfId="18" applyFont="1" applyBorder="1" applyAlignment="1">
      <alignment horizontal="right" vertical="top" wrapText="1"/>
    </xf>
    <xf numFmtId="0" fontId="11" fillId="0" borderId="34" xfId="18" applyFont="1" applyBorder="1" applyAlignment="1">
      <alignment horizontal="right" vertical="top" wrapText="1"/>
    </xf>
    <xf numFmtId="0" fontId="14" fillId="9" borderId="51" xfId="18" applyFont="1" applyFill="1" applyBorder="1" applyAlignment="1">
      <alignment vertical="top" wrapText="1"/>
    </xf>
    <xf numFmtId="0" fontId="11" fillId="0" borderId="33" xfId="18" applyFont="1" applyBorder="1" applyAlignment="1">
      <alignment horizontal="left" vertical="top" wrapText="1"/>
    </xf>
    <xf numFmtId="0" fontId="11" fillId="0" borderId="34" xfId="18" applyFont="1" applyBorder="1" applyAlignment="1">
      <alignment horizontal="left" vertical="top" wrapText="1"/>
    </xf>
    <xf numFmtId="0" fontId="11" fillId="0" borderId="35" xfId="18" applyFont="1" applyBorder="1" applyAlignment="1">
      <alignment horizontal="left" vertical="top" wrapText="1"/>
    </xf>
    <xf numFmtId="0" fontId="14" fillId="9" borderId="28" xfId="18" applyFont="1" applyFill="1" applyBorder="1" applyAlignment="1">
      <alignment vertical="top" wrapText="1"/>
    </xf>
    <xf numFmtId="0" fontId="14" fillId="9" borderId="28" xfId="18" applyFont="1" applyFill="1" applyBorder="1"/>
    <xf numFmtId="0" fontId="6" fillId="10" borderId="60" xfId="18" applyFont="1" applyFill="1" applyBorder="1" applyAlignment="1">
      <alignment horizontal="right" vertical="top" wrapText="1"/>
    </xf>
    <xf numFmtId="0" fontId="18" fillId="3" borderId="51" xfId="18" applyFont="1" applyFill="1" applyBorder="1" applyAlignment="1">
      <alignment vertical="top" shrinkToFit="1"/>
    </xf>
    <xf numFmtId="0" fontId="11" fillId="0" borderId="44" xfId="18" applyFont="1" applyBorder="1" applyAlignment="1">
      <alignment vertical="top" wrapText="1"/>
    </xf>
    <xf numFmtId="0" fontId="9" fillId="8" borderId="16" xfId="18" applyFont="1" applyFill="1" applyBorder="1" applyAlignment="1">
      <alignment vertical="top" wrapText="1"/>
    </xf>
    <xf numFmtId="0" fontId="9" fillId="8" borderId="13" xfId="18" applyFont="1" applyFill="1" applyBorder="1" applyAlignment="1">
      <alignment vertical="top" wrapText="1"/>
    </xf>
    <xf numFmtId="0" fontId="11" fillId="0" borderId="49" xfId="18" applyFont="1" applyBorder="1" applyAlignment="1">
      <alignment horizontal="right" vertical="top" wrapText="1"/>
    </xf>
    <xf numFmtId="0" fontId="6" fillId="0" borderId="0" xfId="20" applyFont="1" applyAlignment="1">
      <alignment horizontal="center"/>
    </xf>
    <xf numFmtId="0" fontId="11" fillId="0" borderId="0" xfId="21" applyFont="1" applyAlignment="1">
      <alignment horizontal="centerContinuous"/>
    </xf>
    <xf numFmtId="0" fontId="11" fillId="6" borderId="30" xfId="18" applyFont="1" applyFill="1" applyBorder="1" applyAlignment="1">
      <alignment horizontal="left" vertical="top" wrapText="1"/>
    </xf>
    <xf numFmtId="0" fontId="11" fillId="0" borderId="23" xfId="18" applyFont="1" applyBorder="1" applyAlignment="1">
      <alignment horizontal="center" vertical="center" wrapText="1"/>
    </xf>
    <xf numFmtId="0" fontId="9" fillId="6" borderId="29" xfId="18" applyFont="1" applyFill="1" applyBorder="1" applyAlignment="1">
      <alignment vertical="top" wrapText="1"/>
    </xf>
    <xf numFmtId="0" fontId="9" fillId="6" borderId="48" xfId="18" applyFont="1" applyFill="1" applyBorder="1" applyAlignment="1">
      <alignment vertical="top" wrapText="1"/>
    </xf>
    <xf numFmtId="6" fontId="6" fillId="0" borderId="0" xfId="21" applyNumberFormat="1" applyFont="1" applyAlignment="1">
      <alignment horizontal="centerContinuous"/>
    </xf>
    <xf numFmtId="0" fontId="29" fillId="0" borderId="0" xfId="20" applyFont="1"/>
    <xf numFmtId="0" fontId="11" fillId="11" borderId="11" xfId="20" applyFont="1" applyFill="1" applyBorder="1" applyAlignment="1">
      <alignment horizontal="left" vertical="top" wrapText="1"/>
    </xf>
    <xf numFmtId="0" fontId="9" fillId="11" borderId="11" xfId="20" applyFont="1" applyFill="1" applyBorder="1" applyAlignment="1">
      <alignment horizontal="right" vertical="top" wrapText="1"/>
    </xf>
    <xf numFmtId="168" fontId="11" fillId="11" borderId="12" xfId="20" applyNumberFormat="1" applyFont="1" applyFill="1" applyBorder="1" applyAlignment="1">
      <alignment horizontal="left" vertical="top" wrapText="1" indent="3"/>
    </xf>
    <xf numFmtId="0" fontId="31" fillId="0" borderId="0" xfId="20" applyFont="1"/>
    <xf numFmtId="0" fontId="12" fillId="0" borderId="0" xfId="20" applyFont="1"/>
    <xf numFmtId="0" fontId="3" fillId="11" borderId="0" xfId="30" applyFill="1"/>
    <xf numFmtId="0" fontId="6" fillId="11" borderId="0" xfId="21" applyFont="1" applyFill="1" applyAlignment="1">
      <alignment horizontal="center"/>
    </xf>
    <xf numFmtId="0" fontId="5" fillId="11" borderId="0" xfId="23" applyFont="1" applyFill="1" applyAlignment="1">
      <alignment horizontal="center"/>
    </xf>
    <xf numFmtId="0" fontId="3" fillId="11" borderId="0" xfId="30" applyFill="1" applyAlignment="1">
      <alignment horizontal="right"/>
    </xf>
    <xf numFmtId="0" fontId="3" fillId="11" borderId="61" xfId="30" applyFill="1" applyBorder="1"/>
    <xf numFmtId="0" fontId="37" fillId="11" borderId="3" xfId="30" applyFont="1" applyFill="1" applyBorder="1" applyAlignment="1">
      <alignment horizontal="center" vertical="top" wrapText="1"/>
    </xf>
    <xf numFmtId="0" fontId="37" fillId="11" borderId="7" xfId="30" applyFont="1" applyFill="1" applyBorder="1" applyAlignment="1">
      <alignment horizontal="center" vertical="top" wrapText="1"/>
    </xf>
    <xf numFmtId="0" fontId="6" fillId="11" borderId="3" xfId="31" applyFont="1" applyFill="1" applyBorder="1" applyAlignment="1" applyProtection="1">
      <alignment horizontal="center" wrapText="1"/>
      <protection locked="0"/>
    </xf>
    <xf numFmtId="0" fontId="36" fillId="11" borderId="10" xfId="18" applyFont="1" applyFill="1" applyBorder="1" applyAlignment="1" applyProtection="1">
      <alignment horizontal="center" vertical="top" wrapText="1"/>
      <protection locked="0"/>
    </xf>
    <xf numFmtId="0" fontId="36" fillId="11" borderId="3" xfId="18" applyFont="1" applyFill="1" applyBorder="1" applyAlignment="1" applyProtection="1">
      <alignment horizontal="center" vertical="top" wrapText="1"/>
      <protection locked="0"/>
    </xf>
    <xf numFmtId="0" fontId="38" fillId="11" borderId="3" xfId="30" applyFont="1" applyFill="1" applyBorder="1" applyAlignment="1">
      <alignment horizontal="right"/>
    </xf>
    <xf numFmtId="0" fontId="7" fillId="11" borderId="8" xfId="18" applyFill="1" applyBorder="1" applyAlignment="1" applyProtection="1">
      <alignment vertical="top" wrapText="1"/>
      <protection locked="0"/>
    </xf>
    <xf numFmtId="172" fontId="3" fillId="11" borderId="3" xfId="30" applyNumberFormat="1" applyFill="1" applyBorder="1"/>
    <xf numFmtId="165" fontId="3" fillId="11" borderId="3" xfId="32" applyNumberFormat="1" applyFont="1" applyFill="1" applyBorder="1"/>
    <xf numFmtId="43" fontId="3" fillId="11" borderId="3" xfId="30" applyNumberFormat="1" applyFill="1" applyBorder="1"/>
    <xf numFmtId="43" fontId="3" fillId="11" borderId="3" xfId="32" applyFont="1" applyFill="1" applyBorder="1"/>
    <xf numFmtId="0" fontId="38" fillId="11" borderId="3" xfId="30" applyFont="1" applyFill="1" applyBorder="1" applyAlignment="1">
      <alignment horizontal="right" wrapText="1"/>
    </xf>
    <xf numFmtId="0" fontId="11" fillId="0" borderId="51" xfId="18" applyFont="1" applyBorder="1" applyAlignment="1">
      <alignment horizontal="left" vertical="top" wrapText="1"/>
    </xf>
    <xf numFmtId="0" fontId="11" fillId="0" borderId="28" xfId="18" applyFont="1" applyBorder="1" applyAlignment="1">
      <alignment horizontal="left" vertical="top" wrapText="1"/>
    </xf>
    <xf numFmtId="0" fontId="11" fillId="0" borderId="59" xfId="18" applyFont="1" applyBorder="1" applyAlignment="1">
      <alignment horizontal="right" vertical="top" wrapText="1"/>
    </xf>
    <xf numFmtId="0" fontId="7" fillId="10" borderId="0" xfId="18" applyFill="1" applyAlignment="1">
      <alignment vertical="top" wrapText="1"/>
    </xf>
    <xf numFmtId="0" fontId="18" fillId="0" borderId="11" xfId="18" applyFont="1" applyBorder="1" applyAlignment="1">
      <alignment horizontal="center" vertical="top" wrapText="1"/>
    </xf>
    <xf numFmtId="0" fontId="18" fillId="0" borderId="0" xfId="18" applyFont="1" applyAlignment="1">
      <alignment horizontal="center" vertical="top" wrapText="1"/>
    </xf>
    <xf numFmtId="6" fontId="18" fillId="0" borderId="11" xfId="18" applyNumberFormat="1" applyFont="1" applyBorder="1" applyAlignment="1">
      <alignment vertical="top"/>
    </xf>
    <xf numFmtId="0" fontId="11" fillId="0" borderId="29" xfId="18" applyFont="1" applyBorder="1" applyAlignment="1">
      <alignment vertical="top" wrapText="1"/>
    </xf>
    <xf numFmtId="0" fontId="25" fillId="0" borderId="30" xfId="18" applyFont="1" applyBorder="1"/>
    <xf numFmtId="0" fontId="26" fillId="0" borderId="30" xfId="18" applyFont="1" applyBorder="1" applyAlignment="1">
      <alignment vertical="top" shrinkToFit="1"/>
    </xf>
    <xf numFmtId="0" fontId="9" fillId="3" borderId="0" xfId="18" applyFont="1" applyFill="1" applyAlignment="1">
      <alignment vertical="top" wrapText="1"/>
    </xf>
    <xf numFmtId="0" fontId="7" fillId="0" borderId="0" xfId="18" applyAlignment="1">
      <alignment horizontal="left" vertical="center" indent="1"/>
    </xf>
    <xf numFmtId="14" fontId="7" fillId="0" borderId="0" xfId="18" applyNumberFormat="1" applyAlignment="1">
      <alignment vertical="center"/>
    </xf>
    <xf numFmtId="169" fontId="16" fillId="0" borderId="0" xfId="18" applyNumberFormat="1" applyFont="1" applyAlignment="1">
      <alignment horizontal="left" vertical="center"/>
    </xf>
    <xf numFmtId="169" fontId="16" fillId="0" borderId="0" xfId="18" applyNumberFormat="1" applyFont="1" applyAlignment="1">
      <alignment horizontal="center" vertical="center"/>
    </xf>
    <xf numFmtId="0" fontId="7" fillId="0" borderId="0" xfId="18" applyAlignment="1">
      <alignment horizontal="left" vertical="center"/>
    </xf>
    <xf numFmtId="3" fontId="6" fillId="0" borderId="0" xfId="21" applyNumberFormat="1" applyFont="1" applyAlignment="1">
      <alignment horizontal="right" vertical="center"/>
    </xf>
    <xf numFmtId="3" fontId="6" fillId="0" borderId="0" xfId="21" applyNumberFormat="1" applyFont="1" applyAlignment="1">
      <alignment horizontal="center" vertical="center"/>
    </xf>
    <xf numFmtId="0" fontId="12" fillId="11" borderId="52" xfId="20" applyFont="1" applyFill="1" applyBorder="1" applyAlignment="1" applyProtection="1">
      <alignment horizontal="center" vertical="center" wrapText="1"/>
      <protection locked="0"/>
    </xf>
    <xf numFmtId="0" fontId="5" fillId="0" borderId="52" xfId="2" applyNumberFormat="1" applyFont="1" applyBorder="1" applyAlignment="1">
      <alignment horizontal="center" vertical="center"/>
    </xf>
    <xf numFmtId="165" fontId="5" fillId="0" borderId="52" xfId="2" applyNumberFormat="1" applyFont="1" applyFill="1" applyBorder="1" applyAlignment="1">
      <alignment vertical="center"/>
    </xf>
    <xf numFmtId="0" fontId="9" fillId="11" borderId="11" xfId="20" applyFont="1" applyFill="1" applyBorder="1" applyAlignment="1">
      <alignment vertical="top" wrapText="1"/>
    </xf>
    <xf numFmtId="0" fontId="5" fillId="11" borderId="12" xfId="20" applyFill="1" applyBorder="1"/>
    <xf numFmtId="0" fontId="11" fillId="11" borderId="11" xfId="20" applyFont="1" applyFill="1" applyBorder="1" applyAlignment="1">
      <alignment vertical="top" wrapText="1"/>
    </xf>
    <xf numFmtId="0" fontId="9" fillId="11" borderId="11" xfId="20" applyFont="1" applyFill="1" applyBorder="1" applyAlignment="1">
      <alignment horizontal="left" vertical="top" wrapText="1"/>
    </xf>
    <xf numFmtId="0" fontId="9" fillId="11" borderId="12" xfId="20" applyFont="1" applyFill="1" applyBorder="1" applyAlignment="1">
      <alignment horizontal="left" vertical="top" wrapText="1"/>
    </xf>
    <xf numFmtId="0" fontId="18" fillId="11" borderId="11" xfId="20" applyFont="1" applyFill="1" applyBorder="1" applyAlignment="1">
      <alignment horizontal="center" vertical="top"/>
    </xf>
    <xf numFmtId="0" fontId="0" fillId="0" borderId="6" xfId="0" applyBorder="1" applyAlignment="1">
      <alignment horizontal="center" wrapText="1"/>
    </xf>
    <xf numFmtId="0" fontId="0" fillId="0" borderId="8" xfId="0" applyBorder="1" applyAlignment="1">
      <alignment horizontal="center" wrapText="1"/>
    </xf>
    <xf numFmtId="0" fontId="11" fillId="0" borderId="0" xfId="18" applyFont="1" applyAlignment="1">
      <alignment horizontal="center" vertical="center"/>
    </xf>
    <xf numFmtId="0" fontId="7" fillId="0" borderId="52" xfId="18" applyBorder="1" applyAlignment="1">
      <alignment vertical="center"/>
    </xf>
    <xf numFmtId="0" fontId="6" fillId="0" borderId="0" xfId="21" applyFont="1" applyAlignment="1">
      <alignment horizontal="center"/>
    </xf>
    <xf numFmtId="0" fontId="6" fillId="0" borderId="0" xfId="18" applyFont="1" applyAlignment="1">
      <alignment horizontal="center"/>
    </xf>
    <xf numFmtId="0" fontId="6" fillId="0" borderId="0" xfId="18" applyFont="1" applyAlignment="1">
      <alignment horizontal="center" vertical="center"/>
    </xf>
    <xf numFmtId="0" fontId="7" fillId="0" borderId="11" xfId="0" applyFont="1" applyBorder="1"/>
    <xf numFmtId="0" fontId="7" fillId="0" borderId="30" xfId="0" applyFont="1" applyBorder="1"/>
    <xf numFmtId="0" fontId="5" fillId="0" borderId="0" xfId="23" applyFont="1" applyAlignment="1">
      <alignment horizontal="centerContinuous"/>
    </xf>
    <xf numFmtId="0" fontId="9" fillId="0" borderId="0" xfId="23" applyFont="1" applyAlignment="1">
      <alignment horizontal="centerContinuous"/>
    </xf>
    <xf numFmtId="6" fontId="11" fillId="0" borderId="0" xfId="21" applyNumberFormat="1" applyFont="1" applyAlignment="1">
      <alignment horizontal="center"/>
    </xf>
    <xf numFmtId="3" fontId="5" fillId="0" borderId="9" xfId="21" applyNumberFormat="1" applyFont="1" applyBorder="1" applyAlignment="1">
      <alignment horizontal="centerContinuous"/>
    </xf>
    <xf numFmtId="0" fontId="5" fillId="0" borderId="0" xfId="23" applyFont="1"/>
    <xf numFmtId="0" fontId="5" fillId="0" borderId="3" xfId="23" applyFont="1" applyBorder="1"/>
    <xf numFmtId="0" fontId="11" fillId="0" borderId="13" xfId="18" applyFont="1" applyBorder="1" applyAlignment="1">
      <alignment horizontal="center" vertical="center" wrapText="1"/>
    </xf>
    <xf numFmtId="0" fontId="6" fillId="0" borderId="13" xfId="18" applyFont="1" applyBorder="1"/>
    <xf numFmtId="0" fontId="5" fillId="14" borderId="52" xfId="0" applyFont="1" applyFill="1" applyBorder="1"/>
    <xf numFmtId="0" fontId="12" fillId="14" borderId="52" xfId="20" applyFont="1" applyFill="1" applyBorder="1" applyAlignment="1" applyProtection="1">
      <alignment horizontal="center" vertical="center" wrapText="1"/>
      <protection locked="0"/>
    </xf>
    <xf numFmtId="0" fontId="0" fillId="0" borderId="0" xfId="0" applyAlignment="1">
      <alignment wrapText="1"/>
    </xf>
    <xf numFmtId="0" fontId="0" fillId="12" borderId="0" xfId="0" applyFill="1"/>
    <xf numFmtId="0" fontId="42" fillId="12" borderId="0" xfId="35" applyFill="1"/>
    <xf numFmtId="43" fontId="0" fillId="12" borderId="0" xfId="33" applyFont="1" applyFill="1"/>
    <xf numFmtId="43" fontId="0" fillId="0" borderId="0" xfId="33" applyFont="1"/>
    <xf numFmtId="165" fontId="0" fillId="0" borderId="0" xfId="33" applyNumberFormat="1" applyFont="1"/>
    <xf numFmtId="165" fontId="0" fillId="0" borderId="0" xfId="33" applyNumberFormat="1" applyFont="1" applyAlignment="1">
      <alignment wrapText="1"/>
    </xf>
    <xf numFmtId="165" fontId="0" fillId="12" borderId="0" xfId="33" applyNumberFormat="1" applyFont="1" applyFill="1"/>
    <xf numFmtId="173" fontId="0" fillId="12" borderId="0" xfId="34" applyNumberFormat="1" applyFont="1" applyFill="1"/>
    <xf numFmtId="173" fontId="0" fillId="0" borderId="0" xfId="34" applyNumberFormat="1" applyFont="1"/>
    <xf numFmtId="165" fontId="0" fillId="12" borderId="0" xfId="0" applyNumberFormat="1" applyFill="1"/>
    <xf numFmtId="0" fontId="37" fillId="0" borderId="0" xfId="0" applyFont="1"/>
    <xf numFmtId="0" fontId="37" fillId="0" borderId="3" xfId="0" applyFont="1" applyBorder="1" applyAlignment="1">
      <alignment horizontal="center" vertical="center"/>
    </xf>
    <xf numFmtId="0" fontId="0" fillId="0" borderId="3" xfId="0" applyBorder="1" applyAlignment="1">
      <alignment horizontal="center" vertical="center"/>
    </xf>
    <xf numFmtId="10" fontId="0" fillId="0" borderId="3" xfId="34" applyNumberFormat="1" applyFont="1" applyBorder="1" applyAlignment="1">
      <alignment horizontal="center" vertical="center"/>
    </xf>
    <xf numFmtId="0" fontId="0" fillId="14" borderId="3" xfId="0" applyFill="1" applyBorder="1" applyAlignment="1">
      <alignment horizontal="center" vertical="center"/>
    </xf>
    <xf numFmtId="10" fontId="0" fillId="14" borderId="3" xfId="34" applyNumberFormat="1" applyFont="1" applyFill="1" applyBorder="1" applyAlignment="1">
      <alignment horizontal="center" vertical="center"/>
    </xf>
    <xf numFmtId="0" fontId="12" fillId="0" borderId="0" xfId="0" applyFont="1"/>
    <xf numFmtId="0" fontId="5" fillId="0" borderId="0" xfId="0" applyFont="1"/>
    <xf numFmtId="0" fontId="5" fillId="12" borderId="0" xfId="0" applyFont="1" applyFill="1"/>
    <xf numFmtId="0" fontId="2" fillId="0" borderId="0" xfId="36"/>
    <xf numFmtId="0" fontId="43" fillId="15" borderId="0" xfId="36" applyFont="1" applyFill="1" applyAlignment="1">
      <alignment vertical="center" wrapText="1"/>
    </xf>
    <xf numFmtId="3" fontId="43" fillId="15" borderId="0" xfId="36" applyNumberFormat="1" applyFont="1" applyFill="1" applyAlignment="1">
      <alignment vertical="center" wrapText="1"/>
    </xf>
    <xf numFmtId="3" fontId="43" fillId="15" borderId="0" xfId="36" applyNumberFormat="1" applyFont="1" applyFill="1" applyAlignment="1">
      <alignment horizontal="right" vertical="center" wrapText="1"/>
    </xf>
    <xf numFmtId="10" fontId="43" fillId="15" borderId="0" xfId="36" applyNumberFormat="1" applyFont="1" applyFill="1" applyAlignment="1">
      <alignment horizontal="right" vertical="center" wrapText="1"/>
    </xf>
    <xf numFmtId="174" fontId="0" fillId="0" borderId="0" xfId="37" applyNumberFormat="1" applyFont="1"/>
    <xf numFmtId="0" fontId="43" fillId="15" borderId="0" xfId="36" applyFont="1" applyFill="1" applyAlignment="1">
      <alignment horizontal="right" vertical="center" wrapText="1"/>
    </xf>
    <xf numFmtId="0" fontId="44" fillId="0" borderId="0" xfId="38"/>
    <xf numFmtId="43" fontId="2" fillId="0" borderId="0" xfId="36" applyNumberFormat="1"/>
    <xf numFmtId="43" fontId="0" fillId="0" borderId="0" xfId="39" applyFont="1"/>
    <xf numFmtId="43" fontId="0" fillId="16" borderId="0" xfId="39" applyFont="1" applyFill="1"/>
    <xf numFmtId="175" fontId="0" fillId="0" borderId="0" xfId="39" applyNumberFormat="1" applyFont="1"/>
    <xf numFmtId="2" fontId="2" fillId="0" borderId="0" xfId="36" applyNumberFormat="1"/>
    <xf numFmtId="2" fontId="46" fillId="0" borderId="0" xfId="36" applyNumberFormat="1" applyFont="1"/>
    <xf numFmtId="173" fontId="0" fillId="0" borderId="0" xfId="37" applyNumberFormat="1" applyFont="1"/>
    <xf numFmtId="175" fontId="2" fillId="0" borderId="0" xfId="36" applyNumberFormat="1"/>
    <xf numFmtId="0" fontId="37" fillId="0" borderId="0" xfId="36" applyFont="1"/>
    <xf numFmtId="0" fontId="37" fillId="0" borderId="3" xfId="36" applyFont="1" applyBorder="1" applyAlignment="1">
      <alignment horizontal="center" vertical="center"/>
    </xf>
    <xf numFmtId="0" fontId="2" fillId="0" borderId="63" xfId="36" applyBorder="1" applyAlignment="1">
      <alignment horizontal="center" vertical="center"/>
    </xf>
    <xf numFmtId="10" fontId="0" fillId="0" borderId="3" xfId="37" applyNumberFormat="1" applyFont="1" applyBorder="1" applyAlignment="1">
      <alignment horizontal="center"/>
    </xf>
    <xf numFmtId="0" fontId="37" fillId="0" borderId="64" xfId="36" applyFont="1" applyBorder="1" applyAlignment="1">
      <alignment horizontal="center" vertical="center"/>
    </xf>
    <xf numFmtId="10" fontId="37" fillId="0" borderId="65" xfId="37" applyNumberFormat="1" applyFont="1" applyBorder="1" applyAlignment="1">
      <alignment horizontal="center"/>
    </xf>
    <xf numFmtId="0" fontId="2" fillId="0" borderId="0" xfId="36" applyAlignment="1">
      <alignment horizontal="left" vertical="center"/>
    </xf>
    <xf numFmtId="43" fontId="37" fillId="0" borderId="0" xfId="39" applyFont="1"/>
    <xf numFmtId="9" fontId="0" fillId="0" borderId="0" xfId="37" applyFont="1"/>
    <xf numFmtId="0" fontId="2" fillId="14" borderId="0" xfId="36" applyFill="1"/>
    <xf numFmtId="10" fontId="2" fillId="14" borderId="0" xfId="36" applyNumberFormat="1" applyFill="1"/>
    <xf numFmtId="174" fontId="2" fillId="14" borderId="0" xfId="36" applyNumberFormat="1" applyFill="1"/>
    <xf numFmtId="2" fontId="2" fillId="14" borderId="0" xfId="36" applyNumberFormat="1" applyFill="1"/>
    <xf numFmtId="0" fontId="2" fillId="14" borderId="32" xfId="36" applyFill="1" applyBorder="1" applyAlignment="1">
      <alignment horizontal="center" vertical="center"/>
    </xf>
    <xf numFmtId="0" fontId="2" fillId="14" borderId="3" xfId="36" applyFill="1" applyBorder="1" applyAlignment="1">
      <alignment horizontal="center" vertical="center"/>
    </xf>
    <xf numFmtId="173" fontId="0" fillId="14" borderId="3" xfId="37" applyNumberFormat="1" applyFont="1" applyFill="1" applyBorder="1" applyAlignment="1">
      <alignment horizontal="center"/>
    </xf>
    <xf numFmtId="173" fontId="37" fillId="14" borderId="65" xfId="37" applyNumberFormat="1" applyFont="1" applyFill="1" applyBorder="1" applyAlignment="1">
      <alignment horizontal="center"/>
    </xf>
    <xf numFmtId="0" fontId="37" fillId="14" borderId="0" xfId="36" applyFont="1" applyFill="1"/>
    <xf numFmtId="0" fontId="47" fillId="0" borderId="0" xfId="0" applyFont="1" applyAlignment="1">
      <alignment vertical="center"/>
    </xf>
    <xf numFmtId="0" fontId="42" fillId="0" borderId="0" xfId="35" applyAlignment="1">
      <alignment vertical="center"/>
    </xf>
    <xf numFmtId="0" fontId="49" fillId="15" borderId="0" xfId="0" applyFont="1" applyFill="1" applyAlignment="1">
      <alignment vertical="center" wrapText="1"/>
    </xf>
    <xf numFmtId="0" fontId="48" fillId="15" borderId="0" xfId="0" applyFont="1" applyFill="1" applyAlignment="1">
      <alignment vertical="center" wrapText="1"/>
    </xf>
    <xf numFmtId="3" fontId="49" fillId="15" borderId="0" xfId="0" applyNumberFormat="1" applyFont="1" applyFill="1" applyAlignment="1">
      <alignment horizontal="right" vertical="center" wrapText="1"/>
    </xf>
    <xf numFmtId="10" fontId="49" fillId="15" borderId="0" xfId="0" applyNumberFormat="1" applyFont="1" applyFill="1" applyAlignment="1">
      <alignment horizontal="right" vertical="center" wrapText="1"/>
    </xf>
    <xf numFmtId="3" fontId="49" fillId="15" borderId="0" xfId="0" applyNumberFormat="1" applyFont="1" applyFill="1" applyAlignment="1">
      <alignment vertical="center" wrapText="1"/>
    </xf>
    <xf numFmtId="0" fontId="49" fillId="15" borderId="0" xfId="0" applyFont="1" applyFill="1" applyAlignment="1">
      <alignment horizontal="right" vertical="center" wrapText="1"/>
    </xf>
    <xf numFmtId="10" fontId="5" fillId="12" borderId="3" xfId="34" applyNumberFormat="1" applyFont="1" applyFill="1" applyBorder="1"/>
    <xf numFmtId="10" fontId="5" fillId="0" borderId="3" xfId="34" applyNumberFormat="1" applyFont="1" applyBorder="1"/>
    <xf numFmtId="10" fontId="5" fillId="0" borderId="6" xfId="34" applyNumberFormat="1" applyFont="1" applyBorder="1"/>
    <xf numFmtId="10" fontId="0" fillId="0" borderId="0" xfId="34" applyNumberFormat="1" applyFont="1"/>
    <xf numFmtId="3" fontId="0" fillId="0" borderId="0" xfId="0" applyNumberFormat="1"/>
    <xf numFmtId="10" fontId="0" fillId="12" borderId="3" xfId="34" applyNumberFormat="1" applyFont="1" applyFill="1" applyBorder="1"/>
    <xf numFmtId="10" fontId="0" fillId="0" borderId="6" xfId="34" applyNumberFormat="1" applyFont="1" applyBorder="1"/>
    <xf numFmtId="43" fontId="1" fillId="11" borderId="3" xfId="33" applyFont="1" applyFill="1" applyBorder="1"/>
    <xf numFmtId="0" fontId="2" fillId="17" borderId="0" xfId="36" applyFill="1"/>
    <xf numFmtId="43" fontId="0" fillId="17" borderId="0" xfId="39" applyFont="1" applyFill="1"/>
    <xf numFmtId="175" fontId="0" fillId="17" borderId="0" xfId="39" applyNumberFormat="1" applyFont="1" applyFill="1"/>
    <xf numFmtId="2" fontId="2" fillId="17" borderId="0" xfId="36" applyNumberFormat="1" applyFill="1"/>
    <xf numFmtId="2" fontId="45" fillId="17" borderId="0" xfId="36" applyNumberFormat="1" applyFont="1" applyFill="1"/>
    <xf numFmtId="2" fontId="46" fillId="17" borderId="0" xfId="36" applyNumberFormat="1" applyFont="1" applyFill="1"/>
    <xf numFmtId="0" fontId="37" fillId="17" borderId="34" xfId="36" applyFont="1" applyFill="1" applyBorder="1" applyAlignment="1">
      <alignment horizontal="center" vertical="center"/>
    </xf>
    <xf numFmtId="10" fontId="0" fillId="17" borderId="34" xfId="37" applyNumberFormat="1" applyFont="1" applyFill="1" applyBorder="1" applyAlignment="1">
      <alignment horizontal="center"/>
    </xf>
    <xf numFmtId="10" fontId="37" fillId="17" borderId="47" xfId="37" applyNumberFormat="1" applyFont="1" applyFill="1" applyBorder="1" applyAlignment="1">
      <alignment horizontal="center"/>
    </xf>
    <xf numFmtId="43" fontId="37" fillId="17" borderId="0" xfId="39" applyFont="1" applyFill="1"/>
    <xf numFmtId="9" fontId="0" fillId="17" borderId="0" xfId="37" applyFont="1" applyFill="1"/>
    <xf numFmtId="43" fontId="31" fillId="14" borderId="0" xfId="39" applyFont="1" applyFill="1" applyAlignment="1">
      <alignment horizontal="right"/>
    </xf>
    <xf numFmtId="0" fontId="50" fillId="0" borderId="0" xfId="36" applyFont="1"/>
    <xf numFmtId="0" fontId="50" fillId="14" borderId="0" xfId="36" applyFont="1" applyFill="1"/>
    <xf numFmtId="43" fontId="52" fillId="0" borderId="0" xfId="39" applyFont="1"/>
    <xf numFmtId="43" fontId="52" fillId="17" borderId="0" xfId="39" applyFont="1" applyFill="1"/>
    <xf numFmtId="0" fontId="50" fillId="0" borderId="63" xfId="36" applyFont="1" applyBorder="1" applyAlignment="1">
      <alignment horizontal="center" vertical="center"/>
    </xf>
    <xf numFmtId="173" fontId="52" fillId="14" borderId="3" xfId="37" applyNumberFormat="1" applyFont="1" applyFill="1" applyBorder="1" applyAlignment="1">
      <alignment horizontal="center"/>
    </xf>
    <xf numFmtId="10" fontId="52" fillId="0" borderId="3" xfId="37" applyNumberFormat="1" applyFont="1" applyBorder="1" applyAlignment="1">
      <alignment horizontal="center"/>
    </xf>
    <xf numFmtId="10" fontId="52" fillId="17" borderId="34" xfId="37" applyNumberFormat="1" applyFont="1" applyFill="1" applyBorder="1" applyAlignment="1">
      <alignment horizontal="center"/>
    </xf>
    <xf numFmtId="165" fontId="5" fillId="0" borderId="3" xfId="33" applyNumberFormat="1" applyFont="1" applyBorder="1"/>
    <xf numFmtId="10" fontId="37" fillId="0" borderId="0" xfId="36" applyNumberFormat="1" applyFont="1"/>
    <xf numFmtId="3" fontId="12" fillId="0" borderId="0" xfId="0" applyNumberFormat="1" applyFont="1"/>
    <xf numFmtId="0" fontId="52" fillId="0" borderId="3" xfId="20" applyFont="1" applyBorder="1" applyAlignment="1" applyProtection="1">
      <alignment horizontal="center" wrapText="1"/>
      <protection locked="0"/>
    </xf>
    <xf numFmtId="165" fontId="5" fillId="14" borderId="3" xfId="33" applyNumberFormat="1" applyFont="1" applyFill="1" applyBorder="1"/>
    <xf numFmtId="10" fontId="5" fillId="0" borderId="0" xfId="34" applyNumberFormat="1" applyFont="1"/>
    <xf numFmtId="0" fontId="53" fillId="18" borderId="3" xfId="20" applyFont="1" applyFill="1" applyBorder="1"/>
    <xf numFmtId="165" fontId="53" fillId="18" borderId="3" xfId="33" applyNumberFormat="1" applyFont="1" applyFill="1" applyBorder="1"/>
    <xf numFmtId="3" fontId="53" fillId="18" borderId="3" xfId="20" applyNumberFormat="1" applyFont="1" applyFill="1" applyBorder="1"/>
    <xf numFmtId="165" fontId="5" fillId="0" borderId="0" xfId="20" applyNumberFormat="1"/>
    <xf numFmtId="3" fontId="5" fillId="12" borderId="3" xfId="20" applyNumberFormat="1" applyFill="1" applyBorder="1" applyAlignment="1">
      <alignment horizontal="center"/>
    </xf>
    <xf numFmtId="3" fontId="5" fillId="0" borderId="0" xfId="20" applyNumberFormat="1"/>
    <xf numFmtId="165" fontId="5" fillId="0" borderId="3" xfId="33" applyNumberFormat="1" applyFont="1" applyFill="1" applyBorder="1"/>
    <xf numFmtId="43" fontId="5" fillId="0" borderId="0" xfId="20" applyNumberFormat="1"/>
    <xf numFmtId="0" fontId="5" fillId="19" borderId="0" xfId="0" applyFont="1" applyFill="1"/>
    <xf numFmtId="0" fontId="52" fillId="0" borderId="6" xfId="0" applyFont="1" applyBorder="1" applyAlignment="1">
      <alignment horizontal="center" wrapText="1"/>
    </xf>
    <xf numFmtId="9" fontId="0" fillId="0" borderId="0" xfId="34" applyFont="1"/>
    <xf numFmtId="0" fontId="0" fillId="18" borderId="6" xfId="0" applyFill="1" applyBorder="1"/>
    <xf numFmtId="0" fontId="0" fillId="18" borderId="3" xfId="0" applyFill="1" applyBorder="1"/>
    <xf numFmtId="3" fontId="0" fillId="18" borderId="3" xfId="0" applyNumberFormat="1" applyFill="1" applyBorder="1"/>
    <xf numFmtId="9" fontId="5" fillId="18" borderId="0" xfId="34" applyFont="1" applyFill="1"/>
    <xf numFmtId="9" fontId="0" fillId="0" borderId="0" xfId="0" applyNumberFormat="1"/>
    <xf numFmtId="176" fontId="0" fillId="0" borderId="6" xfId="0" applyNumberFormat="1" applyBorder="1"/>
    <xf numFmtId="9" fontId="5" fillId="0" borderId="0" xfId="0" applyNumberFormat="1" applyFont="1" applyAlignment="1">
      <alignment horizontal="right"/>
    </xf>
    <xf numFmtId="0" fontId="5" fillId="0" borderId="0" xfId="0" applyFont="1" applyAlignment="1">
      <alignment horizontal="center"/>
    </xf>
    <xf numFmtId="0" fontId="0" fillId="19" borderId="0" xfId="0" applyFill="1"/>
    <xf numFmtId="9" fontId="0" fillId="12" borderId="3" xfId="34" applyFont="1" applyFill="1" applyBorder="1"/>
    <xf numFmtId="9" fontId="0" fillId="0" borderId="3" xfId="34" applyFont="1" applyBorder="1"/>
    <xf numFmtId="9" fontId="8" fillId="0" borderId="0" xfId="34" applyFont="1"/>
    <xf numFmtId="0" fontId="5" fillId="18" borderId="3" xfId="23" applyFont="1" applyFill="1" applyBorder="1"/>
    <xf numFmtId="0" fontId="54" fillId="0" borderId="0" xfId="18" applyFont="1" applyAlignment="1">
      <alignment horizontal="center"/>
    </xf>
    <xf numFmtId="0" fontId="9" fillId="18" borderId="17" xfId="18" applyFont="1" applyFill="1" applyBorder="1" applyAlignment="1">
      <alignment vertical="top" wrapText="1"/>
    </xf>
    <xf numFmtId="0" fontId="9" fillId="18" borderId="18" xfId="18" applyFont="1" applyFill="1" applyBorder="1" applyAlignment="1">
      <alignment vertical="top" wrapText="1"/>
    </xf>
    <xf numFmtId="0" fontId="9" fillId="18" borderId="15" xfId="18" applyFont="1" applyFill="1" applyBorder="1" applyAlignment="1">
      <alignment vertical="top" wrapText="1"/>
    </xf>
    <xf numFmtId="0" fontId="9" fillId="18" borderId="16" xfId="18" applyFont="1" applyFill="1" applyBorder="1" applyAlignment="1">
      <alignment vertical="top" wrapText="1"/>
    </xf>
    <xf numFmtId="0" fontId="9" fillId="18" borderId="19" xfId="18" applyFont="1" applyFill="1" applyBorder="1" applyAlignment="1">
      <alignment vertical="top" wrapText="1"/>
    </xf>
    <xf numFmtId="0" fontId="9" fillId="18" borderId="20" xfId="18" applyFont="1" applyFill="1" applyBorder="1" applyAlignment="1">
      <alignment vertical="top" wrapText="1"/>
    </xf>
    <xf numFmtId="0" fontId="9" fillId="18" borderId="21" xfId="18" applyFont="1" applyFill="1" applyBorder="1" applyAlignment="1">
      <alignment vertical="top" wrapText="1"/>
    </xf>
    <xf numFmtId="0" fontId="9" fillId="18" borderId="13" xfId="18" applyFont="1" applyFill="1" applyBorder="1" applyAlignment="1">
      <alignment vertical="top" wrapText="1"/>
    </xf>
    <xf numFmtId="0" fontId="9" fillId="18" borderId="22" xfId="18" applyFont="1" applyFill="1" applyBorder="1" applyAlignment="1">
      <alignment vertical="top" wrapText="1"/>
    </xf>
    <xf numFmtId="0" fontId="9" fillId="18" borderId="24" xfId="18" applyFont="1" applyFill="1" applyBorder="1" applyAlignment="1">
      <alignment vertical="top" wrapText="1"/>
    </xf>
    <xf numFmtId="0" fontId="9" fillId="18" borderId="25" xfId="18" applyFont="1" applyFill="1" applyBorder="1" applyAlignment="1">
      <alignment vertical="top" wrapText="1"/>
    </xf>
    <xf numFmtId="0" fontId="9" fillId="18" borderId="31" xfId="18" applyFont="1" applyFill="1" applyBorder="1" applyAlignment="1">
      <alignment vertical="top" wrapText="1"/>
    </xf>
    <xf numFmtId="0" fontId="9" fillId="18" borderId="26" xfId="18" applyFont="1" applyFill="1" applyBorder="1" applyAlignment="1">
      <alignment vertical="top" wrapText="1"/>
    </xf>
    <xf numFmtId="0" fontId="9" fillId="18" borderId="27" xfId="18" applyFont="1" applyFill="1" applyBorder="1" applyAlignment="1">
      <alignment vertical="top" wrapText="1"/>
    </xf>
    <xf numFmtId="0" fontId="9" fillId="18" borderId="44" xfId="18" applyFont="1" applyFill="1" applyBorder="1" applyAlignment="1">
      <alignment vertical="top" wrapText="1"/>
    </xf>
    <xf numFmtId="0" fontId="14" fillId="18" borderId="15" xfId="18" applyFont="1" applyFill="1" applyBorder="1" applyAlignment="1">
      <alignment horizontal="center" vertical="top" wrapText="1"/>
    </xf>
    <xf numFmtId="0" fontId="14" fillId="18" borderId="16" xfId="18" applyFont="1" applyFill="1" applyBorder="1" applyAlignment="1">
      <alignment horizontal="center" vertical="top" wrapText="1"/>
    </xf>
    <xf numFmtId="0" fontId="14" fillId="18" borderId="13" xfId="18" applyFont="1" applyFill="1" applyBorder="1" applyAlignment="1">
      <alignment horizontal="center" vertical="top" wrapText="1"/>
    </xf>
    <xf numFmtId="0" fontId="7" fillId="18" borderId="0" xfId="18" applyFill="1" applyAlignment="1">
      <alignment vertical="top" wrapText="1"/>
    </xf>
    <xf numFmtId="0" fontId="7" fillId="18" borderId="12" xfId="18" applyFill="1" applyBorder="1" applyAlignment="1">
      <alignment vertical="top" wrapText="1"/>
    </xf>
    <xf numFmtId="0" fontId="18" fillId="18" borderId="13" xfId="18" applyFont="1" applyFill="1" applyBorder="1" applyAlignment="1">
      <alignment horizontal="right" vertical="center" wrapText="1"/>
    </xf>
    <xf numFmtId="0" fontId="9" fillId="3" borderId="15" xfId="18" applyFont="1" applyFill="1" applyBorder="1" applyAlignment="1">
      <alignment horizontal="center" vertical="top" wrapText="1"/>
    </xf>
    <xf numFmtId="2" fontId="9" fillId="8" borderId="18" xfId="18" applyNumberFormat="1" applyFont="1" applyFill="1" applyBorder="1" applyAlignment="1">
      <alignment horizontal="right" vertical="top" wrapText="1"/>
    </xf>
    <xf numFmtId="0" fontId="7" fillId="0" borderId="0" xfId="18" applyAlignment="1">
      <alignment horizontal="right"/>
    </xf>
    <xf numFmtId="177" fontId="9" fillId="0" borderId="19" xfId="18" applyNumberFormat="1" applyFont="1" applyBorder="1" applyAlignment="1">
      <alignment vertical="top" wrapText="1"/>
    </xf>
    <xf numFmtId="176" fontId="0" fillId="12" borderId="3" xfId="0" applyNumberFormat="1" applyFill="1" applyBorder="1"/>
    <xf numFmtId="43" fontId="7" fillId="0" borderId="0" xfId="33" applyFont="1"/>
    <xf numFmtId="177" fontId="14" fillId="9" borderId="15" xfId="18" applyNumberFormat="1" applyFont="1" applyFill="1" applyBorder="1" applyAlignment="1">
      <alignment horizontal="center" vertical="top" wrapText="1"/>
    </xf>
    <xf numFmtId="0" fontId="9" fillId="0" borderId="22" xfId="18" applyFont="1" applyBorder="1" applyAlignment="1">
      <alignment horizontal="right" vertical="top" wrapText="1"/>
    </xf>
    <xf numFmtId="0" fontId="9" fillId="0" borderId="17" xfId="18" applyFont="1" applyFill="1" applyBorder="1" applyAlignment="1">
      <alignment vertical="top" wrapText="1"/>
    </xf>
    <xf numFmtId="0" fontId="9" fillId="0" borderId="25" xfId="18" applyFont="1" applyFill="1" applyBorder="1" applyAlignment="1">
      <alignment vertical="top" wrapText="1"/>
    </xf>
    <xf numFmtId="0" fontId="9" fillId="0" borderId="19" xfId="18" applyFont="1" applyFill="1" applyBorder="1" applyAlignment="1">
      <alignment vertical="top" wrapText="1"/>
    </xf>
    <xf numFmtId="0" fontId="9" fillId="0" borderId="50" xfId="18" applyFont="1" applyFill="1" applyBorder="1" applyAlignment="1">
      <alignment vertical="top" wrapText="1"/>
    </xf>
    <xf numFmtId="0" fontId="9" fillId="0" borderId="24" xfId="18" applyFont="1" applyFill="1" applyBorder="1" applyAlignment="1">
      <alignment vertical="top" wrapText="1"/>
    </xf>
    <xf numFmtId="0" fontId="9" fillId="0" borderId="22" xfId="18" applyFont="1" applyFill="1" applyBorder="1" applyAlignment="1">
      <alignment vertical="top" wrapText="1"/>
    </xf>
    <xf numFmtId="0" fontId="9" fillId="0" borderId="11" xfId="18" applyFont="1" applyFill="1" applyBorder="1" applyAlignment="1">
      <alignment vertical="top" wrapText="1"/>
    </xf>
    <xf numFmtId="177" fontId="9" fillId="0" borderId="19" xfId="18" applyNumberFormat="1" applyFont="1" applyFill="1" applyBorder="1" applyAlignment="1">
      <alignment vertical="top" wrapText="1"/>
    </xf>
    <xf numFmtId="43" fontId="7" fillId="0" borderId="0" xfId="33" applyFont="1" applyBorder="1"/>
    <xf numFmtId="177" fontId="9" fillId="0" borderId="0" xfId="18" applyNumberFormat="1" applyFont="1" applyBorder="1" applyAlignment="1">
      <alignment vertical="top" wrapText="1"/>
    </xf>
    <xf numFmtId="0" fontId="7" fillId="0" borderId="0" xfId="18" applyFill="1"/>
    <xf numFmtId="0" fontId="9" fillId="11" borderId="11" xfId="20" applyFont="1" applyFill="1" applyBorder="1" applyAlignment="1">
      <alignment vertical="top" wrapText="1"/>
    </xf>
    <xf numFmtId="0" fontId="5" fillId="11" borderId="12" xfId="20" applyFill="1" applyBorder="1"/>
    <xf numFmtId="0" fontId="27" fillId="11" borderId="43" xfId="20" applyFont="1" applyFill="1" applyBorder="1" applyAlignment="1">
      <alignment horizontal="center" vertical="top"/>
    </xf>
    <xf numFmtId="0" fontId="27" fillId="11" borderId="27" xfId="20" applyFont="1" applyFill="1" applyBorder="1" applyAlignment="1">
      <alignment horizontal="center" vertical="top"/>
    </xf>
    <xf numFmtId="0" fontId="18" fillId="11" borderId="11" xfId="20" applyFont="1" applyFill="1" applyBorder="1" applyAlignment="1">
      <alignment horizontal="center" vertical="top"/>
    </xf>
    <xf numFmtId="0" fontId="18" fillId="11" borderId="12" xfId="20" applyFont="1" applyFill="1" applyBorder="1" applyAlignment="1">
      <alignment horizontal="center" vertical="top"/>
    </xf>
    <xf numFmtId="0" fontId="11" fillId="11" borderId="11" xfId="20" applyFont="1" applyFill="1" applyBorder="1" applyAlignment="1">
      <alignment vertical="top" wrapText="1"/>
    </xf>
    <xf numFmtId="0" fontId="12" fillId="11" borderId="12" xfId="20" applyFont="1" applyFill="1" applyBorder="1"/>
    <xf numFmtId="0" fontId="9" fillId="11" borderId="11" xfId="20" applyFont="1" applyFill="1" applyBorder="1" applyAlignment="1">
      <alignment horizontal="left" vertical="top" wrapText="1"/>
    </xf>
    <xf numFmtId="0" fontId="9" fillId="11" borderId="12" xfId="20" applyFont="1" applyFill="1" applyBorder="1" applyAlignment="1">
      <alignment horizontal="left" vertical="top" wrapText="1"/>
    </xf>
    <xf numFmtId="0" fontId="9" fillId="11" borderId="30" xfId="20" applyFont="1" applyFill="1" applyBorder="1" applyAlignment="1">
      <alignment wrapText="1"/>
    </xf>
    <xf numFmtId="0" fontId="9" fillId="11" borderId="48" xfId="20" applyFont="1" applyFill="1" applyBorder="1" applyAlignment="1">
      <alignment wrapText="1"/>
    </xf>
    <xf numFmtId="6" fontId="6" fillId="0" borderId="0" xfId="20" applyNumberFormat="1" applyFont="1" applyAlignment="1">
      <alignment horizontal="center"/>
    </xf>
    <xf numFmtId="0" fontId="6" fillId="0" borderId="0" xfId="20" applyFont="1" applyAlignment="1">
      <alignment horizontal="center"/>
    </xf>
    <xf numFmtId="0" fontId="11" fillId="0" borderId="0" xfId="20" applyFont="1" applyAlignment="1">
      <alignment horizontal="center" vertical="top" wrapText="1"/>
    </xf>
    <xf numFmtId="0" fontId="14" fillId="7" borderId="0" xfId="20" applyFont="1" applyFill="1" applyAlignment="1">
      <alignment horizontal="center"/>
    </xf>
    <xf numFmtId="0" fontId="6" fillId="0" borderId="0" xfId="20" quotePrefix="1" applyFont="1" applyAlignment="1">
      <alignment horizontal="center"/>
    </xf>
    <xf numFmtId="0" fontId="11" fillId="0" borderId="0" xfId="20" applyFont="1" applyAlignment="1">
      <alignment horizontal="center"/>
    </xf>
    <xf numFmtId="0" fontId="5" fillId="6" borderId="6" xfId="0" applyFont="1" applyFill="1" applyBorder="1" applyAlignment="1" applyProtection="1">
      <alignment horizontal="center" wrapText="1"/>
      <protection locked="0"/>
    </xf>
    <xf numFmtId="0" fontId="0" fillId="6" borderId="8" xfId="0" applyFill="1" applyBorder="1" applyAlignment="1" applyProtection="1">
      <alignment horizontal="center" wrapText="1"/>
      <protection locked="0"/>
    </xf>
    <xf numFmtId="0" fontId="0" fillId="0" borderId="6" xfId="0" applyBorder="1" applyAlignment="1">
      <alignment horizontal="center" wrapText="1"/>
    </xf>
    <xf numFmtId="0" fontId="0" fillId="0" borderId="8" xfId="0" applyBorder="1" applyAlignment="1">
      <alignment horizontal="center" wrapText="1"/>
    </xf>
    <xf numFmtId="0" fontId="52" fillId="0" borderId="6" xfId="0" applyFont="1" applyBorder="1" applyAlignment="1">
      <alignment horizontal="center" wrapText="1"/>
    </xf>
    <xf numFmtId="0" fontId="52" fillId="0" borderId="8" xfId="0" applyFont="1" applyBorder="1" applyAlignment="1">
      <alignment horizontal="center" wrapText="1"/>
    </xf>
    <xf numFmtId="0" fontId="14" fillId="7" borderId="0" xfId="0" applyFont="1" applyFill="1" applyAlignment="1">
      <alignment horizontal="center"/>
    </xf>
    <xf numFmtId="6" fontId="6" fillId="0" borderId="0" xfId="0" applyNumberFormat="1" applyFont="1" applyAlignment="1">
      <alignment horizontal="center"/>
    </xf>
    <xf numFmtId="0" fontId="6" fillId="0" borderId="0" xfId="0" applyFont="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6" borderId="7" xfId="0" applyFill="1" applyBorder="1" applyAlignment="1">
      <alignment horizontal="center" wrapText="1"/>
    </xf>
    <xf numFmtId="0" fontId="0" fillId="6" borderId="9" xfId="0" applyFill="1" applyBorder="1" applyAlignment="1">
      <alignment horizontal="center" wrapText="1"/>
    </xf>
    <xf numFmtId="0" fontId="0" fillId="6" borderId="10" xfId="0" applyFill="1" applyBorder="1" applyAlignment="1">
      <alignment horizontal="center" wrapText="1"/>
    </xf>
    <xf numFmtId="0" fontId="15" fillId="7" borderId="0" xfId="0" applyFont="1" applyFill="1" applyAlignment="1">
      <alignment horizontal="center"/>
    </xf>
    <xf numFmtId="0" fontId="7" fillId="0" borderId="45" xfId="0" applyFont="1" applyBorder="1" applyAlignment="1">
      <alignment horizontal="center"/>
    </xf>
    <xf numFmtId="0" fontId="7" fillId="0" borderId="0" xfId="0" applyFont="1" applyAlignment="1">
      <alignment horizontal="center"/>
    </xf>
    <xf numFmtId="0" fontId="37" fillId="0" borderId="62" xfId="36" applyFont="1" applyBorder="1" applyAlignment="1">
      <alignment horizontal="center" vertical="center"/>
    </xf>
    <xf numFmtId="0" fontId="37" fillId="0" borderId="63" xfId="36" applyFont="1" applyBorder="1" applyAlignment="1">
      <alignment horizontal="center" vertical="center"/>
    </xf>
    <xf numFmtId="0" fontId="37" fillId="0" borderId="32" xfId="36" applyFont="1" applyBorder="1" applyAlignment="1">
      <alignment horizontal="center" vertical="center"/>
    </xf>
    <xf numFmtId="0" fontId="37" fillId="0" borderId="33" xfId="36" applyFont="1" applyBorder="1" applyAlignment="1">
      <alignment horizontal="center" vertical="center"/>
    </xf>
    <xf numFmtId="0" fontId="49" fillId="15" borderId="0" xfId="0" applyFont="1" applyFill="1" applyAlignment="1">
      <alignment vertical="center" wrapText="1"/>
    </xf>
    <xf numFmtId="3" fontId="6" fillId="0" borderId="57" xfId="21" applyNumberFormat="1" applyFont="1" applyBorder="1" applyAlignment="1">
      <alignment horizontal="left" vertical="center" indent="1"/>
    </xf>
    <xf numFmtId="3" fontId="6" fillId="0" borderId="54" xfId="21" applyNumberFormat="1" applyFont="1" applyBorder="1" applyAlignment="1">
      <alignment horizontal="left" vertical="center" indent="1"/>
    </xf>
    <xf numFmtId="0" fontId="16" fillId="0" borderId="54" xfId="18" applyFont="1" applyBorder="1" applyAlignment="1">
      <alignment vertical="center"/>
    </xf>
    <xf numFmtId="0" fontId="14" fillId="13" borderId="0" xfId="18" applyFont="1" applyFill="1" applyAlignment="1">
      <alignment horizontal="center" vertical="center"/>
    </xf>
    <xf numFmtId="6" fontId="11" fillId="0" borderId="0" xfId="18" applyNumberFormat="1" applyFont="1" applyAlignment="1">
      <alignment horizontal="center" vertical="center"/>
    </xf>
    <xf numFmtId="0" fontId="11" fillId="0" borderId="0" xfId="18" applyFont="1" applyAlignment="1">
      <alignment horizontal="center" vertical="center"/>
    </xf>
    <xf numFmtId="3" fontId="6" fillId="0" borderId="55" xfId="21" applyNumberFormat="1" applyFont="1" applyBorder="1" applyAlignment="1">
      <alignment horizontal="left" vertical="center" indent="1"/>
    </xf>
    <xf numFmtId="3" fontId="6" fillId="0" borderId="53" xfId="21" applyNumberFormat="1" applyFont="1" applyBorder="1" applyAlignment="1">
      <alignment horizontal="left" vertical="center" indent="1"/>
    </xf>
    <xf numFmtId="0" fontId="7" fillId="0" borderId="53" xfId="18" applyBorder="1" applyAlignment="1">
      <alignment horizontal="left" vertical="center"/>
    </xf>
    <xf numFmtId="3" fontId="6" fillId="0" borderId="56" xfId="21" applyNumberFormat="1" applyFont="1" applyBorder="1" applyAlignment="1">
      <alignment horizontal="left" vertical="center" indent="1"/>
    </xf>
    <xf numFmtId="3" fontId="6" fillId="0" borderId="52" xfId="21" applyNumberFormat="1" applyFont="1" applyBorder="1" applyAlignment="1">
      <alignment horizontal="left" vertical="center" indent="1"/>
    </xf>
    <xf numFmtId="0" fontId="7" fillId="0" borderId="52" xfId="18" applyBorder="1" applyAlignment="1">
      <alignment vertical="center"/>
    </xf>
    <xf numFmtId="0" fontId="14" fillId="7" borderId="0" xfId="21" applyFont="1" applyFill="1" applyAlignment="1">
      <alignment horizontal="center"/>
    </xf>
    <xf numFmtId="0" fontId="9" fillId="0" borderId="0" xfId="0" applyFont="1"/>
    <xf numFmtId="6" fontId="6" fillId="0" borderId="0" xfId="21" applyNumberFormat="1" applyFont="1" applyAlignment="1">
      <alignment horizontal="center"/>
    </xf>
    <xf numFmtId="0" fontId="6" fillId="0" borderId="0" xfId="21" applyFont="1" applyAlignment="1">
      <alignment horizontal="center"/>
    </xf>
    <xf numFmtId="0" fontId="11" fillId="0" borderId="0" xfId="21" applyFont="1" applyAlignment="1">
      <alignment horizontal="center"/>
    </xf>
    <xf numFmtId="3" fontId="7" fillId="0" borderId="45" xfId="21" applyNumberFormat="1" applyFont="1" applyBorder="1" applyAlignment="1">
      <alignment horizontal="center"/>
    </xf>
    <xf numFmtId="3" fontId="7" fillId="0" borderId="45" xfId="21" applyNumberFormat="1" applyFont="1" applyBorder="1" applyAlignment="1">
      <alignment horizontal="center" wrapText="1"/>
    </xf>
    <xf numFmtId="0" fontId="5" fillId="20" borderId="0" xfId="0" applyFont="1" applyFill="1" applyAlignment="1">
      <alignment horizontal="center"/>
    </xf>
    <xf numFmtId="0" fontId="0" fillId="20" borderId="0" xfId="0" applyFill="1" applyAlignment="1">
      <alignment horizontal="center"/>
    </xf>
    <xf numFmtId="0" fontId="5" fillId="0" borderId="6" xfId="23" applyFont="1" applyBorder="1"/>
    <xf numFmtId="0" fontId="0" fillId="0" borderId="8" xfId="0" applyBorder="1"/>
    <xf numFmtId="3" fontId="7" fillId="0" borderId="0" xfId="21" applyNumberFormat="1" applyFont="1" applyAlignment="1">
      <alignment horizontal="center"/>
    </xf>
    <xf numFmtId="0" fontId="14" fillId="13" borderId="0" xfId="21" applyFont="1" applyFill="1" applyAlignment="1">
      <alignment horizontal="center"/>
    </xf>
    <xf numFmtId="6" fontId="11" fillId="11" borderId="0" xfId="21" applyNumberFormat="1" applyFont="1" applyFill="1" applyAlignment="1">
      <alignment horizontal="center"/>
    </xf>
    <xf numFmtId="0" fontId="11" fillId="11" borderId="0" xfId="21" applyFont="1" applyFill="1" applyAlignment="1">
      <alignment horizontal="center"/>
    </xf>
    <xf numFmtId="0" fontId="35" fillId="11" borderId="7" xfId="30" applyFont="1" applyFill="1" applyBorder="1" applyAlignment="1">
      <alignment horizontal="center" wrapText="1"/>
    </xf>
    <xf numFmtId="0" fontId="35" fillId="11" borderId="9" xfId="30" applyFont="1" applyFill="1" applyBorder="1" applyAlignment="1">
      <alignment horizontal="center" wrapText="1"/>
    </xf>
    <xf numFmtId="0" fontId="35" fillId="11" borderId="10" xfId="30" applyFont="1" applyFill="1" applyBorder="1" applyAlignment="1">
      <alignment horizontal="center" wrapText="1"/>
    </xf>
    <xf numFmtId="0" fontId="35" fillId="11" borderId="3" xfId="30" applyFont="1" applyFill="1" applyBorder="1" applyAlignment="1">
      <alignment horizontal="center" wrapText="1"/>
    </xf>
    <xf numFmtId="0" fontId="11" fillId="0" borderId="14" xfId="18" applyFont="1" applyBorder="1" applyAlignment="1">
      <alignment horizontal="left" vertical="top" wrapText="1"/>
    </xf>
    <xf numFmtId="0" fontId="7" fillId="0" borderId="15" xfId="18" applyBorder="1" applyAlignment="1">
      <alignment vertical="top" wrapText="1"/>
    </xf>
    <xf numFmtId="0" fontId="7" fillId="0" borderId="15" xfId="18" applyBorder="1"/>
    <xf numFmtId="0" fontId="7" fillId="0" borderId="16" xfId="18" applyBorder="1"/>
    <xf numFmtId="0" fontId="32" fillId="13" borderId="0" xfId="18" applyFont="1" applyFill="1" applyAlignment="1">
      <alignment horizontal="center"/>
    </xf>
    <xf numFmtId="6" fontId="35" fillId="0" borderId="0" xfId="18" applyNumberFormat="1" applyFont="1" applyAlignment="1">
      <alignment horizontal="center"/>
    </xf>
    <xf numFmtId="0" fontId="35" fillId="0" borderId="0" xfId="18" applyFont="1" applyAlignment="1">
      <alignment horizontal="center"/>
    </xf>
    <xf numFmtId="0" fontId="18" fillId="0" borderId="0" xfId="18" applyFont="1" applyAlignment="1">
      <alignment horizontal="center"/>
    </xf>
    <xf numFmtId="0" fontId="6" fillId="0" borderId="0" xfId="18" applyFont="1" applyAlignment="1">
      <alignment horizontal="center"/>
    </xf>
    <xf numFmtId="0" fontId="34" fillId="13" borderId="43" xfId="18" applyFont="1" applyFill="1" applyBorder="1" applyAlignment="1">
      <alignment horizontal="center" vertical="top" wrapText="1"/>
    </xf>
    <xf numFmtId="0" fontId="34" fillId="13" borderId="26" xfId="18" applyFont="1" applyFill="1" applyBorder="1" applyAlignment="1">
      <alignment horizontal="center" vertical="top" wrapText="1"/>
    </xf>
    <xf numFmtId="6" fontId="11" fillId="0" borderId="11" xfId="18" applyNumberFormat="1" applyFont="1" applyBorder="1" applyAlignment="1">
      <alignment horizontal="center" vertical="top" wrapText="1"/>
    </xf>
    <xf numFmtId="0" fontId="11" fillId="0" borderId="0" xfId="18" applyFont="1" applyAlignment="1">
      <alignment horizontal="center" vertical="top" wrapText="1"/>
    </xf>
    <xf numFmtId="0" fontId="18" fillId="0" borderId="11" xfId="18" applyFont="1" applyBorder="1" applyAlignment="1">
      <alignment horizontal="center" vertical="top"/>
    </xf>
    <xf numFmtId="0" fontId="18" fillId="0" borderId="0" xfId="18" applyFont="1" applyAlignment="1">
      <alignment horizontal="center" vertical="top"/>
    </xf>
    <xf numFmtId="0" fontId="6" fillId="0" borderId="11" xfId="18" applyFont="1" applyBorder="1" applyAlignment="1">
      <alignment horizontal="center" vertical="center"/>
    </xf>
    <xf numFmtId="0" fontId="6" fillId="0" borderId="0" xfId="18" applyFont="1" applyAlignment="1">
      <alignment horizontal="center" vertical="center"/>
    </xf>
  </cellXfs>
  <cellStyles count="40">
    <cellStyle name="Actual Date" xfId="1"/>
    <cellStyle name="Comma" xfId="33" builtinId="3"/>
    <cellStyle name="Comma 2" xfId="2"/>
    <cellStyle name="Comma 3" xfId="32"/>
    <cellStyle name="Comma 4" xfId="39"/>
    <cellStyle name="Comma0" xfId="3"/>
    <cellStyle name="Currency 2" xfId="4"/>
    <cellStyle name="Currency0" xfId="5"/>
    <cellStyle name="Date" xfId="6"/>
    <cellStyle name="Fixed" xfId="7"/>
    <cellStyle name="Grey" xfId="8"/>
    <cellStyle name="HEADER" xfId="9"/>
    <cellStyle name="Heading 1" xfId="10" builtinId="16" customBuiltin="1"/>
    <cellStyle name="Heading 2" xfId="11" builtinId="17" customBuiltin="1"/>
    <cellStyle name="Heading1" xfId="12"/>
    <cellStyle name="Heading2" xfId="13"/>
    <cellStyle name="HIGHLIGHT" xfId="14"/>
    <cellStyle name="Hyperlink" xfId="35" builtinId="8"/>
    <cellStyle name="Hyperlink 2" xfId="38"/>
    <cellStyle name="Input [yellow]" xfId="15"/>
    <cellStyle name="no dec" xfId="16"/>
    <cellStyle name="Normal" xfId="0" builtinId="0"/>
    <cellStyle name="Normal - Style1" xfId="17"/>
    <cellStyle name="Normal 2" xfId="18"/>
    <cellStyle name="Normal 3" xfId="19"/>
    <cellStyle name="Normal 4" xfId="29"/>
    <cellStyle name="Normal 4 2" xfId="30"/>
    <cellStyle name="Normal 5" xfId="20"/>
    <cellStyle name="Normal 6" xfId="31"/>
    <cellStyle name="Normal 7" xfId="36"/>
    <cellStyle name="Normal_AppendixF1" xfId="21"/>
    <cellStyle name="Normal_distgn2k" xfId="22"/>
    <cellStyle name="Normal_gdp ucla" xfId="23"/>
    <cellStyle name="Percent" xfId="34" builtinId="5"/>
    <cellStyle name="Percent [2]" xfId="24"/>
    <cellStyle name="Percent 2" xfId="37"/>
    <cellStyle name="Total" xfId="25" builtinId="25" customBuiltin="1"/>
    <cellStyle name="Unprot" xfId="26"/>
    <cellStyle name="Unprot$" xfId="27"/>
    <cellStyle name="Unprotect" xfId="2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21" Type="http://schemas.openxmlformats.org/officeDocument/2006/relationships/externalLink" Target="externalLinks/externalLink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calcChain" Target="calcChain.xml"/><Relationship Id="rId38"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sharedStrings" Target="sharedString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'Form 1.1b 23-IEPR Incr'!$C$7</c:f>
              <c:strCache>
                <c:ptCount val="1"/>
                <c:pt idx="0">
                  <c:v>RESIDENTIAL</c:v>
                </c:pt>
              </c:strCache>
            </c:strRef>
          </c:tx>
          <c:spPr>
            <a:solidFill>
              <a:schemeClr val="accent1"/>
            </a:solidFill>
            <a:ln>
              <a:noFill/>
            </a:ln>
            <a:effectLst/>
          </c:spPr>
          <c:cat>
            <c:numRef>
              <c:f>'Form 1.1b 23-IEPR Incr'!$B$8:$B$21</c:f>
              <c:numCache>
                <c:formatCode>General</c:formatCode>
                <c:ptCount val="14"/>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numCache>
            </c:numRef>
          </c:cat>
          <c:val>
            <c:numRef>
              <c:f>'Form 1.1b 23-IEPR Incr'!$C$8:$C$21</c:f>
              <c:numCache>
                <c:formatCode>#,##0</c:formatCode>
                <c:ptCount val="14"/>
                <c:pt idx="0">
                  <c:v>241.902173</c:v>
                </c:pt>
                <c:pt idx="1">
                  <c:v>261.79793000000001</c:v>
                </c:pt>
                <c:pt idx="2" formatCode="_(* #,##0_);_(* \(#,##0\);_(* &quot;-&quot;??_);_(@_)">
                  <c:v>275.19027892218224</c:v>
                </c:pt>
                <c:pt idx="3" formatCode="_(* #,##0_);_(* \(#,##0\);_(* &quot;-&quot;??_);_(@_)">
                  <c:v>287.44917011049756</c:v>
                </c:pt>
                <c:pt idx="4" formatCode="_(* #,##0_);_(* \(#,##0\);_(* &quot;-&quot;??_);_(@_)">
                  <c:v>297.78984787120328</c:v>
                </c:pt>
                <c:pt idx="5" formatCode="_(* #,##0_);_(* \(#,##0\);_(* &quot;-&quot;??_);_(@_)">
                  <c:v>306.0631918008508</c:v>
                </c:pt>
                <c:pt idx="6" formatCode="_(* #,##0_);_(* \(#,##0\);_(* &quot;-&quot;??_);_(@_)">
                  <c:v>318.50202699693818</c:v>
                </c:pt>
                <c:pt idx="7" formatCode="_(* #,##0_);_(* \(#,##0\);_(* &quot;-&quot;??_);_(@_)">
                  <c:v>340.34041355660349</c:v>
                </c:pt>
                <c:pt idx="8" formatCode="_(* #,##0_);_(* \(#,##0\);_(* &quot;-&quot;??_);_(@_)">
                  <c:v>362.34325149070327</c:v>
                </c:pt>
                <c:pt idx="9" formatCode="_(* #,##0_);_(* \(#,##0\);_(* &quot;-&quot;??_);_(@_)">
                  <c:v>380.47258140374413</c:v>
                </c:pt>
                <c:pt idx="10" formatCode="_(* #,##0_);_(* \(#,##0\);_(* &quot;-&quot;??_);_(@_)">
                  <c:v>395.00551815787503</c:v>
                </c:pt>
                <c:pt idx="11" formatCode="_(* #,##0_);_(* \(#,##0\);_(* &quot;-&quot;??_);_(@_)">
                  <c:v>409.43239919728808</c:v>
                </c:pt>
                <c:pt idx="12" formatCode="_(* #,##0_);_(* \(#,##0\);_(* &quot;-&quot;??_);_(@_)">
                  <c:v>420.17444886062157</c:v>
                </c:pt>
                <c:pt idx="13" formatCode="_(* #,##0_);_(* \(#,##0\);_(* &quot;-&quot;??_);_(@_)">
                  <c:v>528.81276241651904</c:v>
                </c:pt>
              </c:numCache>
            </c:numRef>
          </c:val>
          <c:extLst>
            <c:ext xmlns:c16="http://schemas.microsoft.com/office/drawing/2014/chart" uri="{C3380CC4-5D6E-409C-BE32-E72D297353CC}">
              <c16:uniqueId val="{00000000-655E-4802-8664-5CC50B3FC961}"/>
            </c:ext>
          </c:extLst>
        </c:ser>
        <c:ser>
          <c:idx val="1"/>
          <c:order val="1"/>
          <c:tx>
            <c:strRef>
              <c:f>'Form 1.1b 23-IEPR Incr'!$D$7</c:f>
              <c:strCache>
                <c:ptCount val="1"/>
                <c:pt idx="0">
                  <c:v>COMMERCIAL</c:v>
                </c:pt>
              </c:strCache>
            </c:strRef>
          </c:tx>
          <c:spPr>
            <a:solidFill>
              <a:schemeClr val="accent2"/>
            </a:solidFill>
            <a:ln>
              <a:noFill/>
            </a:ln>
            <a:effectLst/>
          </c:spPr>
          <c:cat>
            <c:numRef>
              <c:f>'Form 1.1b 23-IEPR Incr'!$B$8:$B$21</c:f>
              <c:numCache>
                <c:formatCode>General</c:formatCode>
                <c:ptCount val="14"/>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numCache>
            </c:numRef>
          </c:cat>
          <c:val>
            <c:numRef>
              <c:f>'Form 1.1b 23-IEPR Incr'!$D$8:$D$21</c:f>
              <c:numCache>
                <c:formatCode>#,##0</c:formatCode>
                <c:ptCount val="14"/>
                <c:pt idx="0">
                  <c:v>87.511533</c:v>
                </c:pt>
                <c:pt idx="1">
                  <c:v>94.77594400000001</c:v>
                </c:pt>
                <c:pt idx="2" formatCode="_(* #,##0_);_(* \(#,##0\);_(* &quot;-&quot;??_);_(@_)">
                  <c:v>99.590493114612059</c:v>
                </c:pt>
                <c:pt idx="3" formatCode="_(* #,##0_);_(* \(#,##0\);_(* &quot;-&quot;??_);_(@_)">
                  <c:v>104.0269471320446</c:v>
                </c:pt>
                <c:pt idx="4" formatCode="_(* #,##0_);_(* \(#,##0\);_(* &quot;-&quot;??_);_(@_)">
                  <c:v>107.76920576618478</c:v>
                </c:pt>
                <c:pt idx="5" formatCode="_(* #,##0_);_(* \(#,##0\);_(* &quot;-&quot;??_);_(@_)">
                  <c:v>110.76330281382567</c:v>
                </c:pt>
                <c:pt idx="6" formatCode="_(* #,##0_);_(* \(#,##0\);_(* &quot;-&quot;??_);_(@_)">
                  <c:v>115.26487799955395</c:v>
                </c:pt>
                <c:pt idx="7" formatCode="_(* #,##0_);_(* \(#,##0\);_(* &quot;-&quot;??_);_(@_)">
                  <c:v>123.1681211476144</c:v>
                </c:pt>
                <c:pt idx="8" formatCode="_(* #,##0_);_(* \(#,##0\);_(* &quot;-&quot;??_);_(@_)">
                  <c:v>131.13087872887886</c:v>
                </c:pt>
                <c:pt idx="9" formatCode="_(* #,##0_);_(* \(#,##0\);_(* &quot;-&quot;??_);_(@_)">
                  <c:v>137.69182598671344</c:v>
                </c:pt>
                <c:pt idx="10" formatCode="_(* #,##0_);_(* \(#,##0\);_(* &quot;-&quot;??_);_(@_)">
                  <c:v>142.95124991482626</c:v>
                </c:pt>
                <c:pt idx="11" formatCode="_(* #,##0_);_(* \(#,##0\);_(* &quot;-&quot;??_);_(@_)">
                  <c:v>148.17229261462049</c:v>
                </c:pt>
                <c:pt idx="12" formatCode="_(* #,##0_);_(* \(#,##0\);_(* &quot;-&quot;??_);_(@_)">
                  <c:v>152.05980647311526</c:v>
                </c:pt>
                <c:pt idx="13" formatCode="_(* #,##0_);_(* \(#,##0\);_(* &quot;-&quot;??_);_(@_)">
                  <c:v>377.78958415389155</c:v>
                </c:pt>
              </c:numCache>
            </c:numRef>
          </c:val>
          <c:extLst>
            <c:ext xmlns:c16="http://schemas.microsoft.com/office/drawing/2014/chart" uri="{C3380CC4-5D6E-409C-BE32-E72D297353CC}">
              <c16:uniqueId val="{00000001-655E-4802-8664-5CC50B3FC961}"/>
            </c:ext>
          </c:extLst>
        </c:ser>
        <c:ser>
          <c:idx val="2"/>
          <c:order val="2"/>
          <c:tx>
            <c:strRef>
              <c:f>'Form 1.1b 23-IEPR Incr'!$E$7</c:f>
              <c:strCache>
                <c:ptCount val="1"/>
                <c:pt idx="0">
                  <c:v>INDUSTRIAL</c:v>
                </c:pt>
              </c:strCache>
            </c:strRef>
          </c:tx>
          <c:spPr>
            <a:solidFill>
              <a:schemeClr val="accent3"/>
            </a:solidFill>
            <a:ln>
              <a:noFill/>
            </a:ln>
            <a:effectLst/>
          </c:spPr>
          <c:cat>
            <c:numRef>
              <c:f>'Form 1.1b 23-IEPR Incr'!$B$8:$B$21</c:f>
              <c:numCache>
                <c:formatCode>General</c:formatCode>
                <c:ptCount val="14"/>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numCache>
            </c:numRef>
          </c:cat>
          <c:val>
            <c:numRef>
              <c:f>'Form 1.1b 23-IEPR Incr'!$E$8:$E$21</c:f>
              <c:numCache>
                <c:formatCode>#,##0</c:formatCode>
                <c:ptCount val="14"/>
                <c:pt idx="0">
                  <c:v>3682.4285989999998</c:v>
                </c:pt>
                <c:pt idx="1">
                  <c:v>4041.3525030000001</c:v>
                </c:pt>
                <c:pt idx="2" formatCode="_(* #,##0_);_(* \(#,##0\);_(* &quot;-&quot;??_);_(@_)">
                  <c:v>4219.7916242897018</c:v>
                </c:pt>
                <c:pt idx="3" formatCode="_(* #,##0_);_(* \(#,##0\);_(* &quot;-&quot;??_);_(@_)">
                  <c:v>4407.7705258778642</c:v>
                </c:pt>
                <c:pt idx="4" formatCode="_(* #,##0_);_(* \(#,##0\);_(* &quot;-&quot;??_);_(@_)">
                  <c:v>4566.335376260693</c:v>
                </c:pt>
                <c:pt idx="5" formatCode="_(* #,##0_);_(* \(#,##0\);_(* &quot;-&quot;??_);_(@_)">
                  <c:v>4693.1995502276332</c:v>
                </c:pt>
                <c:pt idx="6" formatCode="_(* #,##0_);_(* \(#,##0\);_(* &quot;-&quot;??_);_(@_)">
                  <c:v>4883.937728850623</c:v>
                </c:pt>
                <c:pt idx="7" formatCode="_(* #,##0_);_(* \(#,##0\);_(* &quot;-&quot;??_);_(@_)">
                  <c:v>5218.8094439904426</c:v>
                </c:pt>
                <c:pt idx="8" formatCode="_(* #,##0_);_(* \(#,##0\);_(* &quot;-&quot;??_);_(@_)">
                  <c:v>5556.2028707806858</c:v>
                </c:pt>
                <c:pt idx="9" formatCode="_(* #,##0_);_(* \(#,##0\);_(* &quot;-&quot;??_);_(@_)">
                  <c:v>5834.1995893445264</c:v>
                </c:pt>
                <c:pt idx="10" formatCode="_(* #,##0_);_(* \(#,##0\);_(* &quot;-&quot;??_);_(@_)">
                  <c:v>6057.0489030325116</c:v>
                </c:pt>
                <c:pt idx="11" formatCode="_(* #,##0_);_(* \(#,##0\);_(* &quot;-&quot;??_);_(@_)">
                  <c:v>6278.2719491850758</c:v>
                </c:pt>
                <c:pt idx="12" formatCode="_(* #,##0_);_(* \(#,##0\);_(* &quot;-&quot;??_);_(@_)">
                  <c:v>6442.991471163019</c:v>
                </c:pt>
                <c:pt idx="13" formatCode="_(* #,##0_);_(* \(#,##0\);_(* &quot;-&quot;??_);_(@_)">
                  <c:v>8937.3602649983841</c:v>
                </c:pt>
              </c:numCache>
            </c:numRef>
          </c:val>
          <c:extLst>
            <c:ext xmlns:c16="http://schemas.microsoft.com/office/drawing/2014/chart" uri="{C3380CC4-5D6E-409C-BE32-E72D297353CC}">
              <c16:uniqueId val="{00000002-655E-4802-8664-5CC50B3FC961}"/>
            </c:ext>
          </c:extLst>
        </c:ser>
        <c:dLbls>
          <c:showLegendKey val="0"/>
          <c:showVal val="0"/>
          <c:showCatName val="0"/>
          <c:showSerName val="0"/>
          <c:showPercent val="0"/>
          <c:showBubbleSize val="0"/>
        </c:dLbls>
        <c:axId val="307791855"/>
        <c:axId val="307791375"/>
      </c:areaChart>
      <c:catAx>
        <c:axId val="30779185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7791375"/>
        <c:crosses val="autoZero"/>
        <c:auto val="1"/>
        <c:lblAlgn val="ctr"/>
        <c:lblOffset val="100"/>
        <c:noMultiLvlLbl val="0"/>
      </c:catAx>
      <c:valAx>
        <c:axId val="307791375"/>
        <c:scaling>
          <c:orientation val="minMax"/>
        </c:scaling>
        <c:delete val="0"/>
        <c:axPos val="l"/>
        <c:majorGridlines>
          <c:spPr>
            <a:ln w="9525" cap="flat" cmpd="sng" algn="ctr">
              <a:solidFill>
                <a:schemeClr val="tx1">
                  <a:lumMod val="15000"/>
                  <a:lumOff val="85000"/>
                </a:schemeClr>
              </a:solidFill>
              <a:round/>
            </a:ln>
            <a:effectLst/>
          </c:spPr>
        </c:majorGridlines>
        <c:title>
          <c:tx>
            <c:strRef>
              <c:f>'Form 1.1b 23-IEPR Incr'!$B$4:$J$4</c:f>
              <c:strCache>
                <c:ptCount val="9"/>
                <c:pt idx="0">
                  <c:v>RETAIL SALES OF ELECTRICITY BY CLASS OR SECTOR (GWh)</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77918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1"/>
          <c:order val="0"/>
          <c:tx>
            <c:strRef>
              <c:f>'23-IEPR Customer Class Dist'!$J$54</c:f>
              <c:strCache>
                <c:ptCount val="1"/>
                <c:pt idx="0">
                  <c:v>Residential</c:v>
                </c:pt>
              </c:strCache>
            </c:strRef>
          </c:tx>
          <c:spPr>
            <a:solidFill>
              <a:schemeClr val="accent2"/>
            </a:solidFill>
            <a:ln>
              <a:noFill/>
            </a:ln>
            <a:effectLst/>
          </c:spPr>
          <c:cat>
            <c:numRef>
              <c:f>'23-IEPR Customer Class Dist'!$L$53:$X$53</c:f>
              <c:numCache>
                <c:formatCode>General</c:formatCode>
                <c:ptCount val="13"/>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numCache>
            </c:numRef>
          </c:cat>
          <c:val>
            <c:numRef>
              <c:f>'23-IEPR Customer Class Dist'!$K$54:$X$54</c:f>
              <c:numCache>
                <c:formatCode>_(* #,##0.00_);_(* \(#,##0.00\);_(* "-"??_);_(@_)</c:formatCode>
                <c:ptCount val="14"/>
                <c:pt idx="1">
                  <c:v>42.47893719109112</c:v>
                </c:pt>
                <c:pt idx="2">
                  <c:v>44.889937191091121</c:v>
                </c:pt>
                <c:pt idx="3">
                  <c:v>49.297603857757785</c:v>
                </c:pt>
                <c:pt idx="4">
                  <c:v>55.715270524424454</c:v>
                </c:pt>
                <c:pt idx="5">
                  <c:v>64.711937191091124</c:v>
                </c:pt>
                <c:pt idx="6">
                  <c:v>70.121937191091121</c:v>
                </c:pt>
                <c:pt idx="7">
                  <c:v>71.871937191091121</c:v>
                </c:pt>
                <c:pt idx="8">
                  <c:v>72.48193719109112</c:v>
                </c:pt>
                <c:pt idx="9">
                  <c:v>72.48193719109112</c:v>
                </c:pt>
                <c:pt idx="10">
                  <c:v>72.48193719109112</c:v>
                </c:pt>
                <c:pt idx="11">
                  <c:v>72.48193719109112</c:v>
                </c:pt>
                <c:pt idx="12">
                  <c:v>72.48193719109112</c:v>
                </c:pt>
                <c:pt idx="13">
                  <c:v>72.48193719109112</c:v>
                </c:pt>
              </c:numCache>
            </c:numRef>
          </c:val>
          <c:extLst>
            <c:ext xmlns:c16="http://schemas.microsoft.com/office/drawing/2014/chart" uri="{C3380CC4-5D6E-409C-BE32-E72D297353CC}">
              <c16:uniqueId val="{00000000-947C-4B62-8193-BB9E9392F339}"/>
            </c:ext>
          </c:extLst>
        </c:ser>
        <c:ser>
          <c:idx val="2"/>
          <c:order val="1"/>
          <c:tx>
            <c:strRef>
              <c:f>'23-IEPR Customer Class Dist'!$J$55</c:f>
              <c:strCache>
                <c:ptCount val="1"/>
                <c:pt idx="0">
                  <c:v>Commercial</c:v>
                </c:pt>
              </c:strCache>
            </c:strRef>
          </c:tx>
          <c:spPr>
            <a:solidFill>
              <a:schemeClr val="accent3"/>
            </a:solidFill>
            <a:ln>
              <a:noFill/>
            </a:ln>
            <a:effectLst/>
          </c:spPr>
          <c:cat>
            <c:numRef>
              <c:f>'23-IEPR Customer Class Dist'!$L$53:$X$53</c:f>
              <c:numCache>
                <c:formatCode>General</c:formatCode>
                <c:ptCount val="13"/>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numCache>
            </c:numRef>
          </c:cat>
          <c:val>
            <c:numRef>
              <c:f>'23-IEPR Customer Class Dist'!$K$55:$X$55</c:f>
              <c:numCache>
                <c:formatCode>_(* #,##0.00_);_(* \(#,##0.00\);_(* "-"??_);_(@_)</c:formatCode>
                <c:ptCount val="14"/>
                <c:pt idx="1">
                  <c:v>15.378201700839915</c:v>
                </c:pt>
                <c:pt idx="2">
                  <c:v>20.036651700839915</c:v>
                </c:pt>
                <c:pt idx="3">
                  <c:v>24.295101700839915</c:v>
                </c:pt>
                <c:pt idx="4">
                  <c:v>29.084059000839911</c:v>
                </c:pt>
                <c:pt idx="5">
                  <c:v>35.637993800839915</c:v>
                </c:pt>
                <c:pt idx="6">
                  <c:v>42.191928600839915</c:v>
                </c:pt>
                <c:pt idx="7">
                  <c:v>47.536906100839914</c:v>
                </c:pt>
                <c:pt idx="8">
                  <c:v>51.781883600839912</c:v>
                </c:pt>
                <c:pt idx="9">
                  <c:v>51.781883600839912</c:v>
                </c:pt>
                <c:pt idx="10">
                  <c:v>51.781883600839912</c:v>
                </c:pt>
                <c:pt idx="11">
                  <c:v>51.781883600839912</c:v>
                </c:pt>
                <c:pt idx="12">
                  <c:v>51.781883600839912</c:v>
                </c:pt>
                <c:pt idx="13">
                  <c:v>51.781883600839919</c:v>
                </c:pt>
              </c:numCache>
            </c:numRef>
          </c:val>
          <c:extLst>
            <c:ext xmlns:c16="http://schemas.microsoft.com/office/drawing/2014/chart" uri="{C3380CC4-5D6E-409C-BE32-E72D297353CC}">
              <c16:uniqueId val="{00000001-947C-4B62-8193-BB9E9392F339}"/>
            </c:ext>
          </c:extLst>
        </c:ser>
        <c:ser>
          <c:idx val="3"/>
          <c:order val="2"/>
          <c:tx>
            <c:strRef>
              <c:f>'23-IEPR Customer Class Dist'!$J$56</c:f>
              <c:strCache>
                <c:ptCount val="1"/>
                <c:pt idx="0">
                  <c:v>Industrial</c:v>
                </c:pt>
              </c:strCache>
            </c:strRef>
          </c:tx>
          <c:spPr>
            <a:solidFill>
              <a:schemeClr val="accent4"/>
            </a:solidFill>
            <a:ln>
              <a:noFill/>
            </a:ln>
            <a:effectLst/>
          </c:spPr>
          <c:cat>
            <c:numRef>
              <c:f>'23-IEPR Customer Class Dist'!$L$53:$X$53</c:f>
              <c:numCache>
                <c:formatCode>General</c:formatCode>
                <c:ptCount val="13"/>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numCache>
            </c:numRef>
          </c:cat>
          <c:val>
            <c:numRef>
              <c:f>'23-IEPR Customer Class Dist'!$K$56:$X$56</c:f>
              <c:numCache>
                <c:formatCode>_(* #,##0.00_);_(* \(#,##0.00\);_(* "-"??_);_(@_)</c:formatCode>
                <c:ptCount val="14"/>
                <c:pt idx="1">
                  <c:v>655.74376062482952</c:v>
                </c:pt>
                <c:pt idx="2">
                  <c:v>713.69820298257343</c:v>
                </c:pt>
                <c:pt idx="3">
                  <c:v>770.34304980629486</c:v>
                </c:pt>
                <c:pt idx="4">
                  <c:v>828.65177344497181</c:v>
                </c:pt>
                <c:pt idx="5">
                  <c:v>876.66557850543518</c:v>
                </c:pt>
                <c:pt idx="6">
                  <c:v>930.58233722122452</c:v>
                </c:pt>
                <c:pt idx="7">
                  <c:v>999.44690661146592</c:v>
                </c:pt>
                <c:pt idx="8">
                  <c:v>1056.0628593061533</c:v>
                </c:pt>
                <c:pt idx="9">
                  <c:v>1105.8607376236546</c:v>
                </c:pt>
                <c:pt idx="10">
                  <c:v>1153.8280688894297</c:v>
                </c:pt>
                <c:pt idx="11">
                  <c:v>1196.845219949344</c:v>
                </c:pt>
                <c:pt idx="12">
                  <c:v>1225.0029337823153</c:v>
                </c:pt>
                <c:pt idx="13">
                  <c:v>-126.89746789798403</c:v>
                </c:pt>
              </c:numCache>
            </c:numRef>
          </c:val>
          <c:extLst>
            <c:ext xmlns:c16="http://schemas.microsoft.com/office/drawing/2014/chart" uri="{C3380CC4-5D6E-409C-BE32-E72D297353CC}">
              <c16:uniqueId val="{00000002-947C-4B62-8193-BB9E9392F339}"/>
            </c:ext>
          </c:extLst>
        </c:ser>
        <c:ser>
          <c:idx val="4"/>
          <c:order val="3"/>
          <c:tx>
            <c:strRef>
              <c:f>'23-IEPR Customer Class Dist'!$J$57</c:f>
              <c:strCache>
                <c:ptCount val="1"/>
                <c:pt idx="0">
                  <c:v>Municipal</c:v>
                </c:pt>
              </c:strCache>
            </c:strRef>
          </c:tx>
          <c:spPr>
            <a:solidFill>
              <a:schemeClr val="accent5"/>
            </a:solidFill>
            <a:ln>
              <a:noFill/>
            </a:ln>
            <a:effectLst/>
          </c:spPr>
          <c:cat>
            <c:numRef>
              <c:f>'23-IEPR Customer Class Dist'!$L$53:$X$53</c:f>
              <c:numCache>
                <c:formatCode>General</c:formatCode>
                <c:ptCount val="13"/>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numCache>
            </c:numRef>
          </c:cat>
          <c:val>
            <c:numRef>
              <c:f>'23-IEPR Customer Class Dist'!$K$57:$X$57</c:f>
              <c:numCache>
                <c:formatCode>_(* #,##0.00_);_(* \(#,##0.00\);_(* "-"??_);_(@_)</c:formatCode>
                <c:ptCount val="14"/>
                <c:pt idx="1">
                  <c:v>2.6336471060530111</c:v>
                </c:pt>
                <c:pt idx="2">
                  <c:v>2.6336471060530111</c:v>
                </c:pt>
                <c:pt idx="3">
                  <c:v>2.6336471060530111</c:v>
                </c:pt>
                <c:pt idx="4">
                  <c:v>2.6336471060530111</c:v>
                </c:pt>
                <c:pt idx="5">
                  <c:v>2.6336471060530111</c:v>
                </c:pt>
                <c:pt idx="6">
                  <c:v>2.6336471060530111</c:v>
                </c:pt>
                <c:pt idx="7">
                  <c:v>2.6336471060530111</c:v>
                </c:pt>
                <c:pt idx="8">
                  <c:v>2.6336471060530111</c:v>
                </c:pt>
                <c:pt idx="9">
                  <c:v>2.6336471060530111</c:v>
                </c:pt>
                <c:pt idx="10">
                  <c:v>2.6336471060530111</c:v>
                </c:pt>
                <c:pt idx="11">
                  <c:v>2.6336471060530111</c:v>
                </c:pt>
                <c:pt idx="12">
                  <c:v>2.6336471060530111</c:v>
                </c:pt>
                <c:pt idx="13">
                  <c:v>2.6336471060530111</c:v>
                </c:pt>
              </c:numCache>
            </c:numRef>
          </c:val>
          <c:extLst>
            <c:ext xmlns:c16="http://schemas.microsoft.com/office/drawing/2014/chart" uri="{C3380CC4-5D6E-409C-BE32-E72D297353CC}">
              <c16:uniqueId val="{00000003-947C-4B62-8193-BB9E9392F339}"/>
            </c:ext>
          </c:extLst>
        </c:ser>
        <c:dLbls>
          <c:showLegendKey val="0"/>
          <c:showVal val="0"/>
          <c:showCatName val="0"/>
          <c:showSerName val="0"/>
          <c:showPercent val="0"/>
          <c:showBubbleSize val="0"/>
        </c:dLbls>
        <c:axId val="2147309423"/>
        <c:axId val="19192367"/>
      </c:areaChart>
      <c:catAx>
        <c:axId val="214730942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92367"/>
        <c:crosses val="autoZero"/>
        <c:auto val="1"/>
        <c:lblAlgn val="ctr"/>
        <c:lblOffset val="100"/>
        <c:noMultiLvlLbl val="0"/>
      </c:catAx>
      <c:valAx>
        <c:axId val="1919236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47309423"/>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strRef>
              <c:f>'23-IEPR Customer Class Dist'!$J$54</c:f>
              <c:strCache>
                <c:ptCount val="1"/>
                <c:pt idx="0">
                  <c:v>Residential</c:v>
                </c:pt>
              </c:strCache>
            </c:strRef>
          </c:tx>
          <c:spPr>
            <a:solidFill>
              <a:schemeClr val="accent1"/>
            </a:solidFill>
            <a:ln>
              <a:noFill/>
            </a:ln>
            <a:effectLst/>
          </c:spPr>
          <c:val>
            <c:numRef>
              <c:f>'23-IEPR Customer Class Dist'!$K$54:$X$54</c:f>
              <c:numCache>
                <c:formatCode>_(* #,##0.00_);_(* \(#,##0.00\);_(* "-"??_);_(@_)</c:formatCode>
                <c:ptCount val="14"/>
                <c:pt idx="1">
                  <c:v>42.47893719109112</c:v>
                </c:pt>
                <c:pt idx="2">
                  <c:v>44.889937191091121</c:v>
                </c:pt>
                <c:pt idx="3">
                  <c:v>49.297603857757785</c:v>
                </c:pt>
                <c:pt idx="4">
                  <c:v>55.715270524424454</c:v>
                </c:pt>
                <c:pt idx="5">
                  <c:v>64.711937191091124</c:v>
                </c:pt>
                <c:pt idx="6">
                  <c:v>70.121937191091121</c:v>
                </c:pt>
                <c:pt idx="7">
                  <c:v>71.871937191091121</c:v>
                </c:pt>
                <c:pt idx="8">
                  <c:v>72.48193719109112</c:v>
                </c:pt>
                <c:pt idx="9">
                  <c:v>72.48193719109112</c:v>
                </c:pt>
                <c:pt idx="10">
                  <c:v>72.48193719109112</c:v>
                </c:pt>
                <c:pt idx="11">
                  <c:v>72.48193719109112</c:v>
                </c:pt>
                <c:pt idx="12">
                  <c:v>72.48193719109112</c:v>
                </c:pt>
                <c:pt idx="13">
                  <c:v>72.48193719109112</c:v>
                </c:pt>
              </c:numCache>
            </c:numRef>
          </c:val>
          <c:extLst>
            <c:ext xmlns:c16="http://schemas.microsoft.com/office/drawing/2014/chart" uri="{C3380CC4-5D6E-409C-BE32-E72D297353CC}">
              <c16:uniqueId val="{00000000-8F89-4A06-89F4-3DCB5ED9DDA8}"/>
            </c:ext>
          </c:extLst>
        </c:ser>
        <c:ser>
          <c:idx val="1"/>
          <c:order val="1"/>
          <c:tx>
            <c:strRef>
              <c:f>'23-IEPR Customer Class Dist'!$J$55</c:f>
              <c:strCache>
                <c:ptCount val="1"/>
                <c:pt idx="0">
                  <c:v>Commercial</c:v>
                </c:pt>
              </c:strCache>
            </c:strRef>
          </c:tx>
          <c:spPr>
            <a:solidFill>
              <a:schemeClr val="accent2"/>
            </a:solidFill>
            <a:ln>
              <a:noFill/>
            </a:ln>
            <a:effectLst/>
          </c:spPr>
          <c:val>
            <c:numRef>
              <c:f>'23-IEPR Customer Class Dist'!$K$55:$X$55</c:f>
              <c:numCache>
                <c:formatCode>_(* #,##0.00_);_(* \(#,##0.00\);_(* "-"??_);_(@_)</c:formatCode>
                <c:ptCount val="14"/>
                <c:pt idx="1">
                  <c:v>15.378201700839915</c:v>
                </c:pt>
                <c:pt idx="2">
                  <c:v>20.036651700839915</c:v>
                </c:pt>
                <c:pt idx="3">
                  <c:v>24.295101700839915</c:v>
                </c:pt>
                <c:pt idx="4">
                  <c:v>29.084059000839911</c:v>
                </c:pt>
                <c:pt idx="5">
                  <c:v>35.637993800839915</c:v>
                </c:pt>
                <c:pt idx="6">
                  <c:v>42.191928600839915</c:v>
                </c:pt>
                <c:pt idx="7">
                  <c:v>47.536906100839914</c:v>
                </c:pt>
                <c:pt idx="8">
                  <c:v>51.781883600839912</c:v>
                </c:pt>
                <c:pt idx="9">
                  <c:v>51.781883600839912</c:v>
                </c:pt>
                <c:pt idx="10">
                  <c:v>51.781883600839912</c:v>
                </c:pt>
                <c:pt idx="11">
                  <c:v>51.781883600839912</c:v>
                </c:pt>
                <c:pt idx="12">
                  <c:v>51.781883600839912</c:v>
                </c:pt>
                <c:pt idx="13">
                  <c:v>51.781883600839919</c:v>
                </c:pt>
              </c:numCache>
            </c:numRef>
          </c:val>
          <c:extLst>
            <c:ext xmlns:c16="http://schemas.microsoft.com/office/drawing/2014/chart" uri="{C3380CC4-5D6E-409C-BE32-E72D297353CC}">
              <c16:uniqueId val="{00000001-8F89-4A06-89F4-3DCB5ED9DDA8}"/>
            </c:ext>
          </c:extLst>
        </c:ser>
        <c:ser>
          <c:idx val="2"/>
          <c:order val="2"/>
          <c:tx>
            <c:strRef>
              <c:f>'23-IEPR Customer Class Dist'!$J$57</c:f>
              <c:strCache>
                <c:ptCount val="1"/>
                <c:pt idx="0">
                  <c:v>Municipal</c:v>
                </c:pt>
              </c:strCache>
            </c:strRef>
          </c:tx>
          <c:spPr>
            <a:solidFill>
              <a:schemeClr val="accent3"/>
            </a:solidFill>
            <a:ln>
              <a:noFill/>
            </a:ln>
            <a:effectLst/>
          </c:spPr>
          <c:val>
            <c:numRef>
              <c:f>'23-IEPR Customer Class Dist'!$K$57:$X$57</c:f>
              <c:numCache>
                <c:formatCode>_(* #,##0.00_);_(* \(#,##0.00\);_(* "-"??_);_(@_)</c:formatCode>
                <c:ptCount val="14"/>
                <c:pt idx="1">
                  <c:v>2.6336471060530111</c:v>
                </c:pt>
                <c:pt idx="2">
                  <c:v>2.6336471060530111</c:v>
                </c:pt>
                <c:pt idx="3">
                  <c:v>2.6336471060530111</c:v>
                </c:pt>
                <c:pt idx="4">
                  <c:v>2.6336471060530111</c:v>
                </c:pt>
                <c:pt idx="5">
                  <c:v>2.6336471060530111</c:v>
                </c:pt>
                <c:pt idx="6">
                  <c:v>2.6336471060530111</c:v>
                </c:pt>
                <c:pt idx="7">
                  <c:v>2.6336471060530111</c:v>
                </c:pt>
                <c:pt idx="8">
                  <c:v>2.6336471060530111</c:v>
                </c:pt>
                <c:pt idx="9">
                  <c:v>2.6336471060530111</c:v>
                </c:pt>
                <c:pt idx="10">
                  <c:v>2.6336471060530111</c:v>
                </c:pt>
                <c:pt idx="11">
                  <c:v>2.6336471060530111</c:v>
                </c:pt>
                <c:pt idx="12">
                  <c:v>2.6336471060530111</c:v>
                </c:pt>
                <c:pt idx="13">
                  <c:v>2.6336471060530111</c:v>
                </c:pt>
              </c:numCache>
            </c:numRef>
          </c:val>
          <c:extLst>
            <c:ext xmlns:c16="http://schemas.microsoft.com/office/drawing/2014/chart" uri="{C3380CC4-5D6E-409C-BE32-E72D297353CC}">
              <c16:uniqueId val="{00000002-8F89-4A06-89F4-3DCB5ED9DDA8}"/>
            </c:ext>
          </c:extLst>
        </c:ser>
        <c:dLbls>
          <c:showLegendKey val="0"/>
          <c:showVal val="0"/>
          <c:showCatName val="0"/>
          <c:showSerName val="0"/>
          <c:showPercent val="0"/>
          <c:showBubbleSize val="0"/>
        </c:dLbls>
        <c:axId val="143741280"/>
        <c:axId val="942826688"/>
      </c:areaChart>
      <c:catAx>
        <c:axId val="143741280"/>
        <c:scaling>
          <c:orientation val="minMax"/>
        </c:scaling>
        <c:delete val="0"/>
        <c:axPos val="b"/>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2826688"/>
        <c:crosses val="autoZero"/>
        <c:auto val="1"/>
        <c:lblAlgn val="ctr"/>
        <c:lblOffset val="100"/>
        <c:noMultiLvlLbl val="0"/>
      </c:catAx>
      <c:valAx>
        <c:axId val="9428266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374128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cid:image002.png@01D99865.D488952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25</xdr:col>
      <xdr:colOff>114481</xdr:colOff>
      <xdr:row>6</xdr:row>
      <xdr:rowOff>97091</xdr:rowOff>
    </xdr:from>
    <xdr:to>
      <xdr:col>34</xdr:col>
      <xdr:colOff>257190</xdr:colOff>
      <xdr:row>24</xdr:row>
      <xdr:rowOff>308</xdr:rowOff>
    </xdr:to>
    <xdr:graphicFrame macro="">
      <xdr:nvGraphicFramePr>
        <xdr:cNvPr id="2" name="Chart 1">
          <a:extLst>
            <a:ext uri="{FF2B5EF4-FFF2-40B4-BE49-F238E27FC236}">
              <a16:creationId xmlns:a16="http://schemas.microsoft.com/office/drawing/2014/main" id="{895046EB-6EB1-0407-F626-3846374408E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25</xdr:col>
      <xdr:colOff>431425</xdr:colOff>
      <xdr:row>10</xdr:row>
      <xdr:rowOff>68355</xdr:rowOff>
    </xdr:from>
    <xdr:to>
      <xdr:col>39</xdr:col>
      <xdr:colOff>403411</xdr:colOff>
      <xdr:row>40</xdr:row>
      <xdr:rowOff>179294</xdr:rowOff>
    </xdr:to>
    <xdr:graphicFrame macro="">
      <xdr:nvGraphicFramePr>
        <xdr:cNvPr id="2" name="Chart 1">
          <a:extLst>
            <a:ext uri="{FF2B5EF4-FFF2-40B4-BE49-F238E27FC236}">
              <a16:creationId xmlns:a16="http://schemas.microsoft.com/office/drawing/2014/main" id="{39CF7CBF-8567-4D04-9487-0432C8631C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25</xdr:col>
      <xdr:colOff>509865</xdr:colOff>
      <xdr:row>41</xdr:row>
      <xdr:rowOff>101973</xdr:rowOff>
    </xdr:from>
    <xdr:to>
      <xdr:col>38</xdr:col>
      <xdr:colOff>621085</xdr:colOff>
      <xdr:row>67</xdr:row>
      <xdr:rowOff>172850</xdr:rowOff>
    </xdr:to>
    <xdr:graphicFrame macro="">
      <xdr:nvGraphicFramePr>
        <xdr:cNvPr id="3" name="Chart 2">
          <a:extLst>
            <a:ext uri="{FF2B5EF4-FFF2-40B4-BE49-F238E27FC236}">
              <a16:creationId xmlns:a16="http://schemas.microsoft.com/office/drawing/2014/main" id="{4B69EFED-B1AB-46CF-A289-F264AF8A0D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1</xdr:row>
      <xdr:rowOff>47625</xdr:rowOff>
    </xdr:from>
    <xdr:to>
      <xdr:col>0</xdr:col>
      <xdr:colOff>1733550</xdr:colOff>
      <xdr:row>4</xdr:row>
      <xdr:rowOff>104775</xdr:rowOff>
    </xdr:to>
    <xdr:pic>
      <xdr:nvPicPr>
        <xdr:cNvPr id="2" name="Picture 1">
          <a:extLst>
            <a:ext uri="{FF2B5EF4-FFF2-40B4-BE49-F238E27FC236}">
              <a16:creationId xmlns:a16="http://schemas.microsoft.com/office/drawing/2014/main" id="{4B23BDA7-2BA4-B3E3-85FD-8F96CE502547}"/>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8575" y="228600"/>
          <a:ext cx="1704975"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_Forecasts\Forms%20and%20Instructions\WORKING_FINAL_2017_Electricity_Demand_Forecast_Form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Nick\Desktop\LSEID_RA2022_Forecas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ETSMART\Electric$\CED%202019\Forms%20and%20Instructions\Excel%20Templates\IOU%20Demand%20Forecast%20Form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U:\CIP_Transmission%20Planning%20Group\01.2%20Transmission%20Planning\TPP%202024-25%20Phase%200\23-IEPR%20Hourly%20Forecast\22-IEPR%20TPP%2023%2024%20for%20E3%202023-2035%20+%20Load%20Distribution%20by%20Customer%20Class%20Chec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POU - Form 3.4"/>
      <sheetName val="Demand Forecast - Form 4"/>
      <sheetName val="EE Forecast - Form 6"/>
      <sheetName val="DA - Form 7.1"/>
      <sheetName val="CCA - 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row r="4">
          <cell r="B4" t="str">
            <v>Company Name</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7a"/>
      <sheetName val="Form 1.7b"/>
      <sheetName val="Form 1.7c"/>
      <sheetName val="Form 1.8"/>
      <sheetName val="Form 2.1"/>
      <sheetName val="Form 2.2"/>
      <sheetName val="Form 2.3"/>
      <sheetName val="Form 3.2"/>
      <sheetName val="Form 4"/>
      <sheetName val="Form 6"/>
      <sheetName val="Form 8.1a (IOU)"/>
      <sheetName val="Form 8.1b (Bundled)"/>
      <sheetName val="Form 8.1b (Direct Acces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23-IEPR Distribution Loads"/>
      <sheetName val="2022 Utility Fact Sheet"/>
    </sheetNames>
    <sheetDataSet>
      <sheetData sheetId="0"/>
      <sheetData sheetId="1">
        <row r="4">
          <cell r="AN4">
            <v>21.2</v>
          </cell>
          <cell r="AO4">
            <v>30.88</v>
          </cell>
          <cell r="AP4">
            <v>35.096199999999996</v>
          </cell>
          <cell r="AQ4">
            <v>44.030999999999992</v>
          </cell>
          <cell r="AR4">
            <v>62.68549999999999</v>
          </cell>
          <cell r="AS4">
            <v>64.391999999999996</v>
          </cell>
          <cell r="AT4">
            <v>58.633999999999993</v>
          </cell>
          <cell r="AU4">
            <v>73.068799999999996</v>
          </cell>
          <cell r="AV4">
            <v>76.983999999999995</v>
          </cell>
          <cell r="AW4">
            <v>87.358999999999995</v>
          </cell>
        </row>
        <row r="5">
          <cell r="AN5">
            <v>1</v>
          </cell>
          <cell r="AO5">
            <v>5.1584500000000002</v>
          </cell>
          <cell r="AP5">
            <v>9.8169000000000004</v>
          </cell>
          <cell r="AQ5">
            <v>14.07535</v>
          </cell>
          <cell r="AR5">
            <v>18.8643073</v>
          </cell>
          <cell r="AS5">
            <v>25.418242100000001</v>
          </cell>
          <cell r="AT5">
            <v>31.972176900000001</v>
          </cell>
          <cell r="AU5">
            <v>37.3171544</v>
          </cell>
          <cell r="AV5">
            <v>41.562131899999997</v>
          </cell>
          <cell r="AW5">
            <v>41.562131899999997</v>
          </cell>
        </row>
        <row r="6">
          <cell r="AN6">
            <v>0</v>
          </cell>
          <cell r="AO6">
            <v>0.3</v>
          </cell>
          <cell r="AP6">
            <v>0.96100000000000008</v>
          </cell>
          <cell r="AQ6">
            <v>2.6086666666666662</v>
          </cell>
          <cell r="AR6">
            <v>5.0563333333333329</v>
          </cell>
          <cell r="AS6">
            <v>9.0129999999999999</v>
          </cell>
          <cell r="AT6">
            <v>10.903</v>
          </cell>
          <cell r="AU6">
            <v>10.903</v>
          </cell>
          <cell r="AV6">
            <v>10.903</v>
          </cell>
          <cell r="AW6">
            <v>10.903</v>
          </cell>
        </row>
        <row r="7">
          <cell r="AN7">
            <v>0</v>
          </cell>
          <cell r="AO7">
            <v>1.5</v>
          </cell>
          <cell r="AP7">
            <v>3.25</v>
          </cell>
          <cell r="AQ7">
            <v>6.01</v>
          </cell>
          <cell r="AR7">
            <v>9.98</v>
          </cell>
          <cell r="AS7">
            <v>15.020000000000001</v>
          </cell>
          <cell r="AT7">
            <v>18.540000000000003</v>
          </cell>
          <cell r="AU7">
            <v>20.290000000000003</v>
          </cell>
          <cell r="AV7">
            <v>20.900000000000002</v>
          </cell>
          <cell r="AW7">
            <v>20.900000000000002</v>
          </cell>
        </row>
      </sheetData>
      <sheetData sheetId="2"/>
    </sheetDataSet>
  </externalBook>
</externalLink>
</file>

<file path=xl/persons/person.xml><?xml version="1.0" encoding="utf-8"?>
<personList xmlns="http://schemas.microsoft.com/office/spreadsheetml/2018/threadedcomments" xmlns:x="http://schemas.openxmlformats.org/spreadsheetml/2006/main">
  <person displayName="Nguyen, Le-Huy@Energy" id="{69AECF98-5418-4C89-B272-EA12C8AE7966}" userId="S::le-huy.nguyen@energy.ca.gov::67725153-a0e6-4421-aaef-7ca59285cec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5" dT="2022-09-21T23:19:58.93" personId="{69AECF98-5418-4C89-B272-EA12C8AE7966}" id="{A98DCF4D-51D5-4B82-BC1F-6ECEC60CF71D}">
    <text>THis sheet had two less years than 1.1b</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hyperlink" Target="https://www.siliconvalleypower.com/home/showpublisheddocument/76639/637812250378500000" TargetMode="External"/><Relationship Id="rId1" Type="http://schemas.openxmlformats.org/officeDocument/2006/relationships/hyperlink" Target="https://www.siliconvalleypower.com/home/showpublisheddocument/79910/638151194612430000"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6.bin"/><Relationship Id="rId1" Type="http://schemas.openxmlformats.org/officeDocument/2006/relationships/hyperlink" Target="https://www.siliconvalleypower.com/svp-and-community/about-svp/utility-fact-sheet" TargetMode="External"/></Relationships>
</file>

<file path=xl/worksheets/_rels/sheet1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0.bin"/><Relationship Id="rId7" Type="http://schemas.openxmlformats.org/officeDocument/2006/relationships/comments" Target="../comments8.xml"/><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6" Type="http://schemas.openxmlformats.org/officeDocument/2006/relationships/vmlDrawing" Target="../drawings/vmlDrawing8.vml"/><Relationship Id="rId5" Type="http://schemas.openxmlformats.org/officeDocument/2006/relationships/printerSettings" Target="../printerSettings/printerSettings32.bin"/><Relationship Id="rId4" Type="http://schemas.openxmlformats.org/officeDocument/2006/relationships/printerSettings" Target="../printerSettings/printerSettings31.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35.bin"/><Relationship Id="rId7" Type="http://schemas.openxmlformats.org/officeDocument/2006/relationships/comments" Target="../comments9.xml"/><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6" Type="http://schemas.openxmlformats.org/officeDocument/2006/relationships/vmlDrawing" Target="../drawings/vmlDrawing9.vml"/><Relationship Id="rId5" Type="http://schemas.openxmlformats.org/officeDocument/2006/relationships/printerSettings" Target="../printerSettings/printerSettings37.bin"/><Relationship Id="rId4" Type="http://schemas.openxmlformats.org/officeDocument/2006/relationships/printerSettings" Target="../printerSettings/printerSettings36.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0.bin"/><Relationship Id="rId7" Type="http://schemas.openxmlformats.org/officeDocument/2006/relationships/comments" Target="../comments10.xml"/><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 Id="rId6" Type="http://schemas.openxmlformats.org/officeDocument/2006/relationships/vmlDrawing" Target="../drawings/vmlDrawing10.vml"/><Relationship Id="rId5" Type="http://schemas.openxmlformats.org/officeDocument/2006/relationships/printerSettings" Target="../printerSettings/printerSettings42.bin"/><Relationship Id="rId4" Type="http://schemas.openxmlformats.org/officeDocument/2006/relationships/printerSettings" Target="../printerSettings/printerSettings41.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43.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4.xml"/><Relationship Id="rId1" Type="http://schemas.openxmlformats.org/officeDocument/2006/relationships/printerSettings" Target="../printerSettings/printerSettings44.bin"/><Relationship Id="rId4" Type="http://schemas.openxmlformats.org/officeDocument/2006/relationships/comments" Target="../comments12.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4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7" Type="http://schemas.openxmlformats.org/officeDocument/2006/relationships/comments" Target="../comments1.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vmlDrawing" Target="../drawings/vmlDrawing1.vml"/><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46.bin"/></Relationships>
</file>

<file path=xl/worksheets/_rels/sheet3.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printerSettings" Target="../printerSettings/printerSettings9.bin"/><Relationship Id="rId7" Type="http://schemas.openxmlformats.org/officeDocument/2006/relationships/vmlDrawing" Target="../drawings/vmlDrawing2.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drawing" Target="../drawings/drawing1.xml"/><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printerSettings" Target="../printerSettings/printerSettings14.bin"/><Relationship Id="rId7" Type="http://schemas.openxmlformats.org/officeDocument/2006/relationships/comments" Target="../comments3.x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6" Type="http://schemas.openxmlformats.org/officeDocument/2006/relationships/vmlDrawing" Target="../drawings/vmlDrawing3.vml"/><Relationship Id="rId5" Type="http://schemas.openxmlformats.org/officeDocument/2006/relationships/printerSettings" Target="../printerSettings/printerSettings16.bin"/><Relationship Id="rId4" Type="http://schemas.openxmlformats.org/officeDocument/2006/relationships/printerSettings" Target="../printerSettings/printerSettings15.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0.bin"/><Relationship Id="rId7" Type="http://schemas.openxmlformats.org/officeDocument/2006/relationships/comments" Target="../comments5.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6" Type="http://schemas.openxmlformats.org/officeDocument/2006/relationships/vmlDrawing" Target="../drawings/vmlDrawing5.vml"/><Relationship Id="rId5" Type="http://schemas.openxmlformats.org/officeDocument/2006/relationships/printerSettings" Target="../printerSettings/printerSettings22.bin"/><Relationship Id="rId4" Type="http://schemas.openxmlformats.org/officeDocument/2006/relationships/printerSettings" Target="../printerSettings/printerSettings21.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4.bin"/><Relationship Id="rId1" Type="http://schemas.openxmlformats.org/officeDocument/2006/relationships/hyperlink" Target="https://www.siliconvalleypower.com/svp-and-community/about-svp/utility-fact-sheet" TargetMode="External"/></Relationships>
</file>

<file path=xl/worksheets/_rels/sheet9.xml.rels><?xml version="1.0" encoding="UTF-8" standalone="yes"?>
<Relationships xmlns="http://schemas.openxmlformats.org/package/2006/relationships"><Relationship Id="rId2" Type="http://schemas.openxmlformats.org/officeDocument/2006/relationships/hyperlink" Target="https://www.siliconvalleypower.com/home/showpublisheddocument/76639/637812250378500000" TargetMode="External"/><Relationship Id="rId1" Type="http://schemas.openxmlformats.org/officeDocument/2006/relationships/hyperlink" Target="https://www.siliconvalleypower.com/home/showpublisheddocument/79910/63815119461243000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zoomScaleNormal="100" workbookViewId="0">
      <selection sqref="A1:B1"/>
    </sheetView>
  </sheetViews>
  <sheetFormatPr defaultColWidth="8.6640625" defaultRowHeight="10" x14ac:dyDescent="0.2"/>
  <cols>
    <col min="1" max="1" width="56.109375" style="111" bestFit="1" customWidth="1"/>
    <col min="2" max="2" width="63.6640625" style="111" customWidth="1"/>
    <col min="3" max="16384" width="8.6640625" style="111"/>
  </cols>
  <sheetData>
    <row r="1" spans="1:2" s="157" customFormat="1" ht="20" x14ac:dyDescent="0.4">
      <c r="A1" s="389" t="s">
        <v>0</v>
      </c>
      <c r="B1" s="390"/>
    </row>
    <row r="2" spans="1:2" ht="18" x14ac:dyDescent="0.2">
      <c r="A2" s="391"/>
      <c r="B2" s="388"/>
    </row>
    <row r="3" spans="1:2" ht="18" x14ac:dyDescent="0.2">
      <c r="A3" s="391" t="s">
        <v>1</v>
      </c>
      <c r="B3" s="388"/>
    </row>
    <row r="4" spans="1:2" ht="18" x14ac:dyDescent="0.2">
      <c r="A4" s="391" t="s">
        <v>193</v>
      </c>
      <c r="B4" s="392"/>
    </row>
    <row r="5" spans="1:2" ht="18" x14ac:dyDescent="0.2">
      <c r="A5" s="391" t="s">
        <v>197</v>
      </c>
      <c r="B5" s="392"/>
    </row>
    <row r="6" spans="1:2" ht="18" x14ac:dyDescent="0.2">
      <c r="A6" s="206"/>
      <c r="B6" s="202"/>
    </row>
    <row r="7" spans="1:2" ht="185.25" customHeight="1" x14ac:dyDescent="0.2">
      <c r="A7" s="387" t="s">
        <v>2</v>
      </c>
      <c r="B7" s="388"/>
    </row>
    <row r="8" spans="1:2" ht="18.75" customHeight="1" x14ac:dyDescent="0.2">
      <c r="A8" s="201"/>
      <c r="B8" s="202"/>
    </row>
    <row r="9" spans="1:2" ht="15.5" x14ac:dyDescent="0.2">
      <c r="A9" s="203" t="s">
        <v>3</v>
      </c>
      <c r="B9" s="202"/>
    </row>
    <row r="10" spans="1:2" ht="84" customHeight="1" x14ac:dyDescent="0.2">
      <c r="A10" s="387" t="s">
        <v>4</v>
      </c>
      <c r="B10" s="388"/>
    </row>
    <row r="11" spans="1:2" ht="16.5" customHeight="1" x14ac:dyDescent="0.2">
      <c r="A11" s="201"/>
      <c r="B11" s="202"/>
    </row>
    <row r="12" spans="1:2" ht="17.25" customHeight="1" x14ac:dyDescent="0.25">
      <c r="A12" s="393" t="s">
        <v>5</v>
      </c>
      <c r="B12" s="394"/>
    </row>
    <row r="13" spans="1:2" ht="127.5" customHeight="1" x14ac:dyDescent="0.2">
      <c r="A13" s="387" t="s">
        <v>198</v>
      </c>
      <c r="B13" s="388"/>
    </row>
    <row r="14" spans="1:2" ht="17.25" customHeight="1" x14ac:dyDescent="0.2">
      <c r="A14" s="201"/>
      <c r="B14" s="202"/>
    </row>
    <row r="15" spans="1:2" ht="15.5" x14ac:dyDescent="0.2">
      <c r="A15" s="203" t="s">
        <v>6</v>
      </c>
      <c r="B15" s="202"/>
    </row>
    <row r="16" spans="1:2" ht="46.5" customHeight="1" x14ac:dyDescent="0.2">
      <c r="A16" s="395" t="s">
        <v>7</v>
      </c>
      <c r="B16" s="396"/>
    </row>
    <row r="17" spans="1:2" ht="15.75" customHeight="1" x14ac:dyDescent="0.2">
      <c r="A17" s="204"/>
      <c r="B17" s="205"/>
    </row>
    <row r="18" spans="1:2" ht="24.75" customHeight="1" x14ac:dyDescent="0.2">
      <c r="A18" s="158" t="s">
        <v>8</v>
      </c>
      <c r="B18" s="202"/>
    </row>
    <row r="19" spans="1:2" s="161" customFormat="1" ht="23.25" customHeight="1" x14ac:dyDescent="0.25">
      <c r="A19" s="159" t="s">
        <v>201</v>
      </c>
      <c r="B19" s="160">
        <v>45110</v>
      </c>
    </row>
    <row r="20" spans="1:2" s="162" customFormat="1" ht="23.25" customHeight="1" x14ac:dyDescent="0.25">
      <c r="A20" s="159" t="s">
        <v>202</v>
      </c>
      <c r="B20" s="160">
        <v>45138</v>
      </c>
    </row>
    <row r="21" spans="1:2" ht="33.75" customHeight="1" thickBot="1" x14ac:dyDescent="0.4">
      <c r="A21" s="397" t="s">
        <v>203</v>
      </c>
      <c r="B21" s="398"/>
    </row>
  </sheetData>
  <mergeCells count="11">
    <mergeCell ref="A10:B10"/>
    <mergeCell ref="A12:B12"/>
    <mergeCell ref="A13:B13"/>
    <mergeCell ref="A16:B16"/>
    <mergeCell ref="A21:B21"/>
    <mergeCell ref="A7:B7"/>
    <mergeCell ref="A1:B1"/>
    <mergeCell ref="A2:B2"/>
    <mergeCell ref="A3:B3"/>
    <mergeCell ref="A4:B4"/>
    <mergeCell ref="A5:B5"/>
  </mergeCells>
  <printOptions horizontalCentered="1"/>
  <pageMargins left="0.25" right="0.75" top="0.5" bottom="0.5" header="0.5" footer="0.5"/>
  <pageSetup scale="69" orientation="portrait" r:id="rId1"/>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J36"/>
  <sheetViews>
    <sheetView zoomScale="130" zoomScaleNormal="130" workbookViewId="0">
      <selection sqref="A1:H1"/>
    </sheetView>
  </sheetViews>
  <sheetFormatPr defaultRowHeight="10" x14ac:dyDescent="0.2"/>
  <cols>
    <col min="1" max="1" width="11.77734375" customWidth="1"/>
    <col min="2" max="3" width="12.6640625" customWidth="1"/>
    <col min="4" max="5" width="12.6640625" style="231" customWidth="1"/>
    <col min="6" max="9" width="12.6640625" customWidth="1"/>
  </cols>
  <sheetData>
    <row r="1" spans="1:7" x14ac:dyDescent="0.2">
      <c r="A1" t="s">
        <v>204</v>
      </c>
    </row>
    <row r="2" spans="1:7" x14ac:dyDescent="0.2">
      <c r="A2" t="s">
        <v>229</v>
      </c>
    </row>
    <row r="3" spans="1:7" x14ac:dyDescent="0.2">
      <c r="A3" t="s">
        <v>217</v>
      </c>
    </row>
    <row r="4" spans="1:7" ht="30" x14ac:dyDescent="0.2">
      <c r="A4" s="226" t="s">
        <v>115</v>
      </c>
      <c r="B4" s="226" t="s">
        <v>209</v>
      </c>
      <c r="C4" s="226" t="s">
        <v>216</v>
      </c>
      <c r="D4" s="232" t="s">
        <v>218</v>
      </c>
      <c r="E4" s="232" t="s">
        <v>214</v>
      </c>
      <c r="F4" s="226" t="s">
        <v>206</v>
      </c>
      <c r="G4" s="226" t="s">
        <v>213</v>
      </c>
    </row>
    <row r="5" spans="1:7" s="227" customFormat="1" x14ac:dyDescent="0.2">
      <c r="A5" s="227">
        <v>2021</v>
      </c>
      <c r="B5" s="229">
        <v>594.79999999999995</v>
      </c>
      <c r="C5" s="233">
        <v>8760</v>
      </c>
      <c r="D5" s="233">
        <f>4133860446/1000/1000</f>
        <v>4133.8604459999997</v>
      </c>
      <c r="E5" s="234">
        <f>D5/(B5*8760/1000)</f>
        <v>0.79337908103103605</v>
      </c>
      <c r="F5" s="227" t="s">
        <v>207</v>
      </c>
      <c r="G5" s="228" t="s">
        <v>212</v>
      </c>
    </row>
    <row r="6" spans="1:7" s="227" customFormat="1" x14ac:dyDescent="0.2">
      <c r="A6" s="227">
        <v>2022</v>
      </c>
      <c r="B6" s="229">
        <v>693.9</v>
      </c>
      <c r="C6" s="233">
        <v>8760</v>
      </c>
      <c r="D6" s="233">
        <f>4516175662/1000/1000</f>
        <v>4516.1756619999996</v>
      </c>
      <c r="E6" s="234">
        <f>D6/(B6*8760/1000)</f>
        <v>0.74296752686983303</v>
      </c>
      <c r="F6" s="227" t="s">
        <v>207</v>
      </c>
      <c r="G6" s="228" t="s">
        <v>211</v>
      </c>
    </row>
    <row r="7" spans="1:7" x14ac:dyDescent="0.2">
      <c r="A7">
        <v>2023</v>
      </c>
      <c r="B7" s="230">
        <v>750.61260388054234</v>
      </c>
      <c r="C7" s="231">
        <v>8760</v>
      </c>
      <c r="D7" s="231">
        <f>(C7*B7*E7)/1000</f>
        <v>5222.1494135519661</v>
      </c>
      <c r="E7" s="235">
        <v>0.79419899788627712</v>
      </c>
    </row>
    <row r="8" spans="1:7" x14ac:dyDescent="0.2">
      <c r="A8">
        <v>2024</v>
      </c>
      <c r="B8" s="230">
        <v>818.75753403956969</v>
      </c>
      <c r="C8" s="231">
        <v>8784</v>
      </c>
      <c r="D8" s="231">
        <f t="shared" ref="D8:D18" si="0">(C8*B8*E8)/1000</f>
        <v>5799.1434992204267</v>
      </c>
      <c r="E8" s="235">
        <v>0.80633631400417349</v>
      </c>
    </row>
    <row r="9" spans="1:7" x14ac:dyDescent="0.2">
      <c r="A9">
        <v>2025</v>
      </c>
      <c r="B9" s="230">
        <v>887.20331426424809</v>
      </c>
      <c r="C9" s="231">
        <v>8760</v>
      </c>
      <c r="D9" s="231">
        <f t="shared" si="0"/>
        <v>6330.6562225234993</v>
      </c>
      <c r="E9" s="235">
        <v>0.81455697848955178</v>
      </c>
    </row>
    <row r="10" spans="1:7" x14ac:dyDescent="0.2">
      <c r="A10">
        <v>2026</v>
      </c>
      <c r="B10" s="230">
        <v>960.0552819914999</v>
      </c>
      <c r="C10" s="231">
        <v>8760</v>
      </c>
      <c r="D10" s="231">
        <f t="shared" si="0"/>
        <v>6902.163898899048</v>
      </c>
      <c r="E10" s="235">
        <v>0.82070092012259155</v>
      </c>
    </row>
    <row r="11" spans="1:7" x14ac:dyDescent="0.2">
      <c r="A11">
        <v>2027</v>
      </c>
      <c r="B11" s="230">
        <v>1026.6706734473057</v>
      </c>
      <c r="C11" s="231">
        <v>8760</v>
      </c>
      <c r="D11" s="231">
        <f t="shared" si="0"/>
        <v>7407.6132547019924</v>
      </c>
      <c r="E11" s="235">
        <v>0.82365063434667274</v>
      </c>
    </row>
    <row r="12" spans="1:7" x14ac:dyDescent="0.2">
      <c r="A12">
        <v>2028</v>
      </c>
      <c r="B12" s="230">
        <v>1090.4845297832831</v>
      </c>
      <c r="C12" s="231">
        <v>8784</v>
      </c>
      <c r="D12" s="231">
        <f t="shared" si="0"/>
        <v>7910.0247645937452</v>
      </c>
      <c r="E12" s="235">
        <v>0.82578313165994699</v>
      </c>
    </row>
    <row r="13" spans="1:7" x14ac:dyDescent="0.2">
      <c r="A13">
        <v>2029</v>
      </c>
      <c r="B13" s="230">
        <v>1157.6010628604774</v>
      </c>
      <c r="C13" s="231">
        <v>8760</v>
      </c>
      <c r="D13" s="231">
        <f t="shared" si="0"/>
        <v>8390.144156993596</v>
      </c>
      <c r="E13" s="235">
        <v>0.82738263127430445</v>
      </c>
    </row>
    <row r="14" spans="1:7" x14ac:dyDescent="0.2">
      <c r="A14">
        <v>2030</v>
      </c>
      <c r="B14" s="230">
        <v>1212.2120450517048</v>
      </c>
      <c r="C14" s="231">
        <v>8760</v>
      </c>
      <c r="D14" s="231">
        <f t="shared" si="0"/>
        <v>8802.5325364746332</v>
      </c>
      <c r="E14" s="235">
        <v>0.82894351403684385</v>
      </c>
    </row>
    <row r="15" spans="1:7" x14ac:dyDescent="0.2">
      <c r="A15">
        <v>2031</v>
      </c>
      <c r="B15" s="230">
        <v>1254.5896884489832</v>
      </c>
      <c r="C15" s="231">
        <v>8760</v>
      </c>
      <c r="D15" s="231">
        <f t="shared" si="0"/>
        <v>9126.7365725879645</v>
      </c>
      <c r="E15" s="235">
        <v>0.83044274565543574</v>
      </c>
    </row>
    <row r="16" spans="1:7" x14ac:dyDescent="0.2">
      <c r="A16">
        <v>2032</v>
      </c>
      <c r="B16" s="230">
        <v>1295.0489216055091</v>
      </c>
      <c r="C16" s="231">
        <v>8784</v>
      </c>
      <c r="D16" s="231">
        <f t="shared" si="0"/>
        <v>9452.9475904686478</v>
      </c>
      <c r="E16" s="235">
        <v>0.83097651197218836</v>
      </c>
    </row>
    <row r="17" spans="1:10" x14ac:dyDescent="0.2">
      <c r="A17">
        <v>2033</v>
      </c>
      <c r="B17" s="230">
        <v>1330.3203742067419</v>
      </c>
      <c r="C17" s="231">
        <v>8760</v>
      </c>
      <c r="D17" s="231">
        <f t="shared" si="0"/>
        <v>9686.8260478527918</v>
      </c>
      <c r="E17" s="235">
        <v>0.83122989145870063</v>
      </c>
    </row>
    <row r="18" spans="1:10" x14ac:dyDescent="0.2">
      <c r="A18">
        <v>2034</v>
      </c>
      <c r="B18" s="230">
        <v>1350.019161510402</v>
      </c>
      <c r="C18" s="231">
        <v>8760</v>
      </c>
      <c r="D18" s="231">
        <f t="shared" si="0"/>
        <v>9830.2642223436487</v>
      </c>
      <c r="E18" s="235">
        <v>0.83122989145870063</v>
      </c>
    </row>
    <row r="20" spans="1:10" x14ac:dyDescent="0.2">
      <c r="A20" t="s">
        <v>215</v>
      </c>
    </row>
    <row r="21" spans="1:10" x14ac:dyDescent="0.2">
      <c r="B21" t="s">
        <v>222</v>
      </c>
      <c r="C21" t="s">
        <v>222</v>
      </c>
      <c r="D21" s="231" t="s">
        <v>222</v>
      </c>
      <c r="E21" s="231" t="s">
        <v>222</v>
      </c>
      <c r="F21" t="s">
        <v>210</v>
      </c>
      <c r="G21" t="s">
        <v>210</v>
      </c>
      <c r="H21" t="s">
        <v>210</v>
      </c>
      <c r="I21" t="s">
        <v>210</v>
      </c>
    </row>
    <row r="22" spans="1:10" ht="20" x14ac:dyDescent="0.2">
      <c r="A22" s="226" t="s">
        <v>115</v>
      </c>
      <c r="B22" s="226" t="s">
        <v>62</v>
      </c>
      <c r="C22" s="226" t="s">
        <v>63</v>
      </c>
      <c r="D22" s="226" t="s">
        <v>64</v>
      </c>
      <c r="E22" s="226" t="s">
        <v>65</v>
      </c>
      <c r="F22" s="226" t="s">
        <v>62</v>
      </c>
      <c r="G22" s="226" t="s">
        <v>63</v>
      </c>
      <c r="H22" s="226" t="s">
        <v>64</v>
      </c>
      <c r="I22" s="226" t="s">
        <v>65</v>
      </c>
      <c r="J22" s="226" t="s">
        <v>206</v>
      </c>
    </row>
    <row r="23" spans="1:10" s="227" customFormat="1" x14ac:dyDescent="0.2">
      <c r="A23" s="227">
        <v>2021</v>
      </c>
      <c r="B23" s="236">
        <f>$B$5</f>
        <v>594.79999999999995</v>
      </c>
      <c r="C23" s="236">
        <f t="shared" ref="C23:E23" si="1">$B$5</f>
        <v>594.79999999999995</v>
      </c>
      <c r="D23" s="233">
        <f t="shared" si="1"/>
        <v>594.79999999999995</v>
      </c>
      <c r="E23" s="236">
        <f t="shared" si="1"/>
        <v>594.79999999999995</v>
      </c>
      <c r="F23" s="236">
        <f>$D$5</f>
        <v>4133.8604459999997</v>
      </c>
      <c r="G23" s="236">
        <f t="shared" ref="G23:I23" si="2">$D$5</f>
        <v>4133.8604459999997</v>
      </c>
      <c r="H23" s="236">
        <f t="shared" si="2"/>
        <v>4133.8604459999997</v>
      </c>
      <c r="I23" s="236">
        <f t="shared" si="2"/>
        <v>4133.8604459999997</v>
      </c>
      <c r="J23" s="245" t="s">
        <v>227</v>
      </c>
    </row>
    <row r="24" spans="1:10" s="227" customFormat="1" x14ac:dyDescent="0.2">
      <c r="A24" s="227">
        <v>2022</v>
      </c>
      <c r="B24" s="236">
        <f>$B$6</f>
        <v>693.9</v>
      </c>
      <c r="C24" s="236">
        <f t="shared" ref="C24:E24" si="3">$B$6</f>
        <v>693.9</v>
      </c>
      <c r="D24" s="233">
        <f t="shared" si="3"/>
        <v>693.9</v>
      </c>
      <c r="E24" s="236">
        <f t="shared" si="3"/>
        <v>693.9</v>
      </c>
      <c r="F24" s="236">
        <f>$D$6</f>
        <v>4516.1756619999996</v>
      </c>
      <c r="G24" s="236">
        <f t="shared" ref="G24:I24" si="4">$D$6</f>
        <v>4516.1756619999996</v>
      </c>
      <c r="H24" s="236">
        <f t="shared" si="4"/>
        <v>4516.1756619999996</v>
      </c>
      <c r="I24" s="236">
        <f t="shared" si="4"/>
        <v>4516.1756619999996</v>
      </c>
      <c r="J24" s="245" t="s">
        <v>227</v>
      </c>
    </row>
    <row r="25" spans="1:10" x14ac:dyDescent="0.2">
      <c r="A25">
        <v>2023</v>
      </c>
      <c r="B25" s="231">
        <f>D25*(1+'Weather Scalars'!$D$4)</f>
        <v>716.23454662281358</v>
      </c>
      <c r="C25" s="231">
        <f>D25*(1+'Weather Scalars'!$D$5)</f>
        <v>737.47688331263282</v>
      </c>
      <c r="D25" s="231">
        <f t="shared" ref="D25:D36" si="5">B7</f>
        <v>750.61260388054234</v>
      </c>
      <c r="E25" s="231">
        <f>D25*(1+'Weather Scalars'!$D$7)</f>
        <v>760.67081277254169</v>
      </c>
      <c r="F25" s="231">
        <f>(B25*$E7*$C7)/1000</f>
        <v>4982.9749704112855</v>
      </c>
      <c r="G25" s="231">
        <f t="shared" ref="G25:I25" si="6">(C25*$E7*$C7)/1000</f>
        <v>5130.7617988148058</v>
      </c>
      <c r="H25" s="231">
        <f t="shared" si="6"/>
        <v>5222.1494135519661</v>
      </c>
      <c r="I25" s="231">
        <f t="shared" si="6"/>
        <v>5292.1262156935636</v>
      </c>
    </row>
    <row r="26" spans="1:10" x14ac:dyDescent="0.2">
      <c r="A26">
        <v>2024</v>
      </c>
      <c r="B26" s="231">
        <f>D26*(1+'Weather Scalars'!$D$4)</f>
        <v>781.25843898055746</v>
      </c>
      <c r="C26" s="231">
        <f>D26*(1+'Weather Scalars'!$D$5)</f>
        <v>804.42927719387728</v>
      </c>
      <c r="D26" s="231">
        <f t="shared" si="5"/>
        <v>818.75753403956969</v>
      </c>
      <c r="E26" s="231">
        <f>D26*(1+'Weather Scalars'!$D$7)</f>
        <v>829.72888499570001</v>
      </c>
      <c r="F26" s="231">
        <f t="shared" ref="F26:I36" si="7">(B26*$E8*$C8)/1000</f>
        <v>5533.5427269561314</v>
      </c>
      <c r="G26" s="231">
        <f t="shared" si="7"/>
        <v>5697.6584879840693</v>
      </c>
      <c r="H26" s="231">
        <f t="shared" si="7"/>
        <v>5799.1434992204258</v>
      </c>
      <c r="I26" s="231">
        <f t="shared" si="7"/>
        <v>5876.8520221099816</v>
      </c>
    </row>
    <row r="27" spans="1:10" x14ac:dyDescent="0.2">
      <c r="A27">
        <v>2025</v>
      </c>
      <c r="B27" s="231">
        <f>D27*(1+'Weather Scalars'!$D$4)</f>
        <v>846.56940247094553</v>
      </c>
      <c r="C27" s="231">
        <f>D27*(1+'Weather Scalars'!$D$5)</f>
        <v>871.67725626462379</v>
      </c>
      <c r="D27" s="231">
        <f t="shared" si="5"/>
        <v>887.20331426424809</v>
      </c>
      <c r="E27" s="231">
        <f>D27*(1+'Weather Scalars'!$D$7)</f>
        <v>899.09183867538911</v>
      </c>
      <c r="F27" s="231">
        <f t="shared" si="7"/>
        <v>6040.7121675319222</v>
      </c>
      <c r="G27" s="231">
        <f t="shared" si="7"/>
        <v>6219.8697386293379</v>
      </c>
      <c r="H27" s="231">
        <f t="shared" si="7"/>
        <v>6330.6562225234993</v>
      </c>
      <c r="I27" s="231">
        <f t="shared" si="7"/>
        <v>6415.4870159053144</v>
      </c>
    </row>
    <row r="28" spans="1:10" x14ac:dyDescent="0.2">
      <c r="A28">
        <v>2026</v>
      </c>
      <c r="B28" s="231">
        <f>D28*(1+'Weather Scalars'!$D$4)</f>
        <v>916.0847500762892</v>
      </c>
      <c r="C28" s="231">
        <f>D28*(1+'Weather Scalars'!$D$5)</f>
        <v>943.25431455664864</v>
      </c>
      <c r="D28" s="231">
        <f t="shared" si="5"/>
        <v>960.0552819914999</v>
      </c>
      <c r="E28" s="231">
        <f>D28*(1+'Weather Scalars'!$D$7)</f>
        <v>972.92002277018605</v>
      </c>
      <c r="F28" s="231">
        <f t="shared" si="7"/>
        <v>6586.0447923294714</v>
      </c>
      <c r="G28" s="231">
        <f t="shared" si="7"/>
        <v>6781.3760306683143</v>
      </c>
      <c r="H28" s="231">
        <f t="shared" si="7"/>
        <v>6902.163898899048</v>
      </c>
      <c r="I28" s="231">
        <f t="shared" si="7"/>
        <v>6994.6528951442951</v>
      </c>
    </row>
    <row r="29" spans="1:10" x14ac:dyDescent="0.2">
      <c r="A29">
        <v>2027</v>
      </c>
      <c r="B29" s="231">
        <f>D29*(1+'Weather Scalars'!$D$4)</f>
        <v>979.64915660341921</v>
      </c>
      <c r="C29" s="231">
        <f>D29*(1+'Weather Scalars'!$D$5)</f>
        <v>1008.7039366619779</v>
      </c>
      <c r="D29" s="231">
        <f t="shared" si="5"/>
        <v>1026.6706734473057</v>
      </c>
      <c r="E29" s="231">
        <f>D29*(1+'Weather Scalars'!$D$7)</f>
        <v>1040.4280604714997</v>
      </c>
      <c r="F29" s="231">
        <f t="shared" si="7"/>
        <v>7068.3445676366418</v>
      </c>
      <c r="G29" s="231">
        <f t="shared" si="7"/>
        <v>7277.9800227447067</v>
      </c>
      <c r="H29" s="231">
        <f t="shared" si="7"/>
        <v>7407.6132547019915</v>
      </c>
      <c r="I29" s="231">
        <f t="shared" si="7"/>
        <v>7506.8752723149992</v>
      </c>
    </row>
    <row r="30" spans="1:10" x14ac:dyDescent="0.2">
      <c r="A30">
        <v>2028</v>
      </c>
      <c r="B30" s="231">
        <f>D30*(1+'Weather Scalars'!$D$4)</f>
        <v>1040.5403383192088</v>
      </c>
      <c r="C30" s="231">
        <f>D30*(1+'Weather Scalars'!$D$5)</f>
        <v>1071.4010505120757</v>
      </c>
      <c r="D30" s="231">
        <f t="shared" si="5"/>
        <v>1090.4845297832831</v>
      </c>
      <c r="E30" s="231">
        <f>D30*(1+'Weather Scalars'!$D$7)</f>
        <v>1105.0970224823791</v>
      </c>
      <c r="F30" s="231">
        <f t="shared" si="7"/>
        <v>7547.7456303753534</v>
      </c>
      <c r="G30" s="231">
        <f t="shared" si="7"/>
        <v>7771.599331213356</v>
      </c>
      <c r="H30" s="231">
        <f t="shared" si="7"/>
        <v>7910.0247645937461</v>
      </c>
      <c r="I30" s="231">
        <f t="shared" si="7"/>
        <v>8016.0190964393032</v>
      </c>
    </row>
    <row r="31" spans="1:10" x14ac:dyDescent="0.2">
      <c r="A31">
        <v>2029</v>
      </c>
      <c r="B31" s="231">
        <f>D31*(1+'Weather Scalars'!$D$4)</f>
        <v>1104.5829341814676</v>
      </c>
      <c r="C31" s="231">
        <f>D31*(1+'Weather Scalars'!$D$5)</f>
        <v>1137.3430442604192</v>
      </c>
      <c r="D31" s="231">
        <f t="shared" si="5"/>
        <v>1157.6010628604774</v>
      </c>
      <c r="E31" s="231">
        <f>D31*(1+'Weather Scalars'!$D$7)</f>
        <v>1173.1129171028078</v>
      </c>
      <c r="F31" s="231">
        <f t="shared" si="7"/>
        <v>8005.8755546032889</v>
      </c>
      <c r="G31" s="231">
        <f t="shared" si="7"/>
        <v>8243.31663424621</v>
      </c>
      <c r="H31" s="231">
        <f t="shared" si="7"/>
        <v>8390.144156993596</v>
      </c>
      <c r="I31" s="231">
        <f t="shared" si="7"/>
        <v>8502.5720886973104</v>
      </c>
    </row>
    <row r="32" spans="1:10" x14ac:dyDescent="0.2">
      <c r="A32">
        <v>2030</v>
      </c>
      <c r="B32" s="231">
        <f>D32*(1+'Weather Scalars'!$D$4)</f>
        <v>1156.6927333883368</v>
      </c>
      <c r="C32" s="231">
        <f>D32*(1+'Weather Scalars'!$D$5)</f>
        <v>1190.9983342633</v>
      </c>
      <c r="D32" s="231">
        <f t="shared" si="5"/>
        <v>1212.2120450517048</v>
      </c>
      <c r="E32" s="231">
        <f>D32*(1+'Weather Scalars'!$D$7)</f>
        <v>1228.4556864553977</v>
      </c>
      <c r="F32" s="231">
        <f t="shared" si="7"/>
        <v>8399.3765463040963</v>
      </c>
      <c r="G32" s="231">
        <f t="shared" si="7"/>
        <v>8648.4882170863275</v>
      </c>
      <c r="H32" s="231">
        <f t="shared" si="7"/>
        <v>8802.5325364746332</v>
      </c>
      <c r="I32" s="231">
        <f t="shared" si="7"/>
        <v>8920.4864724633935</v>
      </c>
    </row>
    <row r="33" spans="1:9" x14ac:dyDescent="0.2">
      <c r="A33">
        <v>2031</v>
      </c>
      <c r="B33" s="231">
        <f>D33*(1+'Weather Scalars'!$D$4)</f>
        <v>1197.1294807180197</v>
      </c>
      <c r="C33" s="231">
        <f>D33*(1+'Weather Scalars'!$D$5)</f>
        <v>1232.634368901126</v>
      </c>
      <c r="D33" s="231">
        <f t="shared" si="5"/>
        <v>1254.5896884489832</v>
      </c>
      <c r="E33" s="231">
        <f>D33*(1+'Weather Scalars'!$D$7)</f>
        <v>1271.4011902741997</v>
      </c>
      <c r="F33" s="231">
        <f t="shared" si="7"/>
        <v>8708.7320375634354</v>
      </c>
      <c r="G33" s="231">
        <f t="shared" si="7"/>
        <v>8967.0186825676756</v>
      </c>
      <c r="H33" s="231">
        <f t="shared" si="7"/>
        <v>9126.7365725879645</v>
      </c>
      <c r="I33" s="231">
        <f t="shared" si="7"/>
        <v>9249.0348426606452</v>
      </c>
    </row>
    <row r="34" spans="1:9" x14ac:dyDescent="0.2">
      <c r="A34">
        <v>2032</v>
      </c>
      <c r="B34" s="231">
        <f>D34*(1+'Weather Scalars'!$D$4)</f>
        <v>1235.735680995977</v>
      </c>
      <c r="C34" s="231">
        <f>D34*(1+'Weather Scalars'!$D$5)</f>
        <v>1272.3855654774127</v>
      </c>
      <c r="D34" s="231">
        <f t="shared" si="5"/>
        <v>1295.0489216055091</v>
      </c>
      <c r="E34" s="231">
        <f>D34*(1+'Weather Scalars'!$D$7)</f>
        <v>1312.402577155023</v>
      </c>
      <c r="F34" s="231">
        <f t="shared" si="7"/>
        <v>9020.0025908251828</v>
      </c>
      <c r="G34" s="231">
        <f t="shared" si="7"/>
        <v>9287.5210076354451</v>
      </c>
      <c r="H34" s="231">
        <f t="shared" si="7"/>
        <v>9452.9475904686478</v>
      </c>
      <c r="I34" s="231">
        <f t="shared" si="7"/>
        <v>9579.6170881809248</v>
      </c>
    </row>
    <row r="35" spans="1:9" x14ac:dyDescent="0.2">
      <c r="A35">
        <v>2033</v>
      </c>
      <c r="B35" s="231">
        <f>D35*(1+'Weather Scalars'!$D$4)</f>
        <v>1269.3917010680732</v>
      </c>
      <c r="C35" s="231">
        <f>D35*(1+'Weather Scalars'!$D$5)</f>
        <v>1307.039767658124</v>
      </c>
      <c r="D35" s="231">
        <f t="shared" si="5"/>
        <v>1330.3203742067419</v>
      </c>
      <c r="E35" s="231">
        <f>D35*(1+'Weather Scalars'!$D$7)</f>
        <v>1348.1466672211125</v>
      </c>
      <c r="F35" s="231">
        <f t="shared" si="7"/>
        <v>9243.169414861135</v>
      </c>
      <c r="G35" s="231">
        <f t="shared" si="7"/>
        <v>9517.3065920153713</v>
      </c>
      <c r="H35" s="231">
        <f t="shared" si="7"/>
        <v>9686.8260478527918</v>
      </c>
      <c r="I35" s="231">
        <f t="shared" si="7"/>
        <v>9816.6295168940214</v>
      </c>
    </row>
    <row r="36" spans="1:9" x14ac:dyDescent="0.2">
      <c r="A36">
        <v>2034</v>
      </c>
      <c r="B36" s="231">
        <f>D36*(1+'Weather Scalars'!$D$4)</f>
        <v>1288.1882839132256</v>
      </c>
      <c r="C36" s="231">
        <f>D36*(1+'Weather Scalars'!$D$5)</f>
        <v>1326.3938261839701</v>
      </c>
      <c r="D36" s="231">
        <f t="shared" si="5"/>
        <v>1350.019161510402</v>
      </c>
      <c r="E36" s="231">
        <f>D36*(1+'Weather Scalars'!$D$7)</f>
        <v>1368.1094182746415</v>
      </c>
      <c r="F36" s="231">
        <f t="shared" si="7"/>
        <v>9380.0381209603074</v>
      </c>
      <c r="G36" s="231">
        <f t="shared" si="7"/>
        <v>9658.2345984526328</v>
      </c>
      <c r="H36" s="231">
        <f t="shared" si="7"/>
        <v>9830.2642223436487</v>
      </c>
      <c r="I36" s="231">
        <f t="shared" si="7"/>
        <v>9961.9897629230527</v>
      </c>
    </row>
  </sheetData>
  <hyperlinks>
    <hyperlink ref="G6" r:id="rId1" display="https://www.siliconvalleypower.com/home/showpublisheddocument/79910/638151194612430000"/>
    <hyperlink ref="G5" r:id="rId2" display="https://www.siliconvalleypower.com/home/showpublisheddocument/76639/6378122503785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B2:D9"/>
  <sheetViews>
    <sheetView zoomScale="115" zoomScaleNormal="115" workbookViewId="0">
      <selection sqref="A1:H1"/>
    </sheetView>
  </sheetViews>
  <sheetFormatPr defaultRowHeight="10" x14ac:dyDescent="0.2"/>
  <cols>
    <col min="2" max="2" width="27.44140625" customWidth="1"/>
  </cols>
  <sheetData>
    <row r="2" spans="2:4" ht="14.5" x14ac:dyDescent="0.35">
      <c r="C2" s="237" t="s">
        <v>223</v>
      </c>
      <c r="D2" s="243" t="s">
        <v>226</v>
      </c>
    </row>
    <row r="3" spans="2:4" ht="14.5" x14ac:dyDescent="0.2">
      <c r="B3" s="238" t="s">
        <v>224</v>
      </c>
      <c r="C3" s="238">
        <v>8</v>
      </c>
      <c r="D3" s="238">
        <v>8</v>
      </c>
    </row>
    <row r="4" spans="2:4" x14ac:dyDescent="0.2">
      <c r="B4" s="239" t="s">
        <v>219</v>
      </c>
      <c r="C4" s="240">
        <v>0</v>
      </c>
      <c r="D4" s="240">
        <f>C4-$C$6</f>
        <v>-4.58E-2</v>
      </c>
    </row>
    <row r="5" spans="2:4" x14ac:dyDescent="0.2">
      <c r="B5" s="239" t="s">
        <v>220</v>
      </c>
      <c r="C5" s="240">
        <v>2.8299999999999999E-2</v>
      </c>
      <c r="D5" s="240">
        <f>C5-$C$6</f>
        <v>-1.7500000000000002E-2</v>
      </c>
    </row>
    <row r="6" spans="2:4" x14ac:dyDescent="0.2">
      <c r="B6" s="241" t="s">
        <v>208</v>
      </c>
      <c r="C6" s="242">
        <v>4.58E-2</v>
      </c>
      <c r="D6" s="242">
        <f>C6-$C$6</f>
        <v>0</v>
      </c>
    </row>
    <row r="7" spans="2:4" x14ac:dyDescent="0.2">
      <c r="B7" s="239" t="s">
        <v>221</v>
      </c>
      <c r="C7" s="240">
        <v>5.9200000000000003E-2</v>
      </c>
      <c r="D7" s="240">
        <f>C7-$C$6</f>
        <v>1.3400000000000002E-2</v>
      </c>
    </row>
    <row r="8" spans="2:4" x14ac:dyDescent="0.2">
      <c r="B8" t="s">
        <v>225</v>
      </c>
    </row>
    <row r="9" spans="2:4" x14ac:dyDescent="0.2">
      <c r="B9" t="s">
        <v>228</v>
      </c>
    </row>
  </sheetData>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F39"/>
  <sheetViews>
    <sheetView workbookViewId="0">
      <selection sqref="A1:H1"/>
    </sheetView>
  </sheetViews>
  <sheetFormatPr defaultRowHeight="10" x14ac:dyDescent="0.2"/>
  <cols>
    <col min="1" max="1" width="79.77734375" bestFit="1" customWidth="1"/>
    <col min="2" max="2" width="24.44140625" bestFit="1" customWidth="1"/>
    <col min="3" max="3" width="11.44140625" bestFit="1" customWidth="1"/>
    <col min="4" max="4" width="20.77734375" bestFit="1" customWidth="1"/>
    <col min="5" max="5" width="13.109375" bestFit="1" customWidth="1"/>
  </cols>
  <sheetData>
    <row r="1" spans="1:6" ht="14.5" x14ac:dyDescent="0.2">
      <c r="A1" s="280" t="s">
        <v>251</v>
      </c>
    </row>
    <row r="2" spans="1:6" ht="14.5" x14ac:dyDescent="0.2">
      <c r="A2" s="280"/>
    </row>
    <row r="4" spans="1:6" ht="14.5" x14ac:dyDescent="0.2">
      <c r="A4" s="280"/>
    </row>
    <row r="5" spans="1:6" ht="14.5" x14ac:dyDescent="0.2">
      <c r="A5" s="280"/>
    </row>
    <row r="6" spans="1:6" x14ac:dyDescent="0.2">
      <c r="A6" s="281" t="s">
        <v>235</v>
      </c>
      <c r="D6" t="s">
        <v>262</v>
      </c>
    </row>
    <row r="7" spans="1:6" ht="14.5" x14ac:dyDescent="0.2">
      <c r="A7" s="280"/>
    </row>
    <row r="8" spans="1:6" ht="42.75" customHeight="1" x14ac:dyDescent="0.2">
      <c r="A8" s="426" t="s">
        <v>252</v>
      </c>
      <c r="B8" s="426"/>
      <c r="C8" s="283"/>
      <c r="D8" s="283"/>
      <c r="E8" s="283"/>
    </row>
    <row r="9" spans="1:6" ht="17" x14ac:dyDescent="0.2">
      <c r="A9" s="283"/>
      <c r="B9" s="283"/>
      <c r="C9" s="283"/>
      <c r="D9" s="282" t="s">
        <v>253</v>
      </c>
      <c r="E9" s="283"/>
    </row>
    <row r="10" spans="1:6" ht="51" x14ac:dyDescent="0.2">
      <c r="A10" s="283"/>
      <c r="B10" s="282" t="s">
        <v>254</v>
      </c>
      <c r="C10" s="283"/>
      <c r="D10" s="284">
        <v>744789513</v>
      </c>
      <c r="E10" s="285">
        <v>0.16500000000000001</v>
      </c>
    </row>
    <row r="11" spans="1:6" ht="25.5" customHeight="1" x14ac:dyDescent="0.2">
      <c r="A11" s="283"/>
      <c r="B11" s="426" t="s">
        <v>255</v>
      </c>
      <c r="C11" s="426"/>
      <c r="D11" s="284">
        <v>949282898</v>
      </c>
      <c r="E11" s="285">
        <v>0.21</v>
      </c>
    </row>
    <row r="12" spans="1:6" ht="34" x14ac:dyDescent="0.2">
      <c r="A12" s="283"/>
      <c r="B12" s="282" t="s">
        <v>256</v>
      </c>
      <c r="C12" s="283"/>
      <c r="D12" s="284">
        <v>1475664539</v>
      </c>
      <c r="E12" s="285">
        <v>0.32700000000000001</v>
      </c>
    </row>
    <row r="13" spans="1:6" ht="34.15" customHeight="1" x14ac:dyDescent="0.2">
      <c r="A13" s="283"/>
      <c r="B13" s="426" t="s">
        <v>257</v>
      </c>
      <c r="C13" s="426"/>
      <c r="D13" s="284">
        <v>1346438712</v>
      </c>
      <c r="E13" s="285">
        <v>0.29799999999999999</v>
      </c>
    </row>
    <row r="14" spans="1:6" ht="13" x14ac:dyDescent="0.2">
      <c r="A14" s="283"/>
      <c r="B14" s="283"/>
      <c r="C14" s="283"/>
      <c r="D14" s="283"/>
      <c r="E14" s="283"/>
    </row>
    <row r="15" spans="1:6" ht="17" x14ac:dyDescent="0.2">
      <c r="A15" s="283"/>
      <c r="B15" s="282" t="s">
        <v>239</v>
      </c>
      <c r="C15" s="283"/>
      <c r="D15" s="284">
        <v>4516175662</v>
      </c>
      <c r="E15" s="285">
        <v>1</v>
      </c>
      <c r="F15" t="s">
        <v>242</v>
      </c>
    </row>
    <row r="16" spans="1:6" ht="13" x14ac:dyDescent="0.2">
      <c r="A16" s="283"/>
      <c r="B16" s="283"/>
      <c r="C16" s="283"/>
      <c r="D16" s="283"/>
      <c r="E16" s="283"/>
    </row>
    <row r="17" spans="1:6" ht="34.15" customHeight="1" x14ac:dyDescent="0.2">
      <c r="A17" s="426" t="s">
        <v>258</v>
      </c>
      <c r="B17" s="426"/>
      <c r="C17" s="426"/>
      <c r="D17" s="283"/>
      <c r="E17" s="283"/>
    </row>
    <row r="18" spans="1:6" ht="17" x14ac:dyDescent="0.2">
      <c r="A18" s="283"/>
      <c r="B18" s="283"/>
      <c r="C18" s="283"/>
      <c r="D18" s="282" t="s">
        <v>253</v>
      </c>
      <c r="E18" s="283"/>
    </row>
    <row r="19" spans="1:6" ht="17" x14ac:dyDescent="0.2">
      <c r="A19" s="283"/>
      <c r="B19" s="282" t="s">
        <v>98</v>
      </c>
      <c r="C19" s="286">
        <v>50889</v>
      </c>
      <c r="D19" s="284">
        <v>261797930</v>
      </c>
      <c r="E19" s="285">
        <v>5.8999999999999997E-2</v>
      </c>
    </row>
    <row r="20" spans="1:6" ht="17" x14ac:dyDescent="0.2">
      <c r="A20" s="283"/>
      <c r="B20" s="282" t="s">
        <v>99</v>
      </c>
      <c r="C20" s="286">
        <v>6747</v>
      </c>
      <c r="D20" s="284">
        <v>94775944</v>
      </c>
      <c r="E20" s="285">
        <v>2.1000000000000001E-2</v>
      </c>
    </row>
    <row r="21" spans="1:6" ht="17" x14ac:dyDescent="0.2">
      <c r="A21" s="283"/>
      <c r="B21" s="282" t="s">
        <v>100</v>
      </c>
      <c r="C21" s="286">
        <v>1719</v>
      </c>
      <c r="D21" s="284">
        <v>4041352503</v>
      </c>
      <c r="E21" s="285">
        <v>0.91600000000000004</v>
      </c>
    </row>
    <row r="22" spans="1:6" ht="17" x14ac:dyDescent="0.2">
      <c r="A22" s="283"/>
      <c r="B22" s="282" t="s">
        <v>232</v>
      </c>
      <c r="C22" s="282">
        <v>211</v>
      </c>
      <c r="D22" s="284">
        <v>16231182</v>
      </c>
      <c r="E22" s="285">
        <v>4.0000000000000001E-3</v>
      </c>
    </row>
    <row r="23" spans="1:6" ht="17" x14ac:dyDescent="0.2">
      <c r="A23" s="283"/>
      <c r="B23" s="282" t="s">
        <v>233</v>
      </c>
      <c r="C23" s="282">
        <v>237</v>
      </c>
      <c r="D23" s="287" t="s">
        <v>234</v>
      </c>
      <c r="E23" s="287" t="s">
        <v>234</v>
      </c>
    </row>
    <row r="24" spans="1:6" ht="13" x14ac:dyDescent="0.2">
      <c r="A24" s="283"/>
      <c r="B24" s="283"/>
      <c r="C24" s="283"/>
      <c r="D24" s="283"/>
      <c r="E24" s="283"/>
    </row>
    <row r="25" spans="1:6" ht="17" x14ac:dyDescent="0.2">
      <c r="A25" s="283"/>
      <c r="B25" s="282" t="s">
        <v>239</v>
      </c>
      <c r="C25" s="282" t="s">
        <v>259</v>
      </c>
      <c r="D25" s="284">
        <v>4414157559</v>
      </c>
      <c r="E25" s="285">
        <v>1</v>
      </c>
      <c r="F25" t="s">
        <v>260</v>
      </c>
    </row>
    <row r="26" spans="1:6" x14ac:dyDescent="0.2">
      <c r="D26" s="291">
        <f>1-(D25/D15)</f>
        <v>2.2589489567113263E-2</v>
      </c>
      <c r="F26" t="s">
        <v>261</v>
      </c>
    </row>
    <row r="28" spans="1:6" x14ac:dyDescent="0.2">
      <c r="A28" t="s">
        <v>265</v>
      </c>
    </row>
    <row r="29" spans="1:6" x14ac:dyDescent="0.2">
      <c r="A29" t="s">
        <v>242</v>
      </c>
      <c r="B29" s="292">
        <v>4133860446</v>
      </c>
    </row>
    <row r="30" spans="1:6" x14ac:dyDescent="0.2">
      <c r="A30" t="s">
        <v>260</v>
      </c>
      <c r="B30" s="292">
        <v>4028518133</v>
      </c>
    </row>
    <row r="31" spans="1:6" x14ac:dyDescent="0.2">
      <c r="A31" t="s">
        <v>261</v>
      </c>
      <c r="B31" s="291">
        <f>1-(B30/B29)</f>
        <v>2.5482793716931407E-2</v>
      </c>
    </row>
    <row r="33" spans="1:3" x14ac:dyDescent="0.2">
      <c r="A33" s="244" t="s">
        <v>274</v>
      </c>
    </row>
    <row r="34" spans="1:3" x14ac:dyDescent="0.2">
      <c r="A34" t="s">
        <v>98</v>
      </c>
      <c r="B34" s="292">
        <v>241902173</v>
      </c>
    </row>
    <row r="35" spans="1:3" x14ac:dyDescent="0.2">
      <c r="A35" t="s">
        <v>99</v>
      </c>
      <c r="B35" s="292">
        <v>87511533</v>
      </c>
    </row>
    <row r="36" spans="1:3" x14ac:dyDescent="0.2">
      <c r="A36" t="s">
        <v>100</v>
      </c>
      <c r="B36" s="292">
        <v>3682428599</v>
      </c>
    </row>
    <row r="37" spans="1:3" x14ac:dyDescent="0.2">
      <c r="A37" t="s">
        <v>232</v>
      </c>
      <c r="B37" s="292">
        <v>16675827</v>
      </c>
    </row>
    <row r="38" spans="1:3" x14ac:dyDescent="0.2">
      <c r="A38" t="s">
        <v>233</v>
      </c>
      <c r="B38" t="s">
        <v>234</v>
      </c>
    </row>
    <row r="39" spans="1:3" ht="10.5" x14ac:dyDescent="0.25">
      <c r="A39" s="244" t="s">
        <v>272</v>
      </c>
      <c r="B39" s="318">
        <f>SUM(B34:B37)</f>
        <v>4028518132</v>
      </c>
      <c r="C39" s="244" t="s">
        <v>273</v>
      </c>
    </row>
  </sheetData>
  <mergeCells count="4">
    <mergeCell ref="A8:B8"/>
    <mergeCell ref="B11:C11"/>
    <mergeCell ref="B13:C13"/>
    <mergeCell ref="A17:C17"/>
  </mergeCells>
  <hyperlinks>
    <hyperlink ref="A6" r:id="rId1" display="https://www.siliconvalleypower.com/svp-and-community/about-svp/utility-fact-sheet"/>
  </hyperlinks>
  <pageMargins left="0.7" right="0.7" top="0.75" bottom="0.75" header="0.3" footer="0.3"/>
  <pageSetup orientation="portrait" horizontalDpi="1200" verticalDpi="1200" r:id="rId2"/>
  <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66"/>
  <sheetViews>
    <sheetView zoomScale="115" zoomScaleNormal="115" workbookViewId="0">
      <selection sqref="A1:H1"/>
    </sheetView>
  </sheetViews>
  <sheetFormatPr defaultColWidth="9.33203125" defaultRowHeight="12.5" x14ac:dyDescent="0.2"/>
  <cols>
    <col min="1" max="1" width="17.109375" style="33" customWidth="1"/>
    <col min="2" max="2" width="17.109375" style="34" customWidth="1"/>
    <col min="3" max="3" width="20.6640625" style="35" customWidth="1"/>
    <col min="4" max="8" width="20.6640625" style="33" customWidth="1"/>
    <col min="9" max="16384" width="9.33203125" style="33"/>
  </cols>
  <sheetData>
    <row r="1" spans="1:8" s="28" customFormat="1" ht="15.5" x14ac:dyDescent="0.2">
      <c r="A1" s="430" t="s">
        <v>66</v>
      </c>
      <c r="B1" s="430"/>
      <c r="C1" s="430"/>
      <c r="D1" s="430"/>
      <c r="E1" s="430"/>
      <c r="F1" s="430"/>
      <c r="G1" s="430"/>
      <c r="H1" s="430"/>
    </row>
    <row r="2" spans="1:8" s="28" customFormat="1" ht="15.5" x14ac:dyDescent="0.2">
      <c r="A2" s="431" t="str">
        <f>'FormsList&amp;FilerInfo'!B2</f>
        <v>Utility Name</v>
      </c>
      <c r="B2" s="432"/>
      <c r="C2" s="432"/>
      <c r="D2" s="432"/>
      <c r="E2" s="432"/>
      <c r="F2" s="432"/>
      <c r="G2" s="432"/>
      <c r="H2" s="432"/>
    </row>
    <row r="3" spans="1:8" s="28" customFormat="1" ht="15.5" x14ac:dyDescent="0.2">
      <c r="A3" s="209"/>
      <c r="B3" s="209"/>
      <c r="C3" s="209"/>
      <c r="D3" s="209"/>
      <c r="E3" s="209"/>
      <c r="F3" s="209"/>
      <c r="G3" s="209"/>
      <c r="H3" s="209"/>
    </row>
    <row r="4" spans="1:8" ht="15.5" x14ac:dyDescent="0.2">
      <c r="A4" s="432" t="s">
        <v>194</v>
      </c>
      <c r="B4" s="432"/>
      <c r="C4" s="432"/>
      <c r="D4" s="432"/>
      <c r="E4" s="432"/>
      <c r="F4" s="432"/>
      <c r="G4" s="432"/>
      <c r="H4" s="432"/>
    </row>
    <row r="5" spans="1:8" ht="13" x14ac:dyDescent="0.2">
      <c r="A5" s="191"/>
      <c r="B5" s="213"/>
      <c r="C5" s="29"/>
    </row>
    <row r="6" spans="1:8" ht="14" x14ac:dyDescent="0.2">
      <c r="A6" s="31" t="s">
        <v>67</v>
      </c>
      <c r="B6" s="30"/>
      <c r="C6" s="33"/>
    </row>
    <row r="7" spans="1:8" ht="14" x14ac:dyDescent="0.2">
      <c r="A7" s="31"/>
      <c r="B7" s="30"/>
      <c r="C7" s="33"/>
      <c r="F7" s="192"/>
    </row>
    <row r="8" spans="1:8" ht="12.75" customHeight="1" x14ac:dyDescent="0.2">
      <c r="A8" s="31" t="s">
        <v>195</v>
      </c>
      <c r="B8" s="31"/>
      <c r="C8" s="31"/>
      <c r="G8" s="192"/>
    </row>
    <row r="9" spans="1:8" ht="14" x14ac:dyDescent="0.2">
      <c r="A9" s="31" t="s">
        <v>68</v>
      </c>
      <c r="B9" s="31"/>
      <c r="C9" s="31"/>
      <c r="G9" s="192"/>
    </row>
    <row r="10" spans="1:8" ht="14" x14ac:dyDescent="0.2">
      <c r="A10" s="31" t="s">
        <v>196</v>
      </c>
      <c r="B10" s="31"/>
      <c r="C10" s="31"/>
      <c r="G10" s="192"/>
    </row>
    <row r="11" spans="1:8" ht="14" x14ac:dyDescent="0.2">
      <c r="A11" s="31" t="s">
        <v>69</v>
      </c>
      <c r="B11" s="31"/>
      <c r="C11" s="31"/>
    </row>
    <row r="12" spans="1:8" ht="14.25" customHeight="1" x14ac:dyDescent="0.2">
      <c r="A12" s="31" t="s">
        <v>70</v>
      </c>
      <c r="B12" s="31"/>
      <c r="C12" s="31"/>
    </row>
    <row r="13" spans="1:8" s="195" customFormat="1" ht="14.5" thickBot="1" x14ac:dyDescent="0.25">
      <c r="A13" s="193"/>
      <c r="B13" s="194"/>
    </row>
    <row r="14" spans="1:8" s="195" customFormat="1" ht="14.25" customHeight="1" x14ac:dyDescent="0.2">
      <c r="A14" s="433" t="s">
        <v>71</v>
      </c>
      <c r="B14" s="434"/>
      <c r="C14" s="434"/>
      <c r="D14" s="435"/>
      <c r="E14" s="435"/>
      <c r="F14" s="435"/>
      <c r="G14" s="435"/>
      <c r="H14" s="435"/>
    </row>
    <row r="15" spans="1:8" ht="14.25" customHeight="1" x14ac:dyDescent="0.2">
      <c r="A15" s="436" t="s">
        <v>72</v>
      </c>
      <c r="B15" s="437"/>
      <c r="C15" s="437"/>
      <c r="D15" s="438"/>
      <c r="E15" s="438"/>
      <c r="F15" s="438"/>
      <c r="G15" s="438"/>
      <c r="H15" s="438"/>
    </row>
    <row r="16" spans="1:8" s="32" customFormat="1" ht="14.25" customHeight="1" thickBot="1" x14ac:dyDescent="0.25">
      <c r="A16" s="427" t="s">
        <v>73</v>
      </c>
      <c r="B16" s="428"/>
      <c r="C16" s="428"/>
      <c r="D16" s="429"/>
      <c r="E16" s="429"/>
      <c r="F16" s="429"/>
      <c r="G16" s="429"/>
      <c r="H16" s="429"/>
    </row>
    <row r="17" spans="1:8" s="32" customFormat="1" ht="14.25" customHeight="1" x14ac:dyDescent="0.2">
      <c r="A17" s="196"/>
      <c r="B17" s="197"/>
      <c r="C17" s="196"/>
    </row>
    <row r="18" spans="1:8" s="106" customFormat="1" ht="31.5" x14ac:dyDescent="0.2">
      <c r="A18" s="105" t="s">
        <v>74</v>
      </c>
      <c r="B18" s="105" t="s">
        <v>75</v>
      </c>
      <c r="C18" s="198" t="s">
        <v>76</v>
      </c>
      <c r="D18" s="198" t="s">
        <v>77</v>
      </c>
      <c r="E18" s="198" t="s">
        <v>78</v>
      </c>
      <c r="F18" s="198" t="s">
        <v>79</v>
      </c>
      <c r="G18" s="198" t="s">
        <v>80</v>
      </c>
      <c r="H18" s="225" t="s">
        <v>81</v>
      </c>
    </row>
    <row r="19" spans="1:8" x14ac:dyDescent="0.2">
      <c r="A19" s="104">
        <v>44197</v>
      </c>
      <c r="B19" s="199">
        <v>1</v>
      </c>
      <c r="C19" s="200"/>
      <c r="D19" s="210"/>
      <c r="E19" s="210"/>
      <c r="F19" s="210"/>
      <c r="G19" s="210"/>
      <c r="H19" s="210"/>
    </row>
    <row r="20" spans="1:8" x14ac:dyDescent="0.2">
      <c r="A20" s="104">
        <v>44197</v>
      </c>
      <c r="B20" s="199">
        <v>2</v>
      </c>
      <c r="C20" s="200"/>
      <c r="D20" s="210"/>
      <c r="E20" s="210"/>
      <c r="F20" s="210"/>
      <c r="G20" s="210"/>
      <c r="H20" s="210"/>
    </row>
    <row r="21" spans="1:8" x14ac:dyDescent="0.2">
      <c r="A21" s="104">
        <v>44197</v>
      </c>
      <c r="B21" s="199">
        <v>3</v>
      </c>
      <c r="C21" s="200"/>
      <c r="D21" s="210"/>
      <c r="E21" s="210"/>
      <c r="F21" s="210"/>
      <c r="G21" s="210"/>
      <c r="H21" s="210"/>
    </row>
    <row r="22" spans="1:8" x14ac:dyDescent="0.2">
      <c r="A22" s="104">
        <v>44197</v>
      </c>
      <c r="B22" s="199">
        <v>4</v>
      </c>
      <c r="C22" s="200"/>
      <c r="D22" s="210"/>
      <c r="E22" s="210"/>
      <c r="F22" s="210"/>
      <c r="G22" s="210"/>
      <c r="H22" s="210"/>
    </row>
    <row r="23" spans="1:8" ht="11.25" customHeight="1" x14ac:dyDescent="0.2">
      <c r="A23" s="104">
        <v>44197</v>
      </c>
      <c r="B23" s="199">
        <v>5</v>
      </c>
      <c r="C23" s="200"/>
      <c r="D23" s="210"/>
      <c r="E23" s="210"/>
      <c r="F23" s="210"/>
      <c r="G23" s="210"/>
      <c r="H23" s="210"/>
    </row>
    <row r="24" spans="1:8" x14ac:dyDescent="0.2">
      <c r="A24" s="104">
        <v>44197</v>
      </c>
      <c r="B24" s="199">
        <v>6</v>
      </c>
      <c r="C24" s="200"/>
      <c r="D24" s="210"/>
      <c r="E24" s="210"/>
      <c r="F24" s="210"/>
      <c r="G24" s="210"/>
      <c r="H24" s="210"/>
    </row>
    <row r="25" spans="1:8" x14ac:dyDescent="0.2">
      <c r="A25" s="104">
        <v>44197</v>
      </c>
      <c r="B25" s="199">
        <v>7</v>
      </c>
      <c r="C25" s="200"/>
      <c r="D25" s="210"/>
      <c r="E25" s="210"/>
      <c r="F25" s="210"/>
      <c r="G25" s="210"/>
      <c r="H25" s="210"/>
    </row>
    <row r="26" spans="1:8" x14ac:dyDescent="0.2">
      <c r="A26" s="104">
        <v>44197</v>
      </c>
      <c r="B26" s="199">
        <v>8</v>
      </c>
      <c r="C26" s="200"/>
      <c r="D26" s="210"/>
      <c r="E26" s="210"/>
      <c r="F26" s="210"/>
      <c r="G26" s="210"/>
      <c r="H26" s="210"/>
    </row>
    <row r="27" spans="1:8" x14ac:dyDescent="0.2">
      <c r="A27" s="104">
        <v>44197</v>
      </c>
      <c r="B27" s="199">
        <v>9</v>
      </c>
      <c r="C27" s="200"/>
      <c r="D27" s="210"/>
      <c r="E27" s="210"/>
      <c r="F27" s="210"/>
      <c r="G27" s="210"/>
      <c r="H27" s="210"/>
    </row>
    <row r="28" spans="1:8" x14ac:dyDescent="0.2">
      <c r="A28" s="104">
        <v>44197</v>
      </c>
      <c r="B28" s="199">
        <v>10</v>
      </c>
      <c r="C28" s="200"/>
      <c r="D28" s="210"/>
      <c r="E28" s="210"/>
      <c r="F28" s="210"/>
      <c r="G28" s="210"/>
      <c r="H28" s="210"/>
    </row>
    <row r="29" spans="1:8" x14ac:dyDescent="0.2">
      <c r="A29" s="104">
        <v>44197</v>
      </c>
      <c r="B29" s="199">
        <v>11</v>
      </c>
      <c r="C29" s="200"/>
      <c r="D29" s="210"/>
      <c r="E29" s="210"/>
      <c r="F29" s="210"/>
      <c r="G29" s="210"/>
      <c r="H29" s="210"/>
    </row>
    <row r="30" spans="1:8" ht="11.25" customHeight="1" x14ac:dyDescent="0.2">
      <c r="A30" s="104">
        <v>44197</v>
      </c>
      <c r="B30" s="199">
        <v>12</v>
      </c>
      <c r="C30" s="200"/>
      <c r="D30" s="210"/>
      <c r="E30" s="210"/>
      <c r="F30" s="210"/>
      <c r="G30" s="210"/>
      <c r="H30" s="210"/>
    </row>
    <row r="31" spans="1:8" x14ac:dyDescent="0.2">
      <c r="A31" s="104">
        <v>44197</v>
      </c>
      <c r="B31" s="199">
        <v>13</v>
      </c>
      <c r="C31" s="200"/>
      <c r="D31" s="210"/>
      <c r="E31" s="210"/>
      <c r="F31" s="210"/>
      <c r="G31" s="210"/>
      <c r="H31" s="210"/>
    </row>
    <row r="32" spans="1:8" x14ac:dyDescent="0.2">
      <c r="A32" s="104">
        <v>44197</v>
      </c>
      <c r="B32" s="199">
        <v>14</v>
      </c>
      <c r="C32" s="200"/>
      <c r="D32" s="210"/>
      <c r="E32" s="210"/>
      <c r="F32" s="210"/>
      <c r="G32" s="210"/>
      <c r="H32" s="210"/>
    </row>
    <row r="33" spans="1:8" x14ac:dyDescent="0.2">
      <c r="A33" s="104">
        <v>44197</v>
      </c>
      <c r="B33" s="199">
        <v>15</v>
      </c>
      <c r="C33" s="200"/>
      <c r="D33" s="210"/>
      <c r="E33" s="210"/>
      <c r="F33" s="210"/>
      <c r="G33" s="210"/>
      <c r="H33" s="210"/>
    </row>
    <row r="34" spans="1:8" x14ac:dyDescent="0.2">
      <c r="A34" s="104">
        <v>44197</v>
      </c>
      <c r="B34" s="199">
        <v>16</v>
      </c>
      <c r="C34" s="200"/>
      <c r="D34" s="210"/>
      <c r="E34" s="210"/>
      <c r="F34" s="210"/>
      <c r="G34" s="210"/>
      <c r="H34" s="210"/>
    </row>
    <row r="35" spans="1:8" x14ac:dyDescent="0.2">
      <c r="A35" s="104">
        <v>44197</v>
      </c>
      <c r="B35" s="199">
        <v>17</v>
      </c>
      <c r="C35" s="200"/>
      <c r="D35" s="210"/>
      <c r="E35" s="210"/>
      <c r="F35" s="210"/>
      <c r="G35" s="210"/>
      <c r="H35" s="210"/>
    </row>
    <row r="36" spans="1:8" x14ac:dyDescent="0.2">
      <c r="A36" s="104">
        <v>44197</v>
      </c>
      <c r="B36" s="199">
        <v>18</v>
      </c>
      <c r="C36" s="200"/>
      <c r="D36" s="210"/>
      <c r="E36" s="210"/>
      <c r="F36" s="210"/>
      <c r="G36" s="210"/>
      <c r="H36" s="210"/>
    </row>
    <row r="37" spans="1:8" ht="11.25" customHeight="1" x14ac:dyDescent="0.2">
      <c r="A37" s="104">
        <v>44197</v>
      </c>
      <c r="B37" s="199">
        <v>19</v>
      </c>
      <c r="C37" s="200"/>
      <c r="D37" s="210"/>
      <c r="E37" s="210"/>
      <c r="F37" s="210"/>
      <c r="G37" s="210"/>
      <c r="H37" s="210"/>
    </row>
    <row r="38" spans="1:8" x14ac:dyDescent="0.2">
      <c r="A38" s="104">
        <v>44197</v>
      </c>
      <c r="B38" s="199">
        <v>20</v>
      </c>
      <c r="C38" s="200"/>
      <c r="D38" s="210"/>
      <c r="E38" s="210"/>
      <c r="F38" s="210"/>
      <c r="G38" s="210"/>
      <c r="H38" s="210"/>
    </row>
    <row r="39" spans="1:8" x14ac:dyDescent="0.2">
      <c r="A39" s="104">
        <v>44197</v>
      </c>
      <c r="B39" s="199">
        <v>21</v>
      </c>
      <c r="C39" s="200"/>
      <c r="D39" s="210"/>
      <c r="E39" s="210"/>
      <c r="F39" s="210"/>
      <c r="G39" s="210"/>
      <c r="H39" s="210"/>
    </row>
    <row r="40" spans="1:8" x14ac:dyDescent="0.2">
      <c r="A40" s="104">
        <v>44197</v>
      </c>
      <c r="B40" s="199">
        <v>22</v>
      </c>
      <c r="C40" s="200"/>
      <c r="D40" s="210"/>
      <c r="E40" s="210"/>
      <c r="F40" s="210"/>
      <c r="G40" s="210"/>
      <c r="H40" s="210"/>
    </row>
    <row r="41" spans="1:8" x14ac:dyDescent="0.2">
      <c r="A41" s="104">
        <v>44197</v>
      </c>
      <c r="B41" s="199">
        <v>23</v>
      </c>
      <c r="C41" s="200"/>
      <c r="D41" s="210"/>
      <c r="E41" s="210"/>
      <c r="F41" s="210"/>
      <c r="G41" s="210"/>
      <c r="H41" s="210"/>
    </row>
    <row r="42" spans="1:8" x14ac:dyDescent="0.2">
      <c r="A42" s="104">
        <v>44197</v>
      </c>
      <c r="B42" s="199">
        <v>24</v>
      </c>
      <c r="C42" s="200"/>
      <c r="D42" s="210"/>
      <c r="E42" s="210"/>
      <c r="F42" s="210"/>
      <c r="G42" s="210"/>
      <c r="H42" s="210"/>
    </row>
    <row r="43" spans="1:8" x14ac:dyDescent="0.2">
      <c r="A43" s="104">
        <v>44198</v>
      </c>
      <c r="B43" s="199">
        <v>1</v>
      </c>
      <c r="C43" s="200"/>
      <c r="D43" s="210"/>
      <c r="E43" s="210"/>
      <c r="F43" s="210"/>
      <c r="G43" s="210"/>
      <c r="H43" s="210"/>
    </row>
    <row r="44" spans="1:8" x14ac:dyDescent="0.2">
      <c r="A44" s="104">
        <v>44198</v>
      </c>
      <c r="B44" s="199">
        <v>2</v>
      </c>
      <c r="C44" s="200"/>
      <c r="D44" s="210"/>
      <c r="E44" s="210"/>
      <c r="F44" s="210"/>
      <c r="G44" s="210"/>
      <c r="H44" s="210"/>
    </row>
    <row r="45" spans="1:8" x14ac:dyDescent="0.2">
      <c r="A45" s="104">
        <v>44198</v>
      </c>
      <c r="B45" s="199">
        <v>3</v>
      </c>
      <c r="C45" s="200"/>
      <c r="D45" s="210"/>
      <c r="E45" s="210"/>
      <c r="F45" s="210"/>
      <c r="G45" s="210"/>
      <c r="H45" s="210"/>
    </row>
    <row r="46" spans="1:8" x14ac:dyDescent="0.2">
      <c r="A46" s="104">
        <v>44198</v>
      </c>
      <c r="B46" s="199">
        <v>4</v>
      </c>
      <c r="C46" s="200"/>
      <c r="D46" s="210"/>
      <c r="E46" s="210"/>
      <c r="F46" s="210"/>
      <c r="G46" s="210"/>
      <c r="H46" s="210"/>
    </row>
    <row r="47" spans="1:8" x14ac:dyDescent="0.2">
      <c r="A47" s="104">
        <v>44198</v>
      </c>
      <c r="B47" s="199">
        <v>5</v>
      </c>
      <c r="C47" s="200"/>
      <c r="D47" s="210"/>
      <c r="E47" s="210"/>
      <c r="F47" s="210"/>
      <c r="G47" s="210"/>
      <c r="H47" s="210"/>
    </row>
    <row r="48" spans="1:8" x14ac:dyDescent="0.2">
      <c r="A48" s="104">
        <v>44198</v>
      </c>
      <c r="B48" s="199">
        <v>6</v>
      </c>
      <c r="C48" s="200"/>
      <c r="D48" s="210"/>
      <c r="E48" s="210"/>
      <c r="F48" s="210"/>
      <c r="G48" s="210"/>
      <c r="H48" s="210"/>
    </row>
    <row r="49" spans="1:8" x14ac:dyDescent="0.2">
      <c r="A49" s="104">
        <v>44198</v>
      </c>
      <c r="B49" s="199">
        <v>7</v>
      </c>
      <c r="C49" s="200"/>
      <c r="D49" s="210"/>
      <c r="E49" s="210"/>
      <c r="F49" s="210"/>
      <c r="G49" s="210"/>
      <c r="H49" s="210"/>
    </row>
    <row r="50" spans="1:8" x14ac:dyDescent="0.2">
      <c r="A50" s="104">
        <v>44198</v>
      </c>
      <c r="B50" s="199">
        <v>8</v>
      </c>
      <c r="C50" s="200"/>
      <c r="D50" s="210"/>
      <c r="E50" s="210"/>
      <c r="F50" s="210"/>
      <c r="G50" s="210"/>
      <c r="H50" s="210"/>
    </row>
    <row r="51" spans="1:8" x14ac:dyDescent="0.2">
      <c r="A51" s="104">
        <v>44198</v>
      </c>
      <c r="B51" s="199">
        <v>9</v>
      </c>
      <c r="C51" s="200"/>
      <c r="D51" s="210"/>
      <c r="E51" s="210"/>
      <c r="F51" s="210"/>
      <c r="G51" s="210"/>
      <c r="H51" s="210"/>
    </row>
    <row r="52" spans="1:8" x14ac:dyDescent="0.2">
      <c r="A52" s="104">
        <v>44198</v>
      </c>
      <c r="B52" s="199">
        <v>10</v>
      </c>
      <c r="C52" s="200"/>
      <c r="D52" s="210"/>
      <c r="E52" s="210"/>
      <c r="F52" s="210"/>
      <c r="G52" s="210"/>
      <c r="H52" s="210"/>
    </row>
    <row r="53" spans="1:8" x14ac:dyDescent="0.2">
      <c r="A53" s="104">
        <v>44198</v>
      </c>
      <c r="B53" s="199">
        <v>11</v>
      </c>
      <c r="C53" s="200"/>
      <c r="D53" s="210"/>
      <c r="E53" s="210"/>
      <c r="F53" s="210"/>
      <c r="G53" s="210"/>
      <c r="H53" s="210"/>
    </row>
    <row r="54" spans="1:8" x14ac:dyDescent="0.2">
      <c r="A54" s="104">
        <v>44198</v>
      </c>
      <c r="B54" s="199">
        <v>12</v>
      </c>
      <c r="C54" s="200"/>
      <c r="D54" s="210"/>
      <c r="E54" s="210"/>
      <c r="F54" s="210"/>
      <c r="G54" s="210"/>
      <c r="H54" s="210"/>
    </row>
    <row r="55" spans="1:8" x14ac:dyDescent="0.2">
      <c r="A55" s="104">
        <v>44198</v>
      </c>
      <c r="B55" s="199">
        <v>13</v>
      </c>
      <c r="C55" s="200"/>
      <c r="D55" s="210"/>
      <c r="E55" s="210"/>
      <c r="F55" s="210"/>
      <c r="G55" s="210"/>
      <c r="H55" s="210"/>
    </row>
    <row r="56" spans="1:8" x14ac:dyDescent="0.2">
      <c r="A56" s="104">
        <v>44198</v>
      </c>
      <c r="B56" s="199">
        <v>14</v>
      </c>
      <c r="C56" s="200"/>
      <c r="D56" s="210"/>
      <c r="E56" s="210"/>
      <c r="F56" s="210"/>
      <c r="G56" s="210"/>
      <c r="H56" s="210"/>
    </row>
    <row r="57" spans="1:8" x14ac:dyDescent="0.2">
      <c r="A57" s="104">
        <v>44198</v>
      </c>
      <c r="B57" s="199">
        <v>15</v>
      </c>
      <c r="C57" s="200"/>
      <c r="D57" s="210"/>
      <c r="E57" s="210"/>
      <c r="F57" s="210"/>
      <c r="G57" s="210"/>
      <c r="H57" s="210"/>
    </row>
    <row r="58" spans="1:8" x14ac:dyDescent="0.2">
      <c r="A58" s="104">
        <v>44198</v>
      </c>
      <c r="B58" s="199">
        <v>16</v>
      </c>
      <c r="C58" s="200"/>
      <c r="D58" s="210"/>
      <c r="E58" s="210"/>
      <c r="F58" s="210"/>
      <c r="G58" s="210"/>
      <c r="H58" s="210"/>
    </row>
    <row r="59" spans="1:8" x14ac:dyDescent="0.2">
      <c r="A59" s="104">
        <v>44198</v>
      </c>
      <c r="B59" s="199">
        <v>17</v>
      </c>
      <c r="C59" s="200"/>
      <c r="D59" s="210"/>
      <c r="E59" s="210"/>
      <c r="F59" s="210"/>
      <c r="G59" s="210"/>
      <c r="H59" s="210"/>
    </row>
    <row r="60" spans="1:8" x14ac:dyDescent="0.2">
      <c r="A60" s="104">
        <v>44198</v>
      </c>
      <c r="B60" s="199">
        <v>18</v>
      </c>
      <c r="C60" s="200"/>
      <c r="D60" s="210"/>
      <c r="E60" s="210"/>
      <c r="F60" s="210"/>
      <c r="G60" s="210"/>
      <c r="H60" s="210"/>
    </row>
    <row r="61" spans="1:8" x14ac:dyDescent="0.2">
      <c r="A61" s="104">
        <v>44198</v>
      </c>
      <c r="B61" s="199">
        <v>19</v>
      </c>
      <c r="C61" s="200"/>
      <c r="D61" s="210"/>
      <c r="E61" s="210"/>
      <c r="F61" s="210"/>
      <c r="G61" s="210"/>
      <c r="H61" s="210"/>
    </row>
    <row r="62" spans="1:8" x14ac:dyDescent="0.2">
      <c r="A62" s="104">
        <v>44198</v>
      </c>
      <c r="B62" s="199">
        <v>20</v>
      </c>
      <c r="C62" s="200"/>
      <c r="D62" s="210"/>
      <c r="E62" s="210"/>
      <c r="F62" s="210"/>
      <c r="G62" s="210"/>
      <c r="H62" s="210"/>
    </row>
    <row r="63" spans="1:8" x14ac:dyDescent="0.2">
      <c r="A63" s="104">
        <v>44198</v>
      </c>
      <c r="B63" s="199">
        <v>21</v>
      </c>
      <c r="C63" s="200"/>
      <c r="D63" s="210"/>
      <c r="E63" s="210"/>
      <c r="F63" s="210"/>
      <c r="G63" s="210"/>
      <c r="H63" s="210"/>
    </row>
    <row r="64" spans="1:8" x14ac:dyDescent="0.2">
      <c r="A64" s="104">
        <v>44198</v>
      </c>
      <c r="B64" s="199">
        <v>22</v>
      </c>
      <c r="C64" s="200"/>
      <c r="D64" s="210"/>
      <c r="E64" s="210"/>
      <c r="F64" s="210"/>
      <c r="G64" s="210"/>
      <c r="H64" s="210"/>
    </row>
    <row r="65" spans="1:8" x14ac:dyDescent="0.2">
      <c r="A65" s="104">
        <v>44198</v>
      </c>
      <c r="B65" s="199">
        <v>23</v>
      </c>
      <c r="C65" s="200"/>
      <c r="D65" s="210"/>
      <c r="E65" s="210"/>
      <c r="F65" s="210"/>
      <c r="G65" s="210"/>
      <c r="H65" s="210"/>
    </row>
    <row r="66" spans="1:8" x14ac:dyDescent="0.2">
      <c r="A66" s="104">
        <v>44198</v>
      </c>
      <c r="B66" s="199">
        <v>24</v>
      </c>
      <c r="C66" s="200"/>
      <c r="D66" s="210"/>
      <c r="E66" s="210"/>
      <c r="F66" s="210"/>
      <c r="G66" s="210"/>
      <c r="H66" s="210"/>
    </row>
  </sheetData>
  <mergeCells count="9">
    <mergeCell ref="A16:C16"/>
    <mergeCell ref="D16:H16"/>
    <mergeCell ref="A1:H1"/>
    <mergeCell ref="A2:H2"/>
    <mergeCell ref="A4:H4"/>
    <mergeCell ref="A14:C14"/>
    <mergeCell ref="D14:H14"/>
    <mergeCell ref="A15:C15"/>
    <mergeCell ref="D15:H15"/>
  </mergeCells>
  <printOptions horizontalCentered="1"/>
  <pageMargins left="0.25" right="0.25" top="0.5" bottom="0.5" header="0.5" footer="0.5"/>
  <pageSetup scale="68" orientation="landscape" r:id="rId1"/>
  <headerFooter alignWithMargins="0">
    <oddFooter>&amp;R&amp;A</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J22"/>
  <sheetViews>
    <sheetView showGridLines="0" zoomScale="130" zoomScaleNormal="130" workbookViewId="0"/>
  </sheetViews>
  <sheetFormatPr defaultColWidth="17.6640625" defaultRowHeight="10" x14ac:dyDescent="0.2"/>
  <cols>
    <col min="1" max="1" width="1.6640625" style="8" customWidth="1"/>
    <col min="2" max="2" width="11.109375" style="8" customWidth="1"/>
    <col min="3" max="3" width="13.44140625" style="8" customWidth="1"/>
    <col min="4" max="4" width="12.6640625" style="8" customWidth="1"/>
    <col min="5" max="5" width="13.109375" style="8" bestFit="1" customWidth="1"/>
    <col min="6" max="6" width="15.44140625" style="8" customWidth="1"/>
    <col min="7" max="7" width="15.6640625" style="8" customWidth="1"/>
    <col min="8" max="9" width="12.6640625" style="8" customWidth="1"/>
    <col min="10" max="10" width="13.109375" style="8" customWidth="1"/>
    <col min="11" max="11" width="14.44140625" style="8" customWidth="1"/>
    <col min="12" max="12" width="13.6640625" style="8" customWidth="1"/>
    <col min="13" max="16384" width="17.6640625" style="8"/>
  </cols>
  <sheetData>
    <row r="1" spans="2:10" s="19" customFormat="1" ht="15.5" x14ac:dyDescent="0.35">
      <c r="B1" s="439" t="s">
        <v>82</v>
      </c>
      <c r="C1" s="439"/>
      <c r="D1" s="439"/>
      <c r="E1" s="439"/>
      <c r="F1" s="439"/>
      <c r="G1" s="439"/>
      <c r="H1" s="439"/>
      <c r="I1" s="439"/>
      <c r="J1" s="440"/>
    </row>
    <row r="2" spans="2:10" ht="13" x14ac:dyDescent="0.3">
      <c r="B2" s="441" t="str">
        <f>+'FormsList&amp;FilerInfo'!B2</f>
        <v>Utility Name</v>
      </c>
      <c r="C2" s="442"/>
      <c r="D2" s="442"/>
      <c r="E2" s="442"/>
      <c r="F2" s="442"/>
      <c r="G2" s="442"/>
      <c r="H2" s="442"/>
      <c r="I2" s="442"/>
      <c r="J2" s="442"/>
    </row>
    <row r="3" spans="2:10" ht="13" x14ac:dyDescent="0.3">
      <c r="B3" s="211"/>
      <c r="C3" s="211"/>
      <c r="D3" s="211"/>
      <c r="E3" s="211"/>
      <c r="F3" s="211"/>
      <c r="G3" s="211"/>
      <c r="H3" s="211"/>
      <c r="I3" s="211"/>
      <c r="J3" s="211"/>
    </row>
    <row r="4" spans="2:10" s="19" customFormat="1" ht="15.5" x14ac:dyDescent="0.35">
      <c r="B4" s="443" t="s">
        <v>83</v>
      </c>
      <c r="C4" s="443"/>
      <c r="D4" s="443"/>
      <c r="E4" s="443"/>
      <c r="F4" s="443"/>
      <c r="G4" s="443"/>
      <c r="H4" s="443"/>
      <c r="I4" s="443"/>
      <c r="J4" s="443"/>
    </row>
    <row r="5" spans="2:10" ht="13" x14ac:dyDescent="0.3">
      <c r="B5" s="442" t="s">
        <v>84</v>
      </c>
      <c r="C5" s="442"/>
      <c r="D5" s="442"/>
      <c r="E5" s="442"/>
      <c r="F5" s="442"/>
      <c r="G5" s="442"/>
      <c r="H5" s="442"/>
      <c r="I5" s="442"/>
      <c r="J5" s="442"/>
    </row>
    <row r="6" spans="2:10" ht="13" x14ac:dyDescent="0.3">
      <c r="B6" s="211"/>
      <c r="C6" s="211"/>
      <c r="D6" s="211"/>
      <c r="E6" s="211"/>
      <c r="F6" s="211"/>
      <c r="G6" s="211"/>
      <c r="H6" s="211"/>
      <c r="I6" s="211"/>
      <c r="J6" s="211"/>
    </row>
    <row r="7" spans="2:10" ht="12.5" x14ac:dyDescent="0.25">
      <c r="B7" s="444" t="s">
        <v>85</v>
      </c>
      <c r="C7" s="444"/>
      <c r="D7" s="444"/>
      <c r="E7" s="444"/>
      <c r="F7" s="444"/>
      <c r="G7" s="444"/>
      <c r="H7" s="444"/>
      <c r="I7" s="444"/>
      <c r="J7" s="444"/>
    </row>
    <row r="8" spans="2:10" ht="50" x14ac:dyDescent="0.2">
      <c r="B8" s="25"/>
      <c r="C8" s="107" t="s">
        <v>86</v>
      </c>
      <c r="D8" s="10" t="s">
        <v>87</v>
      </c>
      <c r="E8" s="10" t="s">
        <v>88</v>
      </c>
      <c r="F8" s="107" t="s">
        <v>89</v>
      </c>
      <c r="G8" s="10" t="s">
        <v>90</v>
      </c>
      <c r="H8" s="10" t="s">
        <v>91</v>
      </c>
      <c r="I8" s="10" t="s">
        <v>92</v>
      </c>
      <c r="J8" s="10" t="s">
        <v>93</v>
      </c>
    </row>
    <row r="9" spans="2:10" x14ac:dyDescent="0.2">
      <c r="B9" s="5">
        <v>2021</v>
      </c>
      <c r="C9" s="126"/>
      <c r="D9" s="126"/>
      <c r="E9" s="126"/>
      <c r="F9" s="126"/>
      <c r="G9" s="126"/>
      <c r="H9" s="126"/>
      <c r="I9" s="126"/>
      <c r="J9" s="126"/>
    </row>
    <row r="10" spans="2:10" x14ac:dyDescent="0.2">
      <c r="B10" s="5">
        <v>2022</v>
      </c>
      <c r="C10" s="126"/>
      <c r="D10" s="126"/>
      <c r="E10" s="126"/>
      <c r="F10" s="126"/>
      <c r="G10" s="126"/>
      <c r="H10" s="126"/>
      <c r="I10" s="126"/>
      <c r="J10" s="126"/>
    </row>
    <row r="11" spans="2:10" x14ac:dyDescent="0.2">
      <c r="B11" s="5">
        <v>2023</v>
      </c>
      <c r="C11" s="3"/>
      <c r="D11" s="3"/>
      <c r="E11" s="3"/>
      <c r="F11" s="3"/>
      <c r="G11" s="3"/>
      <c r="H11" s="3"/>
      <c r="I11" s="3"/>
      <c r="J11" s="3"/>
    </row>
    <row r="12" spans="2:10" x14ac:dyDescent="0.2">
      <c r="B12" s="5">
        <v>2024</v>
      </c>
      <c r="C12" s="3"/>
      <c r="D12" s="3"/>
      <c r="E12" s="3"/>
      <c r="F12" s="3"/>
      <c r="G12" s="3"/>
      <c r="H12" s="3"/>
      <c r="I12" s="3"/>
      <c r="J12" s="3"/>
    </row>
    <row r="13" spans="2:10" x14ac:dyDescent="0.2">
      <c r="B13" s="5">
        <v>2025</v>
      </c>
      <c r="C13" s="3"/>
      <c r="D13" s="3"/>
      <c r="E13" s="3"/>
      <c r="F13" s="3"/>
      <c r="G13" s="3"/>
      <c r="H13" s="3"/>
      <c r="I13" s="3"/>
      <c r="J13" s="3"/>
    </row>
    <row r="14" spans="2:10" x14ac:dyDescent="0.2">
      <c r="B14" s="5">
        <v>2026</v>
      </c>
      <c r="C14" s="3"/>
      <c r="D14" s="3"/>
      <c r="E14" s="3"/>
      <c r="F14" s="3"/>
      <c r="G14" s="3"/>
      <c r="H14" s="3"/>
      <c r="I14" s="3"/>
      <c r="J14" s="3"/>
    </row>
    <row r="15" spans="2:10" x14ac:dyDescent="0.2">
      <c r="B15" s="5">
        <v>2027</v>
      </c>
      <c r="C15" s="3"/>
      <c r="D15" s="3"/>
      <c r="E15" s="3"/>
      <c r="F15" s="3"/>
      <c r="G15" s="3"/>
      <c r="H15" s="3"/>
      <c r="I15" s="3"/>
      <c r="J15" s="3"/>
    </row>
    <row r="16" spans="2:10" x14ac:dyDescent="0.2">
      <c r="B16" s="5">
        <v>2028</v>
      </c>
      <c r="C16" s="3"/>
      <c r="D16" s="3"/>
      <c r="E16" s="3"/>
      <c r="F16" s="3"/>
      <c r="G16" s="3"/>
      <c r="H16" s="3"/>
      <c r="I16" s="3"/>
      <c r="J16" s="3"/>
    </row>
    <row r="17" spans="2:10" x14ac:dyDescent="0.2">
      <c r="B17" s="5">
        <v>2029</v>
      </c>
      <c r="C17" s="3"/>
      <c r="D17" s="3"/>
      <c r="E17" s="3"/>
      <c r="F17" s="3"/>
      <c r="G17" s="3"/>
      <c r="H17" s="3"/>
      <c r="I17" s="3"/>
      <c r="J17" s="3"/>
    </row>
    <row r="18" spans="2:10" x14ac:dyDescent="0.2">
      <c r="B18" s="5">
        <v>2030</v>
      </c>
      <c r="C18" s="3"/>
      <c r="D18" s="3"/>
      <c r="E18" s="3"/>
      <c r="F18" s="3"/>
      <c r="G18" s="3"/>
      <c r="H18" s="3"/>
      <c r="I18" s="3"/>
      <c r="J18" s="3"/>
    </row>
    <row r="19" spans="2:10" x14ac:dyDescent="0.2">
      <c r="B19" s="5">
        <v>2031</v>
      </c>
      <c r="C19" s="3"/>
      <c r="D19" s="3"/>
      <c r="E19" s="3"/>
      <c r="F19" s="3"/>
      <c r="G19" s="3"/>
      <c r="H19" s="3"/>
      <c r="I19" s="3"/>
      <c r="J19" s="3"/>
    </row>
    <row r="20" spans="2:10" x14ac:dyDescent="0.2">
      <c r="B20" s="5">
        <v>2032</v>
      </c>
      <c r="C20" s="3"/>
      <c r="D20" s="3"/>
      <c r="E20" s="3"/>
      <c r="F20" s="3"/>
      <c r="G20" s="3"/>
      <c r="H20" s="3"/>
      <c r="I20" s="3"/>
      <c r="J20" s="3"/>
    </row>
    <row r="21" spans="2:10" x14ac:dyDescent="0.2">
      <c r="B21" s="5">
        <v>2033</v>
      </c>
      <c r="C21" s="3"/>
      <c r="D21" s="3"/>
      <c r="E21" s="3"/>
      <c r="F21" s="3"/>
      <c r="G21" s="3"/>
      <c r="H21" s="3"/>
      <c r="I21" s="3"/>
      <c r="J21" s="3"/>
    </row>
    <row r="22" spans="2:10" x14ac:dyDescent="0.2">
      <c r="B22" s="5">
        <v>2034</v>
      </c>
      <c r="C22" s="3"/>
      <c r="D22" s="3"/>
      <c r="E22" s="3"/>
      <c r="F22" s="3"/>
      <c r="G22" s="3"/>
      <c r="H22" s="3"/>
      <c r="I22" s="3"/>
      <c r="J22" s="3"/>
    </row>
  </sheetData>
  <customSheetViews>
    <customSheetView guid="{64245E33-E577-4C25-9B98-21C112E84FF6}" scale="75" showPageBreaks="1" showGridLines="0" fitToPage="1" printArea="1">
      <selection activeCell="K39" sqref="K39"/>
      <pageMargins left="0" right="0" top="0" bottom="0" header="0" footer="0"/>
      <pageSetup scale="88" orientation="portrait" r:id="rId1"/>
      <headerFooter alignWithMargins="0">
        <oddFooter>&amp;R&amp;A</oddFooter>
      </headerFooter>
    </customSheetView>
    <customSheetView guid="{2C54E754-4594-47E3-AFE9-B28C28B63E5C}" scale="75" showGridLines="0" fitToPage="1">
      <selection activeCell="K39" sqref="K39"/>
      <pageMargins left="0" right="0" top="0" bottom="0" header="0" footer="0"/>
      <pageSetup scale="88" orientation="portrait" r:id="rId2"/>
      <headerFooter alignWithMargins="0">
        <oddFooter>&amp;R&amp;A</oddFooter>
      </headerFooter>
    </customSheetView>
    <customSheetView guid="{DC437496-B10F-474B-8F6E-F19B4DA7C026}" scale="75" showPageBreaks="1" showGridLines="0" fitToPage="1" printArea="1">
      <selection activeCell="M50" sqref="M50"/>
      <pageMargins left="0" right="0" top="0" bottom="0" header="0" footer="0"/>
      <pageSetup scale="86" orientation="landscape" r:id="rId3"/>
      <headerFooter alignWithMargins="0">
        <oddFooter>&amp;R&amp;A</oddFooter>
      </headerFooter>
    </customSheetView>
    <customSheetView guid="{C3E70234-FA18-40E7-B25F-218A5F7D2EA2}" scale="75" showGridLines="0" fitToPage="1">
      <selection activeCell="J49" sqref="J49"/>
      <pageMargins left="0" right="0" top="0" bottom="0" header="0" footer="0"/>
      <pageSetup scale="81" orientation="landscape" r:id="rId4"/>
      <headerFooter alignWithMargins="0">
        <oddFooter>&amp;R&amp;A</oddFooter>
      </headerFooter>
    </customSheetView>
  </customSheetViews>
  <mergeCells count="5">
    <mergeCell ref="B1:J1"/>
    <mergeCell ref="B2:J2"/>
    <mergeCell ref="B4:J4"/>
    <mergeCell ref="B5:J5"/>
    <mergeCell ref="B7:J7"/>
  </mergeCells>
  <phoneticPr fontId="0" type="noConversion"/>
  <printOptions horizontalCentered="1"/>
  <pageMargins left="0.25" right="0.25" top="0.5" bottom="0.5" header="0.5" footer="0.5"/>
  <pageSetup scale="93" orientation="landscape" r:id="rId5"/>
  <headerFooter alignWithMargins="0">
    <oddFooter>&amp;R&amp;A</oddFooter>
  </headerFooter>
  <legacyDrawing r:id="rId6"/>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N22"/>
  <sheetViews>
    <sheetView showGridLines="0" zoomScale="130" zoomScaleNormal="130" workbookViewId="0"/>
  </sheetViews>
  <sheetFormatPr defaultColWidth="8.6640625" defaultRowHeight="10" x14ac:dyDescent="0.2"/>
  <cols>
    <col min="1" max="1" width="1.6640625" customWidth="1"/>
    <col min="2" max="2" width="11.6640625" customWidth="1"/>
    <col min="3" max="3" width="13.109375" customWidth="1"/>
    <col min="4" max="4" width="12.6640625" customWidth="1"/>
    <col min="5" max="5" width="14.109375" customWidth="1"/>
    <col min="6" max="6" width="12.6640625" customWidth="1"/>
    <col min="7" max="7" width="15.109375" customWidth="1"/>
    <col min="8" max="10" width="12" customWidth="1"/>
    <col min="17" max="17" width="11.109375" customWidth="1"/>
  </cols>
  <sheetData>
    <row r="1" spans="2:14" s="14" customFormat="1" ht="15.5" x14ac:dyDescent="0.35">
      <c r="B1" s="18" t="s">
        <v>94</v>
      </c>
      <c r="C1" s="18"/>
      <c r="D1" s="18"/>
      <c r="E1" s="18"/>
      <c r="F1" s="18"/>
      <c r="G1" s="18"/>
      <c r="H1" s="18"/>
      <c r="I1" s="18"/>
      <c r="J1" s="18"/>
    </row>
    <row r="2" spans="2:14" s="7" customFormat="1" ht="13" x14ac:dyDescent="0.3">
      <c r="B2" s="129" t="str">
        <f>+'FormsList&amp;FilerInfo'!B2</f>
        <v>Utility Name</v>
      </c>
      <c r="C2" s="9"/>
      <c r="D2" s="9"/>
      <c r="E2" s="9"/>
      <c r="F2" s="9"/>
      <c r="G2" s="9"/>
      <c r="H2" s="9"/>
      <c r="I2" s="9"/>
      <c r="J2" s="9"/>
    </row>
    <row r="3" spans="2:14" s="7" customFormat="1" ht="13" x14ac:dyDescent="0.3">
      <c r="B3" s="9"/>
      <c r="C3" s="9"/>
      <c r="D3" s="9"/>
      <c r="E3" s="9"/>
      <c r="F3" s="9"/>
      <c r="G3" s="9"/>
      <c r="H3" s="9"/>
      <c r="I3" s="9"/>
      <c r="J3" s="9"/>
    </row>
    <row r="4" spans="2:14" s="7" customFormat="1" ht="13" x14ac:dyDescent="0.3">
      <c r="B4" s="11"/>
      <c r="C4" s="11"/>
      <c r="D4" s="11"/>
      <c r="E4" s="11"/>
      <c r="F4" s="11"/>
      <c r="G4" s="11"/>
      <c r="H4" s="11"/>
      <c r="I4" s="11"/>
      <c r="J4" s="11"/>
    </row>
    <row r="5" spans="2:14" s="14" customFormat="1" ht="15.5" x14ac:dyDescent="0.35">
      <c r="B5" s="16" t="s">
        <v>95</v>
      </c>
      <c r="C5" s="16"/>
      <c r="D5" s="17"/>
      <c r="E5" s="17"/>
      <c r="F5" s="17"/>
      <c r="G5" s="17"/>
      <c r="H5" s="17"/>
      <c r="I5" s="17"/>
      <c r="J5" s="17"/>
    </row>
    <row r="6" spans="2:14" ht="13.5" customHeight="1" x14ac:dyDescent="0.3">
      <c r="B6" s="9" t="s">
        <v>96</v>
      </c>
      <c r="C6" s="9"/>
      <c r="D6" s="128"/>
      <c r="E6" s="128"/>
      <c r="F6" s="128"/>
      <c r="G6" s="128"/>
      <c r="H6" s="128"/>
      <c r="I6" s="128"/>
      <c r="J6" s="1"/>
    </row>
    <row r="7" spans="2:14" ht="21.75" customHeight="1" x14ac:dyDescent="0.3">
      <c r="B7" s="6"/>
      <c r="C7" s="445" t="str">
        <f>+'Form 1.3 23-IEPR Incr'!C8</f>
        <v>(Modify categories below to be consistent with sectors reported on Form 1.1)</v>
      </c>
      <c r="D7" s="445"/>
      <c r="E7" s="445"/>
      <c r="F7" s="445"/>
      <c r="G7" s="445"/>
      <c r="H7" s="445"/>
      <c r="I7" s="445"/>
      <c r="J7" s="445"/>
    </row>
    <row r="8" spans="2:14" ht="40" x14ac:dyDescent="0.2">
      <c r="B8" s="10" t="s">
        <v>40</v>
      </c>
      <c r="C8" s="107" t="s">
        <v>97</v>
      </c>
      <c r="D8" s="107" t="s">
        <v>98</v>
      </c>
      <c r="E8" s="107" t="s">
        <v>99</v>
      </c>
      <c r="F8" s="107" t="s">
        <v>100</v>
      </c>
      <c r="G8" s="331" t="s">
        <v>275</v>
      </c>
      <c r="H8" s="107" t="s">
        <v>102</v>
      </c>
      <c r="I8" s="107" t="s">
        <v>103</v>
      </c>
      <c r="J8" s="107" t="s">
        <v>45</v>
      </c>
    </row>
    <row r="9" spans="2:14" x14ac:dyDescent="0.2">
      <c r="B9" s="5">
        <v>2021</v>
      </c>
      <c r="C9" s="127"/>
      <c r="D9" s="372">
        <v>0.13358161242158376</v>
      </c>
      <c r="E9" s="372">
        <v>0.18008868531311523</v>
      </c>
      <c r="F9" s="372">
        <v>0.1178982412628832</v>
      </c>
      <c r="G9" s="372">
        <v>0.12209717512790892</v>
      </c>
      <c r="H9" s="126"/>
      <c r="I9" s="372">
        <f>1044023.34/4277763</f>
        <v>0.24405824726615288</v>
      </c>
      <c r="J9" s="126"/>
      <c r="M9" s="446" t="s">
        <v>284</v>
      </c>
      <c r="N9" s="447"/>
    </row>
    <row r="10" spans="2:14" x14ac:dyDescent="0.2">
      <c r="B10" s="5">
        <v>2022</v>
      </c>
      <c r="C10" s="127"/>
      <c r="D10" s="372">
        <v>0.13621772716688335</v>
      </c>
      <c r="E10" s="372">
        <v>0.18217975254171204</v>
      </c>
      <c r="F10" s="372">
        <v>0.1214465884307292</v>
      </c>
      <c r="G10" s="372">
        <v>0.12815330771722627</v>
      </c>
      <c r="H10" s="126"/>
      <c r="I10" s="372">
        <f>1075074.85/4269384</f>
        <v>0.25181029628630269</v>
      </c>
      <c r="J10" s="126"/>
      <c r="M10" s="340" t="s">
        <v>282</v>
      </c>
      <c r="N10" s="340" t="s">
        <v>283</v>
      </c>
    </row>
    <row r="11" spans="2:14" x14ac:dyDescent="0.2">
      <c r="B11" s="5">
        <v>2023</v>
      </c>
      <c r="C11" s="5"/>
      <c r="D11" s="338">
        <f>(D10*(1+M11)*6+((D10*(1+M11))*(1+N11))*6)/12</f>
        <v>0.15079302397373989</v>
      </c>
      <c r="E11" s="338">
        <f>(E10*(1+M11)*6+((E10*(1+M11))*(1+N11))*6)/12</f>
        <v>0.20167298606367523</v>
      </c>
      <c r="F11" s="338">
        <f>(F10*(1+M11)*6+((F10*(1+M11))*(1+N11))*6)/12</f>
        <v>0.13444137339281723</v>
      </c>
      <c r="G11" s="338">
        <f>(G10*(1+M11)*6+((G10*(1+M11))*(1+N11))*6)/12</f>
        <v>0.14186571164296949</v>
      </c>
      <c r="H11" s="338"/>
      <c r="I11" s="338">
        <f>(I10*(1+M11)*6+((I10*(1+M11))*(1+N11))*6)/12</f>
        <v>0.27875399798893707</v>
      </c>
      <c r="J11" s="338"/>
      <c r="M11" s="337">
        <v>0.08</v>
      </c>
      <c r="N11" s="337">
        <v>0.05</v>
      </c>
    </row>
    <row r="12" spans="2:14" x14ac:dyDescent="0.2">
      <c r="B12" s="5">
        <v>2024</v>
      </c>
      <c r="C12" s="5"/>
      <c r="D12" s="338">
        <f t="shared" ref="D12:D21" si="0">(D11*(1+M12)*6+((D11*(1+M12))*(1+N12))*6)/12</f>
        <v>0.16134853565190169</v>
      </c>
      <c r="E12" s="338">
        <f t="shared" ref="E12:E21" si="1">(E11*(1+M12)*6+((E11*(1+M12))*(1+N12))*6)/12</f>
        <v>0.21579009508813252</v>
      </c>
      <c r="F12" s="338">
        <f t="shared" ref="F12:F21" si="2">(F11*(1+M12)*6+((F11*(1+M12))*(1+N12))*6)/12</f>
        <v>0.14385226953031444</v>
      </c>
      <c r="G12" s="338">
        <f t="shared" ref="G12:G21" si="3">(G11*(1+M12)*6+((G11*(1+M12))*(1+N12))*6)/12</f>
        <v>0.15179631145797737</v>
      </c>
      <c r="H12" s="338"/>
      <c r="I12" s="338">
        <f t="shared" ref="I12:I21" si="4">(I11*(1+M12)*6+((I11*(1+M12))*(1+N12))*6)/12</f>
        <v>0.29826677784816269</v>
      </c>
      <c r="J12" s="338"/>
      <c r="M12" s="339">
        <v>7.0000000000000007E-2</v>
      </c>
      <c r="N12" s="337"/>
    </row>
    <row r="13" spans="2:14" x14ac:dyDescent="0.2">
      <c r="B13" s="5">
        <v>2025</v>
      </c>
      <c r="C13" s="5"/>
      <c r="D13" s="338">
        <f t="shared" si="0"/>
        <v>0.17264293314753484</v>
      </c>
      <c r="E13" s="338">
        <f t="shared" si="1"/>
        <v>0.23089540174430181</v>
      </c>
      <c r="F13" s="338">
        <f t="shared" si="2"/>
        <v>0.15392192839743646</v>
      </c>
      <c r="G13" s="338">
        <f t="shared" si="3"/>
        <v>0.16242205326003578</v>
      </c>
      <c r="H13" s="338"/>
      <c r="I13" s="338">
        <f t="shared" si="4"/>
        <v>0.3191454522975341</v>
      </c>
      <c r="J13" s="338"/>
      <c r="M13" s="332">
        <v>7.0000000000000007E-2</v>
      </c>
    </row>
    <row r="14" spans="2:14" x14ac:dyDescent="0.2">
      <c r="B14" s="5">
        <v>2026</v>
      </c>
      <c r="C14" s="2"/>
      <c r="D14" s="338">
        <f t="shared" si="0"/>
        <v>0.18127507980491156</v>
      </c>
      <c r="E14" s="338">
        <f t="shared" si="1"/>
        <v>0.24244017183151692</v>
      </c>
      <c r="F14" s="338">
        <f t="shared" si="2"/>
        <v>0.16161802481730828</v>
      </c>
      <c r="G14" s="338">
        <f t="shared" si="3"/>
        <v>0.17054315592303756</v>
      </c>
      <c r="H14" s="338"/>
      <c r="I14" s="338">
        <f t="shared" si="4"/>
        <v>0.33510272491241083</v>
      </c>
      <c r="J14" s="338"/>
      <c r="M14" s="332">
        <v>0.05</v>
      </c>
    </row>
    <row r="15" spans="2:14" x14ac:dyDescent="0.2">
      <c r="B15" s="5">
        <v>2027</v>
      </c>
      <c r="C15" s="5"/>
      <c r="D15" s="338">
        <f t="shared" si="0"/>
        <v>0.18852608299710802</v>
      </c>
      <c r="E15" s="338">
        <f t="shared" si="1"/>
        <v>0.2521377787047776</v>
      </c>
      <c r="F15" s="338">
        <f t="shared" si="2"/>
        <v>0.1680827458100006</v>
      </c>
      <c r="G15" s="338">
        <f t="shared" si="3"/>
        <v>0.17736488215995908</v>
      </c>
      <c r="H15" s="338"/>
      <c r="I15" s="338">
        <f t="shared" si="4"/>
        <v>0.3485068339089073</v>
      </c>
      <c r="J15" s="338"/>
      <c r="M15" s="332">
        <v>0.04</v>
      </c>
    </row>
    <row r="16" spans="2:14" x14ac:dyDescent="0.2">
      <c r="B16" s="5">
        <v>2028</v>
      </c>
      <c r="C16" s="2"/>
      <c r="D16" s="338">
        <f t="shared" si="0"/>
        <v>0.19606712631699233</v>
      </c>
      <c r="E16" s="338">
        <f t="shared" si="1"/>
        <v>0.26222328985296872</v>
      </c>
      <c r="F16" s="338">
        <f t="shared" si="2"/>
        <v>0.17480605564240062</v>
      </c>
      <c r="G16" s="338">
        <f t="shared" si="3"/>
        <v>0.18445947744635741</v>
      </c>
      <c r="H16" s="338"/>
      <c r="I16" s="338">
        <f t="shared" si="4"/>
        <v>0.36244710726526358</v>
      </c>
      <c r="J16" s="338"/>
      <c r="M16" s="332">
        <v>0.04</v>
      </c>
    </row>
    <row r="17" spans="2:13" x14ac:dyDescent="0.2">
      <c r="B17" s="5">
        <v>2029</v>
      </c>
      <c r="C17" s="2"/>
      <c r="D17" s="338">
        <f t="shared" si="0"/>
        <v>0.19998846884333218</v>
      </c>
      <c r="E17" s="338">
        <f t="shared" si="1"/>
        <v>0.26746775565002812</v>
      </c>
      <c r="F17" s="338">
        <f t="shared" si="2"/>
        <v>0.17830217675524865</v>
      </c>
      <c r="G17" s="338">
        <f t="shared" si="3"/>
        <v>0.18814866699528457</v>
      </c>
      <c r="H17" s="338"/>
      <c r="I17" s="338">
        <f t="shared" si="4"/>
        <v>0.36969604941056894</v>
      </c>
      <c r="J17" s="338"/>
      <c r="M17" s="332">
        <v>0.02</v>
      </c>
    </row>
    <row r="18" spans="2:13" x14ac:dyDescent="0.2">
      <c r="B18" s="5">
        <v>2030</v>
      </c>
      <c r="C18" s="2"/>
      <c r="D18" s="338">
        <f t="shared" si="0"/>
        <v>0.20398823822019882</v>
      </c>
      <c r="E18" s="338">
        <f t="shared" si="1"/>
        <v>0.27281711076302867</v>
      </c>
      <c r="F18" s="338">
        <f t="shared" si="2"/>
        <v>0.18186822029035363</v>
      </c>
      <c r="G18" s="338">
        <f t="shared" si="3"/>
        <v>0.19191164033519026</v>
      </c>
      <c r="H18" s="338"/>
      <c r="I18" s="338">
        <f t="shared" si="4"/>
        <v>0.37708997039878039</v>
      </c>
      <c r="J18" s="338"/>
      <c r="M18" s="332">
        <v>0.02</v>
      </c>
    </row>
    <row r="19" spans="2:13" x14ac:dyDescent="0.2">
      <c r="B19" s="5">
        <v>2031</v>
      </c>
      <c r="C19" s="2"/>
      <c r="D19" s="338">
        <f t="shared" si="0"/>
        <v>0.20806800298460279</v>
      </c>
      <c r="E19" s="338">
        <f t="shared" si="1"/>
        <v>0.27827345297828926</v>
      </c>
      <c r="F19" s="338">
        <f t="shared" si="2"/>
        <v>0.18550558469616071</v>
      </c>
      <c r="G19" s="338">
        <f t="shared" si="3"/>
        <v>0.19574987314189407</v>
      </c>
      <c r="H19" s="338"/>
      <c r="I19" s="338">
        <f t="shared" si="4"/>
        <v>0.38463176980675601</v>
      </c>
      <c r="J19" s="338"/>
      <c r="M19" s="332">
        <v>0.02</v>
      </c>
    </row>
    <row r="20" spans="2:13" x14ac:dyDescent="0.2">
      <c r="B20" s="5">
        <v>2032</v>
      </c>
      <c r="C20" s="2"/>
      <c r="D20" s="338">
        <f t="shared" si="0"/>
        <v>0.21222936304429485</v>
      </c>
      <c r="E20" s="338">
        <f t="shared" si="1"/>
        <v>0.28383892203785505</v>
      </c>
      <c r="F20" s="338">
        <f t="shared" si="2"/>
        <v>0.18921569639008393</v>
      </c>
      <c r="G20" s="338">
        <f t="shared" si="3"/>
        <v>0.19966487060473195</v>
      </c>
      <c r="H20" s="338"/>
      <c r="I20" s="338">
        <f t="shared" si="4"/>
        <v>0.39232440520289114</v>
      </c>
      <c r="J20" s="338"/>
      <c r="M20" s="332">
        <v>0.02</v>
      </c>
    </row>
    <row r="21" spans="2:13" x14ac:dyDescent="0.2">
      <c r="B21" s="5">
        <v>2033</v>
      </c>
      <c r="C21" s="2"/>
      <c r="D21" s="338">
        <f t="shared" si="0"/>
        <v>0.21647395030518077</v>
      </c>
      <c r="E21" s="338">
        <f t="shared" si="1"/>
        <v>0.28951570047861214</v>
      </c>
      <c r="F21" s="338">
        <f t="shared" si="2"/>
        <v>0.19300001031788561</v>
      </c>
      <c r="G21" s="338">
        <f t="shared" si="3"/>
        <v>0.2036581680168266</v>
      </c>
      <c r="H21" s="338"/>
      <c r="I21" s="338">
        <f t="shared" si="4"/>
        <v>0.40017089330694894</v>
      </c>
      <c r="J21" s="338"/>
      <c r="M21" s="332">
        <v>0.02</v>
      </c>
    </row>
    <row r="22" spans="2:13" x14ac:dyDescent="0.2">
      <c r="B22" s="333">
        <v>2034</v>
      </c>
      <c r="C22" s="334"/>
      <c r="D22" s="335"/>
      <c r="E22" s="335"/>
      <c r="F22" s="335"/>
      <c r="G22" s="335"/>
      <c r="H22" s="335"/>
      <c r="I22" s="335"/>
      <c r="J22" s="334"/>
      <c r="K22" s="336" t="s">
        <v>234</v>
      </c>
    </row>
  </sheetData>
  <customSheetViews>
    <customSheetView guid="{64245E33-E577-4C25-9B98-21C112E84FF6}" scale="75" showPageBreaks="1" showGridLines="0" fitToPage="1" printArea="1">
      <selection activeCell="AC78" sqref="AC78"/>
      <pageMargins left="0" right="0" top="0" bottom="0" header="0" footer="0"/>
      <pageSetup orientation="landscape" r:id="rId1"/>
      <headerFooter alignWithMargins="0">
        <oddFooter>&amp;R&amp;A</oddFooter>
      </headerFooter>
    </customSheetView>
    <customSheetView guid="{2C54E754-4594-47E3-AFE9-B28C28B63E5C}" scale="75" showGridLines="0" fitToPage="1">
      <selection activeCell="AC78" sqref="AC78"/>
      <pageMargins left="0" right="0" top="0" bottom="0" header="0" footer="0"/>
      <pageSetup orientation="landscape" r:id="rId2"/>
      <headerFooter alignWithMargins="0">
        <oddFooter>&amp;R&amp;A</oddFooter>
      </headerFooter>
    </customSheetView>
    <customSheetView guid="{DC437496-B10F-474B-8F6E-F19B4DA7C026}" scale="75" showPageBreaks="1" showGridLines="0" fitToPage="1" printArea="1">
      <selection activeCell="B7" sqref="B7"/>
      <pageMargins left="0" right="0" top="0" bottom="0" header="0" footer="0"/>
      <pageSetup orientation="landscape" r:id="rId3"/>
      <headerFooter alignWithMargins="0">
        <oddFooter>&amp;R&amp;A</oddFooter>
      </headerFooter>
    </customSheetView>
    <customSheetView guid="{C3E70234-FA18-40E7-B25F-218A5F7D2EA2}" scale="75" showGridLines="0" fitToPage="1">
      <selection activeCell="B7" sqref="B7"/>
      <pageMargins left="0" right="0" top="0" bottom="0" header="0" footer="0"/>
      <pageSetup orientation="landscape" r:id="rId4"/>
      <headerFooter alignWithMargins="0">
        <oddFooter>&amp;R&amp;A</oddFooter>
      </headerFooter>
    </customSheetView>
  </customSheetViews>
  <mergeCells count="2">
    <mergeCell ref="C7:J7"/>
    <mergeCell ref="M9:N9"/>
  </mergeCells>
  <phoneticPr fontId="0" type="noConversion"/>
  <printOptions horizontalCentered="1" gridLinesSet="0"/>
  <pageMargins left="0.25" right="0.25" top="0.5" bottom="0.5" header="0.5" footer="0.5"/>
  <pageSetup orientation="landscape" r:id="rId5"/>
  <headerFooter alignWithMargins="0">
    <oddFooter>&amp;R&amp;A</oddFooter>
  </headerFooter>
  <legacyDrawing r:id="rId6"/>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AA30"/>
  <sheetViews>
    <sheetView showGridLines="0" zoomScale="115" zoomScaleNormal="115" workbookViewId="0"/>
  </sheetViews>
  <sheetFormatPr defaultColWidth="17.6640625" defaultRowHeight="10" x14ac:dyDescent="0.2"/>
  <cols>
    <col min="1" max="1" width="1.6640625" style="8" customWidth="1"/>
    <col min="2" max="2" width="12.6640625" style="8" customWidth="1"/>
    <col min="3" max="9" width="15.6640625" style="8" customWidth="1"/>
    <col min="10" max="10" width="14.44140625" style="8" customWidth="1"/>
    <col min="11" max="14" width="17.6640625" style="8"/>
    <col min="15" max="15" width="9.6640625" style="8" bestFit="1" customWidth="1"/>
    <col min="16" max="16" width="4.33203125" style="8" customWidth="1"/>
    <col min="17" max="17" width="10.44140625" style="8" bestFit="1" customWidth="1"/>
    <col min="18" max="18" width="4.109375" style="8" bestFit="1" customWidth="1"/>
    <col min="19" max="19" width="7.77734375" style="8" bestFit="1" customWidth="1"/>
    <col min="20" max="20" width="4.109375" style="8" bestFit="1" customWidth="1"/>
    <col min="21" max="21" width="13.6640625" style="8" customWidth="1"/>
    <col min="22" max="22" width="13.109375" style="8" bestFit="1" customWidth="1"/>
    <col min="23" max="23" width="12.109375" style="8" bestFit="1" customWidth="1"/>
    <col min="24" max="24" width="4.44140625" style="8" bestFit="1" customWidth="1"/>
    <col min="25" max="25" width="14" style="8" bestFit="1" customWidth="1"/>
    <col min="26" max="26" width="5.109375" style="8" bestFit="1" customWidth="1"/>
    <col min="27" max="16384" width="17.6640625" style="8"/>
  </cols>
  <sheetData>
    <row r="1" spans="2:27" s="19" customFormat="1" ht="15.5" x14ac:dyDescent="0.35">
      <c r="B1" s="439" t="s">
        <v>104</v>
      </c>
      <c r="C1" s="439"/>
      <c r="D1" s="439"/>
      <c r="E1" s="439"/>
      <c r="F1" s="439"/>
      <c r="G1" s="439"/>
      <c r="H1" s="439"/>
      <c r="I1" s="439"/>
      <c r="J1" s="439"/>
    </row>
    <row r="2" spans="2:27" ht="15.5" x14ac:dyDescent="0.35">
      <c r="B2" s="156" t="str">
        <f>+'FormsList&amp;FilerInfo'!B2</f>
        <v>Utility Name</v>
      </c>
      <c r="C2" s="24"/>
      <c r="D2" s="24"/>
      <c r="E2" s="24"/>
      <c r="F2" s="151"/>
      <c r="G2" s="24"/>
      <c r="H2" s="24"/>
      <c r="I2" s="24"/>
      <c r="J2" s="216"/>
    </row>
    <row r="3" spans="2:27" ht="13" x14ac:dyDescent="0.3">
      <c r="B3" s="24"/>
      <c r="C3" s="24"/>
      <c r="D3" s="24"/>
      <c r="E3" s="24"/>
      <c r="F3" s="24"/>
      <c r="G3" s="24"/>
      <c r="H3" s="24"/>
      <c r="I3" s="24"/>
      <c r="J3" s="216"/>
    </row>
    <row r="4" spans="2:27" s="19" customFormat="1" ht="15.5" x14ac:dyDescent="0.35">
      <c r="B4" s="151" t="s">
        <v>105</v>
      </c>
      <c r="C4" s="151"/>
      <c r="D4" s="151"/>
      <c r="E4" s="151"/>
      <c r="F4" s="151"/>
      <c r="G4" s="151"/>
      <c r="H4" s="151"/>
      <c r="I4" s="151"/>
      <c r="J4" s="217"/>
    </row>
    <row r="5" spans="2:27" s="19" customFormat="1" ht="15.5" x14ac:dyDescent="0.35">
      <c r="B5" s="151"/>
      <c r="C5" s="151"/>
      <c r="D5" s="151"/>
      <c r="E5" s="151"/>
      <c r="F5" s="218"/>
      <c r="G5" s="151"/>
      <c r="H5" s="151"/>
      <c r="I5" s="151"/>
      <c r="J5" s="217"/>
    </row>
    <row r="6" spans="2:27" ht="22.5" customHeight="1" x14ac:dyDescent="0.25">
      <c r="B6" s="450" t="str">
        <f>+'Form 1.3 23-IEPR Incr'!C8</f>
        <v>(Modify categories below to be consistent with sectors reported on Form 1.1)</v>
      </c>
      <c r="C6" s="450"/>
      <c r="D6" s="450"/>
      <c r="E6" s="450"/>
      <c r="F6" s="450"/>
      <c r="G6" s="450"/>
      <c r="H6" s="450"/>
      <c r="I6" s="450"/>
      <c r="J6" s="450"/>
      <c r="P6" s="344">
        <f>(O29-O28)/(O28+O29)</f>
        <v>2.1405991269004967E-2</v>
      </c>
      <c r="R6" s="344">
        <f>(Q29-Q28)/(Q28+Q29)</f>
        <v>1.1013710946280062E-2</v>
      </c>
      <c r="T6" s="344">
        <f>(S29-S28)/(S28+S29)</f>
        <v>2.3323615160349854E-3</v>
      </c>
      <c r="Z6" s="344">
        <f>(Y29-Y28)/(Y28+Y29)</f>
        <v>-4.5793397231096912E-2</v>
      </c>
    </row>
    <row r="7" spans="2:27" ht="10.5" x14ac:dyDescent="0.25">
      <c r="B7" s="22"/>
      <c r="C7" s="219" t="s">
        <v>106</v>
      </c>
      <c r="D7" s="20"/>
      <c r="E7" s="20"/>
      <c r="F7" s="20"/>
      <c r="G7" s="20"/>
      <c r="H7" s="20"/>
      <c r="I7" s="21"/>
      <c r="J7" s="448" t="s">
        <v>107</v>
      </c>
      <c r="N7" s="22"/>
      <c r="O7" s="219" t="s">
        <v>106</v>
      </c>
      <c r="P7" s="219"/>
      <c r="Q7" s="20"/>
      <c r="R7" s="20"/>
      <c r="S7" s="20"/>
      <c r="T7" s="20"/>
      <c r="U7" s="20"/>
      <c r="V7" s="20"/>
      <c r="W7" s="20"/>
      <c r="X7" s="21"/>
      <c r="Y7" s="448" t="s">
        <v>107</v>
      </c>
      <c r="Z7" s="20"/>
    </row>
    <row r="8" spans="2:27" ht="20" x14ac:dyDescent="0.2">
      <c r="B8" s="23" t="s">
        <v>40</v>
      </c>
      <c r="C8" s="123" t="s">
        <v>98</v>
      </c>
      <c r="D8" s="123" t="s">
        <v>99</v>
      </c>
      <c r="E8" s="123" t="s">
        <v>100</v>
      </c>
      <c r="F8" s="331" t="s">
        <v>275</v>
      </c>
      <c r="G8" s="123" t="s">
        <v>102</v>
      </c>
      <c r="H8" s="123" t="s">
        <v>103</v>
      </c>
      <c r="I8" s="124" t="s">
        <v>45</v>
      </c>
      <c r="J8" s="449"/>
      <c r="N8" s="23" t="s">
        <v>40</v>
      </c>
      <c r="O8" s="123" t="s">
        <v>98</v>
      </c>
      <c r="P8" s="123"/>
      <c r="Q8" s="123" t="s">
        <v>99</v>
      </c>
      <c r="R8" s="123"/>
      <c r="S8" s="123" t="s">
        <v>100</v>
      </c>
      <c r="T8" s="123"/>
      <c r="U8" s="331" t="s">
        <v>275</v>
      </c>
      <c r="V8" s="123" t="s">
        <v>102</v>
      </c>
      <c r="W8" s="123" t="s">
        <v>103</v>
      </c>
      <c r="X8" s="124" t="s">
        <v>45</v>
      </c>
      <c r="Y8" s="449"/>
      <c r="Z8" s="123"/>
    </row>
    <row r="9" spans="2:27" x14ac:dyDescent="0.2">
      <c r="B9" s="5">
        <v>2021</v>
      </c>
      <c r="C9" s="126">
        <f>O28</f>
        <v>48756</v>
      </c>
      <c r="D9" s="126">
        <f>Q28</f>
        <v>6600</v>
      </c>
      <c r="E9" s="126">
        <f>S28</f>
        <v>1711</v>
      </c>
      <c r="F9" s="126">
        <f>Y28</f>
        <v>491</v>
      </c>
      <c r="G9" s="126"/>
      <c r="H9" s="126"/>
      <c r="I9" s="126"/>
      <c r="J9" s="126"/>
      <c r="N9" s="2">
        <v>2002</v>
      </c>
      <c r="O9" s="126">
        <v>40110.083333333336</v>
      </c>
      <c r="P9" s="126"/>
      <c r="Q9" s="126">
        <v>5621.666666666667</v>
      </c>
      <c r="R9" s="126"/>
      <c r="S9" s="126">
        <v>1967.25</v>
      </c>
      <c r="T9" s="126"/>
      <c r="U9" s="126"/>
      <c r="V9" s="126"/>
      <c r="W9" s="126"/>
      <c r="X9" s="126"/>
      <c r="Y9" s="126">
        <v>539.83333333333337</v>
      </c>
      <c r="Z9" s="126"/>
      <c r="AA9" s="220" t="s">
        <v>286</v>
      </c>
    </row>
    <row r="10" spans="2:27" x14ac:dyDescent="0.2">
      <c r="B10" s="5">
        <v>2022</v>
      </c>
      <c r="C10" s="126">
        <f>O29</f>
        <v>50889</v>
      </c>
      <c r="D10" s="126">
        <f>Q29</f>
        <v>6747</v>
      </c>
      <c r="E10" s="126">
        <f>S29</f>
        <v>1719</v>
      </c>
      <c r="F10" s="126">
        <f>Y29</f>
        <v>448</v>
      </c>
      <c r="G10" s="126"/>
      <c r="H10" s="126"/>
      <c r="I10" s="126"/>
      <c r="J10" s="126"/>
      <c r="N10" s="2">
        <v>2003</v>
      </c>
      <c r="O10" s="126">
        <v>40497.416666666664</v>
      </c>
      <c r="P10" s="342">
        <f>(O10-O9)/O9</f>
        <v>9.6567571329735074E-3</v>
      </c>
      <c r="Q10" s="126">
        <v>5693.916666666667</v>
      </c>
      <c r="R10" s="342">
        <f>(Q10-Q9)/Q9</f>
        <v>1.2852060480284613E-2</v>
      </c>
      <c r="S10" s="126">
        <v>1956.3333333333333</v>
      </c>
      <c r="T10" s="342">
        <f>(S10-S9)/S9</f>
        <v>-5.5492015080273183E-3</v>
      </c>
      <c r="U10" s="126"/>
      <c r="V10" s="126"/>
      <c r="W10" s="126"/>
      <c r="X10" s="126"/>
      <c r="Y10" s="126">
        <v>539.75</v>
      </c>
      <c r="Z10" s="342">
        <f>(Y10-Y9)/Y9</f>
        <v>-1.5436863229398805E-4</v>
      </c>
      <c r="AA10" s="220" t="s">
        <v>286</v>
      </c>
    </row>
    <row r="11" spans="2:27" x14ac:dyDescent="0.2">
      <c r="B11" s="5">
        <v>2023</v>
      </c>
      <c r="C11" s="3">
        <f>C10*(1+$P$6)</f>
        <v>51978.329489688396</v>
      </c>
      <c r="D11" s="3">
        <f>D10*(1+$R$6)</f>
        <v>6821.3095077545513</v>
      </c>
      <c r="E11" s="3">
        <f>E10</f>
        <v>1719</v>
      </c>
      <c r="F11" s="3">
        <v>450</v>
      </c>
      <c r="G11" s="3"/>
      <c r="H11" s="3"/>
      <c r="I11" s="3"/>
      <c r="J11" s="3"/>
      <c r="N11" s="2">
        <v>2004</v>
      </c>
      <c r="O11" s="126">
        <v>40969.5</v>
      </c>
      <c r="P11" s="342">
        <f t="shared" ref="P11:R27" si="0">(O11-O10)/O10</f>
        <v>1.1657122162113282E-2</v>
      </c>
      <c r="Q11" s="126">
        <v>5773.75</v>
      </c>
      <c r="R11" s="342">
        <f t="shared" si="0"/>
        <v>1.4020811684985384E-2</v>
      </c>
      <c r="S11" s="126">
        <v>1957.5</v>
      </c>
      <c r="T11" s="342">
        <f t="shared" ref="T11:T29" si="1">(S11-S10)/S10</f>
        <v>5.9635372295113774E-4</v>
      </c>
      <c r="U11" s="126"/>
      <c r="V11" s="126"/>
      <c r="W11" s="126"/>
      <c r="X11" s="126"/>
      <c r="Y11" s="126">
        <v>538.16666666666663</v>
      </c>
      <c r="Z11" s="342">
        <f t="shared" ref="Z11:Z29" si="2">(Y11-Y10)/Y10</f>
        <v>-2.9334568473059217E-3</v>
      </c>
      <c r="AA11" s="220" t="s">
        <v>286</v>
      </c>
    </row>
    <row r="12" spans="2:27" x14ac:dyDescent="0.2">
      <c r="B12" s="5">
        <v>2024</v>
      </c>
      <c r="C12" s="3">
        <f t="shared" ref="C12" si="3">C11*(1+$P$6)</f>
        <v>53090.977156922134</v>
      </c>
      <c r="D12" s="3">
        <f t="shared" ref="D12" si="4">D11*(1+$R$6)</f>
        <v>6896.4374389480718</v>
      </c>
      <c r="E12" s="3">
        <f t="shared" ref="E12:E21" si="5">E11</f>
        <v>1719</v>
      </c>
      <c r="F12" s="3">
        <v>450</v>
      </c>
      <c r="G12" s="3"/>
      <c r="H12" s="3"/>
      <c r="I12" s="3"/>
      <c r="J12" s="3"/>
      <c r="N12" s="2">
        <v>2005</v>
      </c>
      <c r="O12" s="126">
        <v>41813.75</v>
      </c>
      <c r="P12" s="342">
        <f t="shared" si="0"/>
        <v>2.0606792858101759E-2</v>
      </c>
      <c r="Q12" s="126">
        <v>5799.083333333333</v>
      </c>
      <c r="R12" s="342">
        <f t="shared" si="0"/>
        <v>4.3876740997329348E-3</v>
      </c>
      <c r="S12" s="126">
        <v>1939</v>
      </c>
      <c r="T12" s="342">
        <f t="shared" si="1"/>
        <v>-9.450830140485313E-3</v>
      </c>
      <c r="U12" s="126"/>
      <c r="V12" s="126"/>
      <c r="W12" s="126"/>
      <c r="X12" s="126"/>
      <c r="Y12" s="126">
        <v>539.58333333333326</v>
      </c>
      <c r="Z12" s="342">
        <f t="shared" si="2"/>
        <v>2.6323939300092205E-3</v>
      </c>
      <c r="AA12" s="220" t="s">
        <v>286</v>
      </c>
    </row>
    <row r="13" spans="2:27" x14ac:dyDescent="0.2">
      <c r="B13" s="5">
        <v>2025</v>
      </c>
      <c r="C13" s="3">
        <f>C12*(1+0.01)</f>
        <v>53621.886928491353</v>
      </c>
      <c r="D13" s="3">
        <f>D12*(1+0.01)</f>
        <v>6965.4018133375521</v>
      </c>
      <c r="E13" s="3">
        <f t="shared" si="5"/>
        <v>1719</v>
      </c>
      <c r="F13" s="3">
        <v>450</v>
      </c>
      <c r="G13" s="3"/>
      <c r="H13" s="3"/>
      <c r="I13" s="3"/>
      <c r="J13" s="3"/>
      <c r="N13" s="2">
        <v>2006</v>
      </c>
      <c r="O13" s="126">
        <v>42467.833333333336</v>
      </c>
      <c r="P13" s="342">
        <f t="shared" si="0"/>
        <v>1.5642780983129611E-2</v>
      </c>
      <c r="Q13" s="126">
        <v>5860.416666666667</v>
      </c>
      <c r="R13" s="342">
        <f t="shared" si="0"/>
        <v>1.0576384198652191E-2</v>
      </c>
      <c r="S13" s="126">
        <v>1931</v>
      </c>
      <c r="T13" s="342">
        <f t="shared" si="1"/>
        <v>-4.1258380608561115E-3</v>
      </c>
      <c r="U13" s="126"/>
      <c r="V13" s="126"/>
      <c r="W13" s="126"/>
      <c r="X13" s="126"/>
      <c r="Y13" s="126">
        <v>546.83333333333326</v>
      </c>
      <c r="Z13" s="342">
        <f t="shared" si="2"/>
        <v>1.3436293436293437E-2</v>
      </c>
      <c r="AA13" s="220" t="s">
        <v>286</v>
      </c>
    </row>
    <row r="14" spans="2:27" x14ac:dyDescent="0.2">
      <c r="B14" s="5">
        <v>2026</v>
      </c>
      <c r="C14" s="3">
        <f t="shared" ref="C14:C21" si="6">C13*(1+0.01)</f>
        <v>54158.105797776268</v>
      </c>
      <c r="D14" s="3">
        <f t="shared" ref="D14:D21" si="7">D13*(1+0.01)</f>
        <v>7035.0558314709278</v>
      </c>
      <c r="E14" s="3">
        <f t="shared" si="5"/>
        <v>1719</v>
      </c>
      <c r="F14" s="3">
        <v>450</v>
      </c>
      <c r="G14" s="3"/>
      <c r="H14" s="3"/>
      <c r="I14" s="3"/>
      <c r="J14" s="3"/>
      <c r="N14" s="2">
        <v>2007</v>
      </c>
      <c r="O14" s="126">
        <v>42971.25</v>
      </c>
      <c r="P14" s="342">
        <f t="shared" si="0"/>
        <v>1.1854069943133372E-2</v>
      </c>
      <c r="Q14" s="126">
        <v>5861.333333333333</v>
      </c>
      <c r="R14" s="342">
        <f t="shared" si="0"/>
        <v>1.5641663704220012E-4</v>
      </c>
      <c r="S14" s="126">
        <v>1934.3333333333333</v>
      </c>
      <c r="T14" s="342">
        <f t="shared" si="1"/>
        <v>1.7262213015708221E-3</v>
      </c>
      <c r="U14" s="126"/>
      <c r="V14" s="126"/>
      <c r="W14" s="126"/>
      <c r="X14" s="126"/>
      <c r="Y14" s="126">
        <v>556.5</v>
      </c>
      <c r="Z14" s="342">
        <f t="shared" si="2"/>
        <v>1.7677537336178134E-2</v>
      </c>
      <c r="AA14" s="220" t="s">
        <v>286</v>
      </c>
    </row>
    <row r="15" spans="2:27" x14ac:dyDescent="0.2">
      <c r="B15" s="5">
        <v>2027</v>
      </c>
      <c r="C15" s="3">
        <f t="shared" si="6"/>
        <v>54699.686855754029</v>
      </c>
      <c r="D15" s="3">
        <f t="shared" si="7"/>
        <v>7105.4063897856367</v>
      </c>
      <c r="E15" s="3">
        <f t="shared" si="5"/>
        <v>1719</v>
      </c>
      <c r="F15" s="3">
        <v>450</v>
      </c>
      <c r="G15" s="3"/>
      <c r="H15" s="3"/>
      <c r="I15" s="3"/>
      <c r="J15" s="3"/>
      <c r="N15" s="2">
        <v>2008</v>
      </c>
      <c r="O15" s="126">
        <v>43434</v>
      </c>
      <c r="P15" s="342">
        <f t="shared" si="0"/>
        <v>1.0768827995462082E-2</v>
      </c>
      <c r="Q15" s="126">
        <v>5881</v>
      </c>
      <c r="R15" s="342">
        <f t="shared" si="0"/>
        <v>3.3553230209281684E-3</v>
      </c>
      <c r="S15" s="126">
        <v>1925</v>
      </c>
      <c r="T15" s="342">
        <f t="shared" si="1"/>
        <v>-4.8250904704462815E-3</v>
      </c>
      <c r="U15" s="126"/>
      <c r="V15" s="126"/>
      <c r="W15" s="126"/>
      <c r="X15" s="126"/>
      <c r="Y15" s="126">
        <v>560</v>
      </c>
      <c r="Z15" s="342">
        <f t="shared" si="2"/>
        <v>6.2893081761006293E-3</v>
      </c>
      <c r="AA15" s="220" t="s">
        <v>286</v>
      </c>
    </row>
    <row r="16" spans="2:27" x14ac:dyDescent="0.2">
      <c r="B16" s="5">
        <v>2028</v>
      </c>
      <c r="C16" s="3">
        <f t="shared" si="6"/>
        <v>55246.683724311573</v>
      </c>
      <c r="D16" s="3">
        <f t="shared" si="7"/>
        <v>7176.4604536834931</v>
      </c>
      <c r="E16" s="3">
        <f t="shared" si="5"/>
        <v>1719</v>
      </c>
      <c r="F16" s="3">
        <v>450</v>
      </c>
      <c r="G16" s="3"/>
      <c r="H16" s="3"/>
      <c r="I16" s="3"/>
      <c r="J16" s="3"/>
      <c r="N16" s="2">
        <v>2009</v>
      </c>
      <c r="O16" s="126">
        <v>43746</v>
      </c>
      <c r="P16" s="342">
        <f t="shared" si="0"/>
        <v>7.1833126122392591E-3</v>
      </c>
      <c r="Q16" s="126">
        <v>5917</v>
      </c>
      <c r="R16" s="342">
        <f t="shared" si="0"/>
        <v>6.1214079238224792E-3</v>
      </c>
      <c r="S16" s="126">
        <v>1893</v>
      </c>
      <c r="T16" s="342">
        <f t="shared" si="1"/>
        <v>-1.6623376623376623E-2</v>
      </c>
      <c r="U16" s="126"/>
      <c r="V16" s="126"/>
      <c r="W16" s="126"/>
      <c r="X16" s="126"/>
      <c r="Y16" s="126">
        <v>559</v>
      </c>
      <c r="Z16" s="342">
        <f t="shared" si="2"/>
        <v>-1.7857142857142857E-3</v>
      </c>
      <c r="AA16" s="220" t="s">
        <v>286</v>
      </c>
    </row>
    <row r="17" spans="2:27" x14ac:dyDescent="0.2">
      <c r="B17" s="5">
        <v>2029</v>
      </c>
      <c r="C17" s="3">
        <f t="shared" si="6"/>
        <v>55799.150561554692</v>
      </c>
      <c r="D17" s="3">
        <f t="shared" si="7"/>
        <v>7248.2250582203278</v>
      </c>
      <c r="E17" s="3">
        <f t="shared" si="5"/>
        <v>1719</v>
      </c>
      <c r="F17" s="3">
        <v>450</v>
      </c>
      <c r="G17" s="3"/>
      <c r="H17" s="3"/>
      <c r="I17" s="3"/>
      <c r="J17" s="3"/>
      <c r="K17" s="220"/>
      <c r="N17" s="2">
        <v>2010</v>
      </c>
      <c r="O17" s="126">
        <v>44048</v>
      </c>
      <c r="P17" s="342">
        <f t="shared" si="0"/>
        <v>6.9034883189320164E-3</v>
      </c>
      <c r="Q17" s="126">
        <v>5981</v>
      </c>
      <c r="R17" s="342">
        <f t="shared" si="0"/>
        <v>1.0816292039885076E-2</v>
      </c>
      <c r="S17" s="126">
        <v>1839</v>
      </c>
      <c r="T17" s="342">
        <f t="shared" si="1"/>
        <v>-2.8526148969889066E-2</v>
      </c>
      <c r="U17" s="126"/>
      <c r="V17" s="126"/>
      <c r="W17" s="126"/>
      <c r="X17" s="126"/>
      <c r="Y17" s="126">
        <v>532</v>
      </c>
      <c r="Z17" s="342">
        <f t="shared" si="2"/>
        <v>-4.8300536672629693E-2</v>
      </c>
      <c r="AA17" s="220" t="s">
        <v>286</v>
      </c>
    </row>
    <row r="18" spans="2:27" x14ac:dyDescent="0.2">
      <c r="B18" s="5">
        <v>2030</v>
      </c>
      <c r="C18" s="3">
        <f t="shared" si="6"/>
        <v>56357.142067170236</v>
      </c>
      <c r="D18" s="3">
        <f t="shared" si="7"/>
        <v>7320.7073088025309</v>
      </c>
      <c r="E18" s="3">
        <f t="shared" si="5"/>
        <v>1719</v>
      </c>
      <c r="F18" s="3">
        <v>450</v>
      </c>
      <c r="G18" s="221"/>
      <c r="H18" s="221"/>
      <c r="I18" s="221"/>
      <c r="J18" s="221"/>
      <c r="K18" s="220"/>
      <c r="N18" s="2">
        <v>2011</v>
      </c>
      <c r="O18" s="126">
        <v>44284</v>
      </c>
      <c r="P18" s="342">
        <f t="shared" si="0"/>
        <v>5.3577915001816198E-3</v>
      </c>
      <c r="Q18" s="126">
        <v>6109</v>
      </c>
      <c r="R18" s="342">
        <f t="shared" si="0"/>
        <v>2.1401103494398929E-2</v>
      </c>
      <c r="S18" s="126">
        <v>1796</v>
      </c>
      <c r="T18" s="342">
        <f t="shared" si="1"/>
        <v>-2.3382272974442633E-2</v>
      </c>
      <c r="U18" s="126"/>
      <c r="V18" s="126"/>
      <c r="W18" s="126"/>
      <c r="X18" s="126"/>
      <c r="Y18" s="126">
        <v>510</v>
      </c>
      <c r="Z18" s="342">
        <f t="shared" si="2"/>
        <v>-4.1353383458646614E-2</v>
      </c>
      <c r="AA18" s="220" t="s">
        <v>286</v>
      </c>
    </row>
    <row r="19" spans="2:27" x14ac:dyDescent="0.2">
      <c r="B19" s="5">
        <v>2031</v>
      </c>
      <c r="C19" s="3">
        <f t="shared" si="6"/>
        <v>56920.713487841938</v>
      </c>
      <c r="D19" s="3">
        <f t="shared" si="7"/>
        <v>7393.9143818905559</v>
      </c>
      <c r="E19" s="3">
        <f t="shared" si="5"/>
        <v>1719</v>
      </c>
      <c r="F19" s="3">
        <v>450</v>
      </c>
      <c r="G19" s="3"/>
      <c r="H19" s="3"/>
      <c r="I19" s="3"/>
      <c r="J19" s="3"/>
      <c r="K19" s="220"/>
      <c r="N19" s="2">
        <v>2012</v>
      </c>
      <c r="O19" s="126">
        <v>44350</v>
      </c>
      <c r="P19" s="342">
        <f t="shared" si="0"/>
        <v>1.490380272784753E-3</v>
      </c>
      <c r="Q19" s="126">
        <v>6157</v>
      </c>
      <c r="R19" s="342">
        <f t="shared" si="0"/>
        <v>7.8572597806514984E-3</v>
      </c>
      <c r="S19" s="126">
        <v>1768</v>
      </c>
      <c r="T19" s="342">
        <f t="shared" si="1"/>
        <v>-1.5590200445434299E-2</v>
      </c>
      <c r="U19" s="126"/>
      <c r="V19" s="126"/>
      <c r="W19" s="126"/>
      <c r="X19" s="126"/>
      <c r="Y19" s="126">
        <v>439</v>
      </c>
      <c r="Z19" s="342">
        <f t="shared" si="2"/>
        <v>-0.13921568627450981</v>
      </c>
      <c r="AA19" s="220" t="s">
        <v>286</v>
      </c>
    </row>
    <row r="20" spans="2:27" x14ac:dyDescent="0.2">
      <c r="B20" s="5">
        <v>2032</v>
      </c>
      <c r="C20" s="3">
        <f t="shared" si="6"/>
        <v>57489.920622720361</v>
      </c>
      <c r="D20" s="3">
        <f t="shared" si="7"/>
        <v>7467.8535257094618</v>
      </c>
      <c r="E20" s="3">
        <f t="shared" si="5"/>
        <v>1719</v>
      </c>
      <c r="F20" s="3">
        <v>450</v>
      </c>
      <c r="G20" s="221"/>
      <c r="H20" s="221"/>
      <c r="I20" s="221"/>
      <c r="J20" s="221"/>
      <c r="K20" s="220"/>
      <c r="N20" s="2">
        <v>2013</v>
      </c>
      <c r="O20" s="126">
        <v>44510</v>
      </c>
      <c r="P20" s="342">
        <f t="shared" si="0"/>
        <v>3.6076662908680946E-3</v>
      </c>
      <c r="Q20" s="126">
        <v>6188</v>
      </c>
      <c r="R20" s="342">
        <f t="shared" si="0"/>
        <v>5.0349196037031019E-3</v>
      </c>
      <c r="S20" s="126">
        <v>1749</v>
      </c>
      <c r="T20" s="342">
        <f t="shared" si="1"/>
        <v>-1.0746606334841629E-2</v>
      </c>
      <c r="U20" s="126"/>
      <c r="V20" s="126"/>
      <c r="W20" s="126"/>
      <c r="X20" s="126"/>
      <c r="Y20" s="126">
        <v>485</v>
      </c>
      <c r="Z20" s="342">
        <f t="shared" si="2"/>
        <v>0.10478359908883828</v>
      </c>
      <c r="AA20" s="220" t="s">
        <v>286</v>
      </c>
    </row>
    <row r="21" spans="2:27" x14ac:dyDescent="0.2">
      <c r="B21" s="5">
        <v>2033</v>
      </c>
      <c r="C21" s="3">
        <f t="shared" si="6"/>
        <v>58064.819828947562</v>
      </c>
      <c r="D21" s="3">
        <f t="shared" si="7"/>
        <v>7542.5320609665569</v>
      </c>
      <c r="E21" s="3">
        <f t="shared" si="5"/>
        <v>1719</v>
      </c>
      <c r="F21" s="3">
        <v>450</v>
      </c>
      <c r="G21" s="3"/>
      <c r="H21" s="3"/>
      <c r="I21" s="3"/>
      <c r="J21" s="3"/>
      <c r="K21" s="220"/>
      <c r="N21" s="2">
        <v>2014</v>
      </c>
      <c r="O21" s="126">
        <v>44758</v>
      </c>
      <c r="P21" s="342">
        <f t="shared" si="0"/>
        <v>5.5717816221073913E-3</v>
      </c>
      <c r="Q21" s="126">
        <v>6218</v>
      </c>
      <c r="R21" s="342">
        <f t="shared" si="0"/>
        <v>4.8480930833872012E-3</v>
      </c>
      <c r="S21" s="126">
        <v>1736</v>
      </c>
      <c r="T21" s="342">
        <f t="shared" si="1"/>
        <v>-7.4328187535734709E-3</v>
      </c>
      <c r="U21" s="126"/>
      <c r="V21" s="126"/>
      <c r="W21" s="126"/>
      <c r="X21" s="126"/>
      <c r="Y21" s="126">
        <v>487</v>
      </c>
      <c r="Z21" s="342">
        <f t="shared" si="2"/>
        <v>4.1237113402061857E-3</v>
      </c>
      <c r="AA21" s="220" t="s">
        <v>286</v>
      </c>
    </row>
    <row r="22" spans="2:27" x14ac:dyDescent="0.2">
      <c r="B22" s="333">
        <v>2034</v>
      </c>
      <c r="C22" s="335"/>
      <c r="D22" s="345"/>
      <c r="E22" s="345"/>
      <c r="F22" s="335"/>
      <c r="G22" s="345"/>
      <c r="H22" s="345"/>
      <c r="I22" s="345"/>
      <c r="J22" s="345"/>
      <c r="K22" s="220" t="s">
        <v>234</v>
      </c>
      <c r="N22" s="2">
        <v>2015</v>
      </c>
      <c r="O22" s="126">
        <v>45139</v>
      </c>
      <c r="P22" s="342">
        <f t="shared" si="0"/>
        <v>8.5124447026229955E-3</v>
      </c>
      <c r="Q22" s="126">
        <v>6286</v>
      </c>
      <c r="R22" s="342">
        <f t="shared" si="0"/>
        <v>1.0935992280476037E-2</v>
      </c>
      <c r="S22" s="126">
        <v>1688</v>
      </c>
      <c r="T22" s="342">
        <f t="shared" si="1"/>
        <v>-2.7649769585253458E-2</v>
      </c>
      <c r="U22" s="126"/>
      <c r="V22" s="126"/>
      <c r="W22" s="126"/>
      <c r="X22" s="126"/>
      <c r="Y22" s="126">
        <v>489</v>
      </c>
      <c r="Z22" s="342">
        <f t="shared" si="2"/>
        <v>4.1067761806981521E-3</v>
      </c>
      <c r="AA22" s="220" t="s">
        <v>286</v>
      </c>
    </row>
    <row r="23" spans="2:27" x14ac:dyDescent="0.2">
      <c r="N23" s="2">
        <v>2016</v>
      </c>
      <c r="O23" s="126">
        <v>45655</v>
      </c>
      <c r="P23" s="342">
        <f t="shared" si="0"/>
        <v>1.143135647666098E-2</v>
      </c>
      <c r="Q23" s="126">
        <v>6261</v>
      </c>
      <c r="R23" s="342">
        <f t="shared" si="0"/>
        <v>-3.9770919503658922E-3</v>
      </c>
      <c r="S23" s="126">
        <v>1660</v>
      </c>
      <c r="T23" s="342">
        <f t="shared" si="1"/>
        <v>-1.6587677725118485E-2</v>
      </c>
      <c r="U23" s="126"/>
      <c r="V23" s="126"/>
      <c r="W23" s="126"/>
      <c r="X23" s="126"/>
      <c r="Y23" s="126">
        <v>513</v>
      </c>
      <c r="Z23" s="342">
        <f t="shared" si="2"/>
        <v>4.9079754601226995E-2</v>
      </c>
      <c r="AA23" s="220" t="s">
        <v>286</v>
      </c>
    </row>
    <row r="24" spans="2:27" x14ac:dyDescent="0.2">
      <c r="N24" s="2">
        <v>2017</v>
      </c>
      <c r="O24" s="126">
        <v>46708</v>
      </c>
      <c r="P24" s="342">
        <f t="shared" si="0"/>
        <v>2.3064286496550214E-2</v>
      </c>
      <c r="Q24" s="126">
        <v>6184</v>
      </c>
      <c r="R24" s="342">
        <f t="shared" si="0"/>
        <v>-1.2298354895384124E-2</v>
      </c>
      <c r="S24" s="126">
        <v>1660</v>
      </c>
      <c r="T24" s="342">
        <f t="shared" si="1"/>
        <v>0</v>
      </c>
      <c r="U24" s="126"/>
      <c r="V24" s="126"/>
      <c r="W24" s="126"/>
      <c r="X24" s="126"/>
      <c r="Y24" s="126">
        <v>550</v>
      </c>
      <c r="Z24" s="342">
        <f t="shared" si="2"/>
        <v>7.2124756335282647E-2</v>
      </c>
      <c r="AA24" s="220" t="s">
        <v>286</v>
      </c>
    </row>
    <row r="25" spans="2:27" x14ac:dyDescent="0.2">
      <c r="N25" s="2">
        <v>2018</v>
      </c>
      <c r="O25" s="126">
        <v>47007</v>
      </c>
      <c r="P25" s="342">
        <f t="shared" si="0"/>
        <v>6.4014729810739062E-3</v>
      </c>
      <c r="Q25" s="126">
        <v>6168</v>
      </c>
      <c r="R25" s="342">
        <f t="shared" si="0"/>
        <v>-2.5873221216041399E-3</v>
      </c>
      <c r="S25" s="126">
        <v>1647</v>
      </c>
      <c r="T25" s="342">
        <f t="shared" si="1"/>
        <v>-7.8313253012048199E-3</v>
      </c>
      <c r="U25" s="126"/>
      <c r="V25" s="126"/>
      <c r="W25" s="126"/>
      <c r="X25" s="126"/>
      <c r="Y25" s="126">
        <v>572</v>
      </c>
      <c r="Z25" s="342">
        <f t="shared" si="2"/>
        <v>0.04</v>
      </c>
      <c r="AA25" s="220" t="s">
        <v>286</v>
      </c>
    </row>
    <row r="26" spans="2:27" x14ac:dyDescent="0.2">
      <c r="N26" s="2">
        <v>2019</v>
      </c>
      <c r="O26" s="3">
        <v>47477.07</v>
      </c>
      <c r="P26" s="343">
        <f t="shared" si="0"/>
        <v>9.9999999999999933E-3</v>
      </c>
      <c r="Q26" s="3">
        <v>6229.68</v>
      </c>
      <c r="R26" s="343">
        <f t="shared" si="0"/>
        <v>1.0000000000000047E-2</v>
      </c>
      <c r="S26" s="3">
        <v>1628.883</v>
      </c>
      <c r="T26" s="342">
        <f t="shared" si="1"/>
        <v>-1.0999999999999977E-2</v>
      </c>
      <c r="U26" s="3"/>
      <c r="V26" s="3"/>
      <c r="W26" s="3"/>
      <c r="X26" s="3"/>
      <c r="Y26" s="3">
        <v>575</v>
      </c>
      <c r="Z26" s="343">
        <f t="shared" si="2"/>
        <v>5.244755244755245E-3</v>
      </c>
      <c r="AA26" s="220" t="s">
        <v>286</v>
      </c>
    </row>
    <row r="27" spans="2:27" x14ac:dyDescent="0.2">
      <c r="N27" s="2">
        <v>2020</v>
      </c>
      <c r="O27" s="3">
        <v>49672</v>
      </c>
      <c r="P27" s="343">
        <f t="shared" si="0"/>
        <v>4.6231370217243828E-2</v>
      </c>
      <c r="Q27" s="3">
        <v>6707</v>
      </c>
      <c r="R27" s="343">
        <f t="shared" si="0"/>
        <v>7.6620307945191354E-2</v>
      </c>
      <c r="S27" s="3">
        <v>1823</v>
      </c>
      <c r="T27" s="342">
        <f t="shared" si="1"/>
        <v>0.11917184966630505</v>
      </c>
      <c r="U27" s="3"/>
      <c r="V27" s="3"/>
      <c r="W27" s="3"/>
      <c r="X27" s="3"/>
      <c r="Y27" s="3">
        <f>204+242</f>
        <v>446</v>
      </c>
      <c r="Z27" s="343">
        <f t="shared" si="2"/>
        <v>-0.22434782608695653</v>
      </c>
      <c r="AA27" s="220" t="s">
        <v>285</v>
      </c>
    </row>
    <row r="28" spans="2:27" x14ac:dyDescent="0.2">
      <c r="N28" s="2">
        <v>2021</v>
      </c>
      <c r="O28" s="3">
        <v>48756</v>
      </c>
      <c r="P28" s="343">
        <f t="shared" ref="P28:P29" si="8">(O28-O27)/O27</f>
        <v>-1.8440972781446286E-2</v>
      </c>
      <c r="Q28" s="3">
        <v>6600</v>
      </c>
      <c r="R28" s="343">
        <f t="shared" ref="R28:R29" si="9">(Q28-Q27)/Q27</f>
        <v>-1.5953481437304309E-2</v>
      </c>
      <c r="S28" s="3">
        <v>1711</v>
      </c>
      <c r="T28" s="342">
        <f t="shared" si="1"/>
        <v>-6.1437191442676904E-2</v>
      </c>
      <c r="U28" s="3"/>
      <c r="V28" s="3"/>
      <c r="W28" s="3"/>
      <c r="X28" s="3"/>
      <c r="Y28" s="3">
        <f>205+286</f>
        <v>491</v>
      </c>
      <c r="Z28" s="343">
        <f t="shared" si="2"/>
        <v>0.10089686098654709</v>
      </c>
      <c r="AA28" s="220" t="s">
        <v>285</v>
      </c>
    </row>
    <row r="29" spans="2:27" x14ac:dyDescent="0.2">
      <c r="N29" s="2">
        <v>2022</v>
      </c>
      <c r="O29" s="3">
        <v>50889</v>
      </c>
      <c r="P29" s="343">
        <f t="shared" si="8"/>
        <v>4.3748461727787347E-2</v>
      </c>
      <c r="Q29" s="3">
        <v>6747</v>
      </c>
      <c r="R29" s="343">
        <f t="shared" si="9"/>
        <v>2.2272727272727274E-2</v>
      </c>
      <c r="S29" s="3">
        <v>1719</v>
      </c>
      <c r="T29" s="342">
        <f t="shared" si="1"/>
        <v>4.6756282875511394E-3</v>
      </c>
      <c r="U29" s="3"/>
      <c r="V29" s="3"/>
      <c r="W29" s="3"/>
      <c r="X29" s="3"/>
      <c r="Y29" s="3">
        <f>211+237</f>
        <v>448</v>
      </c>
      <c r="Z29" s="343">
        <f t="shared" si="2"/>
        <v>-8.7576374745417518E-2</v>
      </c>
      <c r="AA29" s="220" t="s">
        <v>285</v>
      </c>
    </row>
    <row r="30" spans="2:27" x14ac:dyDescent="0.2">
      <c r="N30" s="2">
        <v>2023</v>
      </c>
      <c r="O30" s="3"/>
      <c r="P30" s="343"/>
      <c r="Q30" s="3"/>
      <c r="R30" s="343"/>
      <c r="S30" s="3"/>
      <c r="T30" s="343"/>
      <c r="U30" s="3"/>
      <c r="V30" s="3"/>
      <c r="W30" s="3"/>
      <c r="X30" s="3"/>
      <c r="Y30" s="3"/>
      <c r="Z30" s="343"/>
    </row>
  </sheetData>
  <customSheetViews>
    <customSheetView guid="{64245E33-E577-4C25-9B98-21C112E84FF6}" scale="75" showPageBreaks="1" showGridLines="0" fitToPage="1" printArea="1">
      <selection activeCell="O64" sqref="O64"/>
      <pageMargins left="0" right="0" top="0" bottom="0" header="0" footer="0"/>
      <pageSetup scale="98" orientation="landscape" r:id="rId1"/>
      <headerFooter alignWithMargins="0">
        <oddFooter>&amp;R&amp;A</oddFooter>
      </headerFooter>
    </customSheetView>
    <customSheetView guid="{2C54E754-4594-47E3-AFE9-B28C28B63E5C}" scale="75" showGridLines="0" fitToPage="1">
      <selection activeCell="O64" sqref="O64"/>
      <pageMargins left="0" right="0" top="0" bottom="0" header="0" footer="0"/>
      <pageSetup scale="98" orientation="landscape" r:id="rId2"/>
      <headerFooter alignWithMargins="0">
        <oddFooter>&amp;R&amp;A</oddFooter>
      </headerFooter>
    </customSheetView>
    <customSheetView guid="{DC437496-B10F-474B-8F6E-F19B4DA7C026}" scale="75" showPageBreaks="1" showGridLines="0" fitToPage="1" printArea="1">
      <selection activeCell="Q82" sqref="Q82"/>
      <pageMargins left="0" right="0" top="0" bottom="0" header="0" footer="0"/>
      <pageSetup scale="93" orientation="landscape" r:id="rId3"/>
      <headerFooter alignWithMargins="0">
        <oddFooter>&amp;R&amp;A</oddFooter>
      </headerFooter>
    </customSheetView>
    <customSheetView guid="{C3E70234-FA18-40E7-B25F-218A5F7D2EA2}" scale="75" showGridLines="0" fitToPage="1">
      <selection activeCell="Q82" sqref="Q82"/>
      <pageMargins left="0" right="0" top="0" bottom="0" header="0" footer="0"/>
      <pageSetup scale="88" orientation="landscape" r:id="rId4"/>
      <headerFooter alignWithMargins="0">
        <oddFooter>&amp;R&amp;A</oddFooter>
      </headerFooter>
    </customSheetView>
  </customSheetViews>
  <mergeCells count="4">
    <mergeCell ref="J7:J8"/>
    <mergeCell ref="B6:J6"/>
    <mergeCell ref="B1:J1"/>
    <mergeCell ref="Y7:Y8"/>
  </mergeCells>
  <phoneticPr fontId="0" type="noConversion"/>
  <printOptions horizontalCentered="1"/>
  <pageMargins left="0.25" right="0.25" top="0.5" bottom="0.5" header="0.5" footer="0.5"/>
  <pageSetup orientation="landscape" r:id="rId5"/>
  <headerFooter alignWithMargins="0">
    <oddFooter>&amp;R&amp;A</oddFooter>
  </headerFooter>
  <legacyDrawing r:id="rId6"/>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S91"/>
  <sheetViews>
    <sheetView zoomScale="85" zoomScaleNormal="85" workbookViewId="0"/>
  </sheetViews>
  <sheetFormatPr defaultColWidth="9.33203125" defaultRowHeight="16.5" customHeight="1" x14ac:dyDescent="0.35"/>
  <cols>
    <col min="1" max="1" width="5" style="163" customWidth="1"/>
    <col min="2" max="2" width="26" style="166" customWidth="1"/>
    <col min="3" max="3" width="19.6640625" style="166" customWidth="1"/>
    <col min="4" max="4" width="15.44140625" style="163" customWidth="1"/>
    <col min="5" max="19" width="15.6640625" style="163" customWidth="1"/>
    <col min="20" max="16384" width="9.33203125" style="163"/>
  </cols>
  <sheetData>
    <row r="1" spans="2:19" ht="16.5" customHeight="1" x14ac:dyDescent="0.35">
      <c r="B1" s="451" t="s">
        <v>108</v>
      </c>
      <c r="C1" s="451"/>
      <c r="D1" s="451"/>
      <c r="E1" s="451"/>
      <c r="F1" s="451"/>
      <c r="G1" s="451"/>
      <c r="H1" s="451"/>
      <c r="I1" s="451"/>
      <c r="J1" s="451"/>
      <c r="K1" s="451"/>
      <c r="L1" s="451"/>
      <c r="M1" s="451"/>
      <c r="N1" s="451"/>
      <c r="O1" s="451"/>
      <c r="P1" s="451"/>
      <c r="Q1" s="451"/>
      <c r="R1" s="451"/>
      <c r="S1" s="451"/>
    </row>
    <row r="2" spans="2:19" ht="16.5" customHeight="1" x14ac:dyDescent="0.35">
      <c r="B2" s="452" t="str">
        <f>'FormsList&amp;FilerInfo'!B2</f>
        <v>Utility Name</v>
      </c>
      <c r="C2" s="452"/>
      <c r="D2" s="452"/>
      <c r="E2" s="452"/>
      <c r="F2" s="452"/>
      <c r="G2" s="452"/>
      <c r="H2" s="452"/>
      <c r="I2" s="452"/>
      <c r="J2" s="452"/>
      <c r="K2" s="452"/>
      <c r="L2" s="452"/>
      <c r="M2" s="452"/>
      <c r="N2" s="452"/>
      <c r="O2" s="452"/>
      <c r="P2" s="452"/>
      <c r="Q2" s="452"/>
      <c r="R2" s="452"/>
      <c r="S2" s="452"/>
    </row>
    <row r="3" spans="2:19" ht="16.5" customHeight="1" x14ac:dyDescent="0.35">
      <c r="B3" s="164"/>
      <c r="C3" s="164"/>
      <c r="D3" s="164"/>
      <c r="E3" s="164"/>
      <c r="F3" s="164"/>
      <c r="G3" s="164"/>
      <c r="H3" s="164"/>
      <c r="I3" s="164"/>
      <c r="J3" s="164"/>
      <c r="K3" s="165"/>
    </row>
    <row r="4" spans="2:19" ht="16.5" customHeight="1" x14ac:dyDescent="0.35">
      <c r="B4" s="453" t="s">
        <v>109</v>
      </c>
      <c r="C4" s="453"/>
      <c r="D4" s="453"/>
      <c r="E4" s="453"/>
      <c r="F4" s="453"/>
      <c r="G4" s="453"/>
      <c r="H4" s="453"/>
      <c r="I4" s="453"/>
      <c r="J4" s="453"/>
      <c r="K4" s="453"/>
      <c r="L4" s="453"/>
      <c r="M4" s="453"/>
      <c r="N4" s="453"/>
      <c r="O4" s="453"/>
      <c r="P4" s="453"/>
      <c r="Q4" s="453"/>
      <c r="R4" s="453"/>
      <c r="S4" s="453"/>
    </row>
    <row r="6" spans="2:19" ht="33.75" customHeight="1" x14ac:dyDescent="0.35">
      <c r="D6" s="167"/>
      <c r="E6" s="454" t="s">
        <v>110</v>
      </c>
      <c r="F6" s="455"/>
      <c r="G6" s="455"/>
      <c r="H6" s="455"/>
      <c r="I6" s="456"/>
      <c r="J6" s="457" t="s">
        <v>111</v>
      </c>
      <c r="K6" s="457"/>
      <c r="L6" s="457"/>
      <c r="M6" s="457"/>
      <c r="N6" s="457"/>
      <c r="O6" s="457" t="s">
        <v>112</v>
      </c>
      <c r="P6" s="457"/>
      <c r="Q6" s="457"/>
      <c r="R6" s="457"/>
      <c r="S6" s="457"/>
    </row>
    <row r="7" spans="2:19" ht="16.5" customHeight="1" x14ac:dyDescent="0.35">
      <c r="B7" s="168" t="s">
        <v>113</v>
      </c>
      <c r="C7" s="169" t="s">
        <v>114</v>
      </c>
      <c r="D7" s="170" t="s">
        <v>115</v>
      </c>
      <c r="E7" s="171" t="s">
        <v>98</v>
      </c>
      <c r="F7" s="172" t="s">
        <v>99</v>
      </c>
      <c r="G7" s="172" t="s">
        <v>100</v>
      </c>
      <c r="H7" s="172" t="s">
        <v>116</v>
      </c>
      <c r="I7" s="172" t="s">
        <v>46</v>
      </c>
      <c r="J7" s="172" t="s">
        <v>98</v>
      </c>
      <c r="K7" s="172" t="s">
        <v>99</v>
      </c>
      <c r="L7" s="172" t="s">
        <v>100</v>
      </c>
      <c r="M7" s="172" t="s">
        <v>116</v>
      </c>
      <c r="N7" s="172" t="s">
        <v>46</v>
      </c>
      <c r="O7" s="172" t="s">
        <v>98</v>
      </c>
      <c r="P7" s="172" t="s">
        <v>99</v>
      </c>
      <c r="Q7" s="172" t="s">
        <v>100</v>
      </c>
      <c r="R7" s="172" t="s">
        <v>116</v>
      </c>
      <c r="S7" s="172" t="s">
        <v>46</v>
      </c>
    </row>
    <row r="8" spans="2:19" ht="16.5" customHeight="1" x14ac:dyDescent="0.35">
      <c r="B8" s="173"/>
      <c r="C8" s="173" t="s">
        <v>117</v>
      </c>
      <c r="D8" s="174">
        <v>2023</v>
      </c>
      <c r="E8" s="175"/>
      <c r="F8" s="175"/>
      <c r="G8" s="175"/>
      <c r="H8" s="175"/>
      <c r="I8" s="175"/>
      <c r="J8" s="176"/>
      <c r="K8" s="176"/>
      <c r="L8" s="176"/>
      <c r="M8" s="176"/>
      <c r="N8" s="176"/>
      <c r="O8" s="177"/>
      <c r="P8" s="177"/>
      <c r="Q8" s="177"/>
      <c r="R8" s="177"/>
      <c r="S8" s="178"/>
    </row>
    <row r="9" spans="2:19" ht="16.5" customHeight="1" x14ac:dyDescent="0.35">
      <c r="B9" s="173"/>
      <c r="C9" s="173" t="s">
        <v>117</v>
      </c>
      <c r="D9" s="174">
        <v>2024</v>
      </c>
      <c r="E9" s="175"/>
      <c r="F9" s="175"/>
      <c r="G9" s="175"/>
      <c r="H9" s="175"/>
      <c r="I9" s="175"/>
      <c r="J9" s="176"/>
      <c r="K9" s="176"/>
      <c r="L9" s="176"/>
      <c r="M9" s="176"/>
      <c r="N9" s="176"/>
      <c r="O9" s="177"/>
      <c r="P9" s="177"/>
      <c r="Q9" s="177"/>
      <c r="R9" s="177"/>
      <c r="S9" s="178"/>
    </row>
    <row r="10" spans="2:19" ht="16.5" customHeight="1" x14ac:dyDescent="0.35">
      <c r="B10" s="173"/>
      <c r="C10" s="173" t="s">
        <v>117</v>
      </c>
      <c r="D10" s="174">
        <v>2025</v>
      </c>
      <c r="E10" s="175"/>
      <c r="F10" s="175"/>
      <c r="G10" s="175"/>
      <c r="H10" s="175"/>
      <c r="I10" s="175"/>
      <c r="J10" s="176"/>
      <c r="K10" s="176"/>
      <c r="L10" s="176"/>
      <c r="M10" s="176"/>
      <c r="N10" s="176"/>
      <c r="O10" s="177"/>
      <c r="P10" s="177"/>
      <c r="Q10" s="177"/>
      <c r="R10" s="177"/>
      <c r="S10" s="178"/>
    </row>
    <row r="11" spans="2:19" ht="16.5" customHeight="1" x14ac:dyDescent="0.35">
      <c r="B11" s="173"/>
      <c r="C11" s="173" t="s">
        <v>117</v>
      </c>
      <c r="D11" s="174">
        <v>2026</v>
      </c>
      <c r="E11" s="175"/>
      <c r="F11" s="175"/>
      <c r="G11" s="175"/>
      <c r="H11" s="175"/>
      <c r="I11" s="175"/>
      <c r="J11" s="176"/>
      <c r="K11" s="176"/>
      <c r="L11" s="176"/>
      <c r="M11" s="176"/>
      <c r="N11" s="176"/>
      <c r="O11" s="177"/>
      <c r="P11" s="177"/>
      <c r="Q11" s="177"/>
      <c r="R11" s="177"/>
      <c r="S11" s="178"/>
    </row>
    <row r="12" spans="2:19" ht="16.5" customHeight="1" x14ac:dyDescent="0.35">
      <c r="B12" s="173"/>
      <c r="C12" s="173" t="s">
        <v>117</v>
      </c>
      <c r="D12" s="174">
        <v>2027</v>
      </c>
      <c r="E12" s="175"/>
      <c r="F12" s="175"/>
      <c r="G12" s="175"/>
      <c r="H12" s="175"/>
      <c r="I12" s="175"/>
      <c r="J12" s="176"/>
      <c r="K12" s="176"/>
      <c r="L12" s="176"/>
      <c r="M12" s="176"/>
      <c r="N12" s="176"/>
      <c r="O12" s="177"/>
      <c r="P12" s="177"/>
      <c r="Q12" s="177"/>
      <c r="R12" s="177"/>
      <c r="S12" s="178"/>
    </row>
    <row r="13" spans="2:19" ht="16.5" customHeight="1" x14ac:dyDescent="0.35">
      <c r="B13" s="173"/>
      <c r="C13" s="173" t="s">
        <v>117</v>
      </c>
      <c r="D13" s="174">
        <v>2028</v>
      </c>
      <c r="E13" s="175"/>
      <c r="F13" s="175"/>
      <c r="G13" s="175"/>
      <c r="H13" s="175"/>
      <c r="I13" s="175"/>
      <c r="J13" s="176"/>
      <c r="K13" s="176"/>
      <c r="L13" s="176"/>
      <c r="M13" s="176"/>
      <c r="N13" s="176"/>
      <c r="O13" s="177"/>
      <c r="P13" s="177"/>
      <c r="Q13" s="177"/>
      <c r="R13" s="177"/>
      <c r="S13" s="178"/>
    </row>
    <row r="14" spans="2:19" ht="16.5" customHeight="1" x14ac:dyDescent="0.35">
      <c r="B14" s="173"/>
      <c r="C14" s="173" t="s">
        <v>117</v>
      </c>
      <c r="D14" s="174">
        <v>2029</v>
      </c>
      <c r="E14" s="175"/>
      <c r="F14" s="175"/>
      <c r="G14" s="175"/>
      <c r="H14" s="175"/>
      <c r="I14" s="175"/>
      <c r="J14" s="176"/>
      <c r="K14" s="176"/>
      <c r="L14" s="176"/>
      <c r="M14" s="176"/>
      <c r="N14" s="176"/>
      <c r="O14" s="177"/>
      <c r="P14" s="177"/>
      <c r="Q14" s="177"/>
      <c r="R14" s="177"/>
      <c r="S14" s="178"/>
    </row>
    <row r="15" spans="2:19" ht="16.5" customHeight="1" x14ac:dyDescent="0.35">
      <c r="B15" s="173"/>
      <c r="C15" s="173" t="s">
        <v>117</v>
      </c>
      <c r="D15" s="174">
        <v>2030</v>
      </c>
      <c r="E15" s="175"/>
      <c r="F15" s="175"/>
      <c r="G15" s="175"/>
      <c r="H15" s="175"/>
      <c r="I15" s="175"/>
      <c r="J15" s="176"/>
      <c r="K15" s="176"/>
      <c r="L15" s="176"/>
      <c r="M15" s="176"/>
      <c r="N15" s="176"/>
      <c r="O15" s="177"/>
      <c r="P15" s="177"/>
      <c r="Q15" s="177"/>
      <c r="R15" s="177"/>
      <c r="S15" s="178"/>
    </row>
    <row r="16" spans="2:19" ht="16.5" customHeight="1" x14ac:dyDescent="0.35">
      <c r="B16" s="173"/>
      <c r="C16" s="173" t="s">
        <v>117</v>
      </c>
      <c r="D16" s="174">
        <v>2031</v>
      </c>
      <c r="E16" s="175"/>
      <c r="F16" s="175"/>
      <c r="G16" s="175"/>
      <c r="H16" s="175"/>
      <c r="I16" s="175"/>
      <c r="J16" s="176"/>
      <c r="K16" s="176"/>
      <c r="L16" s="176"/>
      <c r="M16" s="176"/>
      <c r="N16" s="176"/>
      <c r="O16" s="177"/>
      <c r="P16" s="177"/>
      <c r="Q16" s="177"/>
      <c r="R16" s="177"/>
      <c r="S16" s="178"/>
    </row>
    <row r="17" spans="2:19" ht="16.5" customHeight="1" x14ac:dyDescent="0.35">
      <c r="B17" s="173"/>
      <c r="C17" s="173" t="s">
        <v>117</v>
      </c>
      <c r="D17" s="174">
        <v>2032</v>
      </c>
      <c r="E17" s="175"/>
      <c r="F17" s="175"/>
      <c r="G17" s="175"/>
      <c r="H17" s="175"/>
      <c r="I17" s="175"/>
      <c r="J17" s="176"/>
      <c r="K17" s="176"/>
      <c r="L17" s="176"/>
      <c r="M17" s="176"/>
      <c r="N17" s="176"/>
      <c r="O17" s="177"/>
      <c r="P17" s="177"/>
      <c r="Q17" s="177"/>
      <c r="R17" s="177"/>
      <c r="S17" s="178"/>
    </row>
    <row r="18" spans="2:19" ht="16.5" customHeight="1" x14ac:dyDescent="0.35">
      <c r="B18" s="173"/>
      <c r="C18" s="173" t="s">
        <v>117</v>
      </c>
      <c r="D18" s="174">
        <v>2033</v>
      </c>
      <c r="E18" s="175"/>
      <c r="F18" s="175"/>
      <c r="G18" s="175"/>
      <c r="H18" s="175"/>
      <c r="I18" s="175"/>
      <c r="J18" s="176"/>
      <c r="K18" s="176"/>
      <c r="L18" s="176"/>
      <c r="M18" s="176"/>
      <c r="N18" s="176"/>
      <c r="O18" s="177"/>
      <c r="P18" s="177"/>
      <c r="Q18" s="177"/>
      <c r="R18" s="177"/>
      <c r="S18" s="178"/>
    </row>
    <row r="19" spans="2:19" ht="16.5" customHeight="1" x14ac:dyDescent="0.35">
      <c r="B19" s="173"/>
      <c r="C19" s="173" t="s">
        <v>117</v>
      </c>
      <c r="D19" s="174">
        <v>2034</v>
      </c>
      <c r="E19" s="175"/>
      <c r="F19" s="175"/>
      <c r="G19" s="175"/>
      <c r="H19" s="175"/>
      <c r="I19" s="175"/>
      <c r="J19" s="176"/>
      <c r="K19" s="176"/>
      <c r="L19" s="176"/>
      <c r="M19" s="176"/>
      <c r="N19" s="176"/>
      <c r="O19" s="177"/>
      <c r="P19" s="177"/>
      <c r="Q19" s="177"/>
      <c r="R19" s="177"/>
      <c r="S19" s="178"/>
    </row>
    <row r="20" spans="2:19" ht="16.5" customHeight="1" x14ac:dyDescent="0.35">
      <c r="B20" s="173"/>
      <c r="C20" s="173" t="s">
        <v>118</v>
      </c>
      <c r="D20" s="174">
        <v>2023</v>
      </c>
      <c r="E20" s="175"/>
      <c r="F20" s="175"/>
      <c r="G20" s="175"/>
      <c r="H20" s="175"/>
      <c r="I20" s="175"/>
      <c r="J20" s="176"/>
      <c r="K20" s="176"/>
      <c r="L20" s="176"/>
      <c r="M20" s="176"/>
      <c r="N20" s="176"/>
      <c r="O20" s="177"/>
      <c r="P20" s="177"/>
      <c r="Q20" s="177"/>
      <c r="R20" s="177"/>
      <c r="S20" s="178"/>
    </row>
    <row r="21" spans="2:19" ht="16.5" customHeight="1" x14ac:dyDescent="0.35">
      <c r="B21" s="173"/>
      <c r="C21" s="173" t="s">
        <v>118</v>
      </c>
      <c r="D21" s="174">
        <v>2024</v>
      </c>
      <c r="E21" s="175"/>
      <c r="F21" s="175"/>
      <c r="G21" s="175"/>
      <c r="H21" s="175"/>
      <c r="I21" s="175"/>
      <c r="J21" s="176"/>
      <c r="K21" s="176"/>
      <c r="L21" s="176"/>
      <c r="M21" s="176"/>
      <c r="N21" s="176"/>
      <c r="O21" s="177"/>
      <c r="P21" s="177"/>
      <c r="Q21" s="177"/>
      <c r="R21" s="177"/>
      <c r="S21" s="178"/>
    </row>
    <row r="22" spans="2:19" ht="16.5" customHeight="1" x14ac:dyDescent="0.35">
      <c r="B22" s="173"/>
      <c r="C22" s="173" t="s">
        <v>118</v>
      </c>
      <c r="D22" s="174">
        <v>2025</v>
      </c>
      <c r="E22" s="175"/>
      <c r="F22" s="175"/>
      <c r="G22" s="175"/>
      <c r="H22" s="175"/>
      <c r="I22" s="175"/>
      <c r="J22" s="176"/>
      <c r="K22" s="176"/>
      <c r="L22" s="176"/>
      <c r="M22" s="176"/>
      <c r="N22" s="176"/>
      <c r="O22" s="177"/>
      <c r="P22" s="177"/>
      <c r="Q22" s="177"/>
      <c r="R22" s="177"/>
      <c r="S22" s="178"/>
    </row>
    <row r="23" spans="2:19" ht="16.5" customHeight="1" x14ac:dyDescent="0.35">
      <c r="B23" s="173"/>
      <c r="C23" s="173" t="s">
        <v>118</v>
      </c>
      <c r="D23" s="174">
        <v>2026</v>
      </c>
      <c r="E23" s="175"/>
      <c r="F23" s="175"/>
      <c r="G23" s="175"/>
      <c r="H23" s="175"/>
      <c r="I23" s="175"/>
      <c r="J23" s="176"/>
      <c r="K23" s="176"/>
      <c r="L23" s="176"/>
      <c r="M23" s="176"/>
      <c r="N23" s="176"/>
      <c r="O23" s="177"/>
      <c r="P23" s="177"/>
      <c r="Q23" s="177"/>
      <c r="R23" s="177"/>
      <c r="S23" s="178"/>
    </row>
    <row r="24" spans="2:19" ht="16.5" customHeight="1" x14ac:dyDescent="0.35">
      <c r="B24" s="173"/>
      <c r="C24" s="173" t="s">
        <v>118</v>
      </c>
      <c r="D24" s="174">
        <v>2027</v>
      </c>
      <c r="E24" s="175"/>
      <c r="F24" s="175"/>
      <c r="G24" s="175"/>
      <c r="H24" s="175"/>
      <c r="I24" s="175"/>
      <c r="J24" s="176"/>
      <c r="K24" s="176"/>
      <c r="L24" s="176"/>
      <c r="M24" s="176"/>
      <c r="N24" s="176"/>
      <c r="O24" s="177"/>
      <c r="P24" s="177"/>
      <c r="Q24" s="177"/>
      <c r="R24" s="177"/>
      <c r="S24" s="178"/>
    </row>
    <row r="25" spans="2:19" ht="16.5" customHeight="1" x14ac:dyDescent="0.35">
      <c r="B25" s="173"/>
      <c r="C25" s="173" t="s">
        <v>118</v>
      </c>
      <c r="D25" s="174">
        <v>2028</v>
      </c>
      <c r="E25" s="176"/>
      <c r="F25" s="176"/>
      <c r="G25" s="176"/>
      <c r="H25" s="176"/>
      <c r="I25" s="176"/>
      <c r="J25" s="176"/>
      <c r="K25" s="176"/>
      <c r="L25" s="176"/>
      <c r="M25" s="176"/>
      <c r="N25" s="176"/>
      <c r="O25" s="177"/>
      <c r="P25" s="177"/>
      <c r="Q25" s="177"/>
      <c r="R25" s="177"/>
      <c r="S25" s="178"/>
    </row>
    <row r="26" spans="2:19" ht="16.5" customHeight="1" x14ac:dyDescent="0.35">
      <c r="B26" s="173"/>
      <c r="C26" s="173" t="s">
        <v>118</v>
      </c>
      <c r="D26" s="174">
        <v>2029</v>
      </c>
      <c r="E26" s="176"/>
      <c r="F26" s="176"/>
      <c r="G26" s="176"/>
      <c r="H26" s="176"/>
      <c r="I26" s="176"/>
      <c r="J26" s="176"/>
      <c r="K26" s="176"/>
      <c r="L26" s="176"/>
      <c r="M26" s="176"/>
      <c r="N26" s="176"/>
      <c r="O26" s="177"/>
      <c r="P26" s="177"/>
      <c r="Q26" s="177"/>
      <c r="R26" s="177"/>
      <c r="S26" s="178"/>
    </row>
    <row r="27" spans="2:19" ht="16.5" customHeight="1" x14ac:dyDescent="0.35">
      <c r="B27" s="173"/>
      <c r="C27" s="173" t="s">
        <v>118</v>
      </c>
      <c r="D27" s="174">
        <v>2030</v>
      </c>
      <c r="E27" s="176"/>
      <c r="F27" s="176"/>
      <c r="G27" s="176"/>
      <c r="H27" s="176"/>
      <c r="I27" s="176"/>
      <c r="J27" s="176"/>
      <c r="K27" s="176"/>
      <c r="L27" s="176"/>
      <c r="M27" s="176"/>
      <c r="N27" s="176"/>
      <c r="O27" s="177"/>
      <c r="P27" s="177"/>
      <c r="Q27" s="177"/>
      <c r="R27" s="177"/>
      <c r="S27" s="178"/>
    </row>
    <row r="28" spans="2:19" ht="16.5" customHeight="1" x14ac:dyDescent="0.35">
      <c r="B28" s="173"/>
      <c r="C28" s="173" t="s">
        <v>118</v>
      </c>
      <c r="D28" s="174">
        <v>2031</v>
      </c>
      <c r="E28" s="176"/>
      <c r="F28" s="176"/>
      <c r="G28" s="176"/>
      <c r="H28" s="176"/>
      <c r="I28" s="176"/>
      <c r="J28" s="176"/>
      <c r="K28" s="176"/>
      <c r="L28" s="176"/>
      <c r="M28" s="176"/>
      <c r="N28" s="176"/>
      <c r="O28" s="177"/>
      <c r="P28" s="177"/>
      <c r="Q28" s="177"/>
      <c r="R28" s="177"/>
      <c r="S28" s="178"/>
    </row>
    <row r="29" spans="2:19" ht="16.5" customHeight="1" x14ac:dyDescent="0.35">
      <c r="B29" s="173"/>
      <c r="C29" s="173" t="s">
        <v>118</v>
      </c>
      <c r="D29" s="174">
        <v>2032</v>
      </c>
      <c r="E29" s="176"/>
      <c r="F29" s="176"/>
      <c r="G29" s="176"/>
      <c r="H29" s="176"/>
      <c r="I29" s="176"/>
      <c r="J29" s="176"/>
      <c r="K29" s="176"/>
      <c r="L29" s="176"/>
      <c r="M29" s="176"/>
      <c r="N29" s="176"/>
      <c r="O29" s="177"/>
      <c r="P29" s="177"/>
      <c r="Q29" s="177"/>
      <c r="R29" s="177"/>
      <c r="S29" s="178"/>
    </row>
    <row r="30" spans="2:19" ht="16.5" customHeight="1" x14ac:dyDescent="0.35">
      <c r="B30" s="173"/>
      <c r="C30" s="173" t="s">
        <v>118</v>
      </c>
      <c r="D30" s="174">
        <v>2033</v>
      </c>
      <c r="E30" s="176"/>
      <c r="F30" s="176"/>
      <c r="G30" s="176"/>
      <c r="H30" s="176"/>
      <c r="I30" s="176"/>
      <c r="J30" s="176"/>
      <c r="K30" s="176"/>
      <c r="L30" s="176"/>
      <c r="M30" s="176"/>
      <c r="N30" s="176"/>
      <c r="O30" s="177"/>
      <c r="P30" s="177"/>
      <c r="Q30" s="177"/>
      <c r="R30" s="177"/>
      <c r="S30" s="178"/>
    </row>
    <row r="31" spans="2:19" ht="16.5" customHeight="1" x14ac:dyDescent="0.35">
      <c r="B31" s="173"/>
      <c r="C31" s="173" t="s">
        <v>118</v>
      </c>
      <c r="D31" s="174">
        <v>2034</v>
      </c>
      <c r="E31" s="176"/>
      <c r="F31" s="176"/>
      <c r="G31" s="176"/>
      <c r="H31" s="176"/>
      <c r="I31" s="176"/>
      <c r="J31" s="176"/>
      <c r="K31" s="176"/>
      <c r="L31" s="176"/>
      <c r="M31" s="176"/>
      <c r="N31" s="176"/>
      <c r="O31" s="177"/>
      <c r="P31" s="177"/>
      <c r="Q31" s="177"/>
      <c r="R31" s="177"/>
      <c r="S31" s="178"/>
    </row>
    <row r="32" spans="2:19" ht="16.5" customHeight="1" x14ac:dyDescent="0.35">
      <c r="B32" s="173"/>
      <c r="C32" s="173" t="s">
        <v>119</v>
      </c>
      <c r="D32" s="174">
        <v>2023</v>
      </c>
      <c r="E32" s="295">
        <v>0</v>
      </c>
      <c r="F32" s="295">
        <v>0</v>
      </c>
      <c r="G32" s="295">
        <v>0</v>
      </c>
      <c r="H32" s="295">
        <v>0</v>
      </c>
      <c r="I32" s="295">
        <v>0</v>
      </c>
      <c r="J32" s="295">
        <v>191.62801136849717</v>
      </c>
      <c r="K32" s="295">
        <v>8459.5288591435783</v>
      </c>
      <c r="L32" s="295">
        <v>5348.3713547746011</v>
      </c>
      <c r="M32" s="295">
        <v>8925.0312964216646</v>
      </c>
      <c r="N32" s="295">
        <v>22924.559521708339</v>
      </c>
      <c r="O32" s="295">
        <v>1.6154413752679637E-2</v>
      </c>
      <c r="P32" s="295">
        <v>1.2443224219624853</v>
      </c>
      <c r="Q32" s="295">
        <v>0.78669846850095804</v>
      </c>
      <c r="R32" s="295">
        <v>1.3127937434542529</v>
      </c>
      <c r="S32" s="295">
        <v>3.3599690476703752</v>
      </c>
    </row>
    <row r="33" spans="2:19" ht="16.5" customHeight="1" x14ac:dyDescent="0.35">
      <c r="B33" s="173"/>
      <c r="C33" s="173" t="s">
        <v>119</v>
      </c>
      <c r="D33" s="174">
        <v>2024</v>
      </c>
      <c r="E33" s="295">
        <v>0</v>
      </c>
      <c r="F33" s="295">
        <v>0</v>
      </c>
      <c r="G33" s="295">
        <v>0</v>
      </c>
      <c r="H33" s="295">
        <v>0</v>
      </c>
      <c r="I33" s="295">
        <v>0</v>
      </c>
      <c r="J33" s="295">
        <v>241.35493961931996</v>
      </c>
      <c r="K33" s="295">
        <v>12612.23174624183</v>
      </c>
      <c r="L33" s="295">
        <v>7012.8264260032283</v>
      </c>
      <c r="M33" s="295">
        <v>13999.247269009848</v>
      </c>
      <c r="N33" s="295">
        <v>33865.660380874229</v>
      </c>
      <c r="O33" s="295">
        <v>2.4246050003607095E-2</v>
      </c>
      <c r="P33" s="295">
        <v>1.8577662831092943</v>
      </c>
      <c r="Q33" s="295">
        <v>1.0329807400984976</v>
      </c>
      <c r="R33" s="295">
        <v>2.0620719701749834</v>
      </c>
      <c r="S33" s="295">
        <v>4.977065043386383</v>
      </c>
    </row>
    <row r="34" spans="2:19" ht="16.5" customHeight="1" x14ac:dyDescent="0.35">
      <c r="B34" s="173"/>
      <c r="C34" s="173" t="s">
        <v>119</v>
      </c>
      <c r="D34" s="174">
        <v>2025</v>
      </c>
      <c r="E34" s="295">
        <v>0</v>
      </c>
      <c r="F34" s="295">
        <v>0</v>
      </c>
      <c r="G34" s="295">
        <v>0</v>
      </c>
      <c r="H34" s="295">
        <v>0</v>
      </c>
      <c r="I34" s="295">
        <v>0</v>
      </c>
      <c r="J34" s="295">
        <v>294.15866911936087</v>
      </c>
      <c r="K34" s="295">
        <v>16173.486947569758</v>
      </c>
      <c r="L34" s="295">
        <v>8566.2779284705848</v>
      </c>
      <c r="M34" s="295">
        <v>18640.725001409206</v>
      </c>
      <c r="N34" s="295">
        <v>43674.648546568904</v>
      </c>
      <c r="O34" s="295">
        <v>3.5676446715243032E-2</v>
      </c>
      <c r="P34" s="295">
        <v>2.3854199082265772</v>
      </c>
      <c r="Q34" s="295">
        <v>1.263436263077834</v>
      </c>
      <c r="R34" s="295">
        <v>2.7493116769615291</v>
      </c>
      <c r="S34" s="295">
        <v>6.4338442949811832</v>
      </c>
    </row>
    <row r="35" spans="2:19" ht="16.5" customHeight="1" x14ac:dyDescent="0.35">
      <c r="B35" s="173"/>
      <c r="C35" s="173" t="s">
        <v>119</v>
      </c>
      <c r="D35" s="174">
        <v>2026</v>
      </c>
      <c r="E35" s="295">
        <v>0</v>
      </c>
      <c r="F35" s="295">
        <v>0</v>
      </c>
      <c r="G35" s="295">
        <v>0</v>
      </c>
      <c r="H35" s="295">
        <v>0</v>
      </c>
      <c r="I35" s="295">
        <v>0</v>
      </c>
      <c r="J35" s="295">
        <v>353.62727995155853</v>
      </c>
      <c r="K35" s="295">
        <v>20304.669491168162</v>
      </c>
      <c r="L35" s="295">
        <v>9439.8908742244384</v>
      </c>
      <c r="M35" s="295">
        <v>21583.426391911424</v>
      </c>
      <c r="N35" s="295">
        <v>51681.614037255582</v>
      </c>
      <c r="O35" s="295">
        <v>5.0595912124539469E-2</v>
      </c>
      <c r="P35" s="295">
        <v>2.981996419534914</v>
      </c>
      <c r="Q35" s="295">
        <v>1.3863668551700263</v>
      </c>
      <c r="R35" s="295">
        <v>3.1697979743019395</v>
      </c>
      <c r="S35" s="295">
        <v>7.5887571611314195</v>
      </c>
    </row>
    <row r="36" spans="2:19" ht="16.5" customHeight="1" x14ac:dyDescent="0.35">
      <c r="B36" s="173"/>
      <c r="C36" s="173" t="s">
        <v>119</v>
      </c>
      <c r="D36" s="174">
        <v>2027</v>
      </c>
      <c r="E36" s="295">
        <v>0</v>
      </c>
      <c r="F36" s="295">
        <v>0</v>
      </c>
      <c r="G36" s="295">
        <v>0</v>
      </c>
      <c r="H36" s="295">
        <v>0</v>
      </c>
      <c r="I36" s="295">
        <v>0</v>
      </c>
      <c r="J36" s="295">
        <v>423.09404996529133</v>
      </c>
      <c r="K36" s="295">
        <v>25622.026874022831</v>
      </c>
      <c r="L36" s="295">
        <v>13219.177238553615</v>
      </c>
      <c r="M36" s="295">
        <v>19103.537190304563</v>
      </c>
      <c r="N36" s="295">
        <v>58367.835352846298</v>
      </c>
      <c r="O36" s="295">
        <v>7.128880059608679E-2</v>
      </c>
      <c r="P36" s="295">
        <v>3.7514948960411481</v>
      </c>
      <c r="Q36" s="295">
        <v>1.935509481124472</v>
      </c>
      <c r="R36" s="295">
        <v>2.7970785690815116</v>
      </c>
      <c r="S36" s="295">
        <v>8.5553717468432176</v>
      </c>
    </row>
    <row r="37" spans="2:19" ht="16.5" customHeight="1" x14ac:dyDescent="0.35">
      <c r="B37" s="173"/>
      <c r="C37" s="173" t="s">
        <v>119</v>
      </c>
      <c r="D37" s="174">
        <v>2028</v>
      </c>
      <c r="E37" s="295">
        <v>0</v>
      </c>
      <c r="F37" s="295">
        <v>0</v>
      </c>
      <c r="G37" s="295">
        <v>0</v>
      </c>
      <c r="H37" s="295">
        <v>0</v>
      </c>
      <c r="I37" s="295">
        <v>0</v>
      </c>
      <c r="J37" s="295">
        <v>512.26637164434635</v>
      </c>
      <c r="K37" s="295">
        <v>21758.940780127716</v>
      </c>
      <c r="L37" s="295">
        <v>15164.215183238693</v>
      </c>
      <c r="M37" s="295">
        <v>21991.596486265309</v>
      </c>
      <c r="N37" s="295">
        <v>59427.01882127607</v>
      </c>
      <c r="O37" s="295">
        <v>9.9751647417942943E-2</v>
      </c>
      <c r="P37" s="295">
        <v>3.2091561778429765</v>
      </c>
      <c r="Q37" s="295">
        <v>2.2365213145795915</v>
      </c>
      <c r="R37" s="295">
        <v>3.2434698194952287</v>
      </c>
      <c r="S37" s="295">
        <v>8.7888989593357394</v>
      </c>
    </row>
    <row r="38" spans="2:19" ht="16.5" customHeight="1" x14ac:dyDescent="0.35">
      <c r="B38" s="173"/>
      <c r="C38" s="173" t="s">
        <v>119</v>
      </c>
      <c r="D38" s="174">
        <v>2029</v>
      </c>
      <c r="E38" s="295">
        <v>0</v>
      </c>
      <c r="F38" s="295">
        <v>0</v>
      </c>
      <c r="G38" s="295">
        <v>0</v>
      </c>
      <c r="H38" s="295">
        <v>0</v>
      </c>
      <c r="I38" s="295">
        <v>0</v>
      </c>
      <c r="J38" s="295">
        <v>625.55678077777179</v>
      </c>
      <c r="K38" s="295">
        <v>20360.203053309153</v>
      </c>
      <c r="L38" s="295">
        <v>17276.636429654329</v>
      </c>
      <c r="M38" s="295">
        <v>22123.57131347599</v>
      </c>
      <c r="N38" s="295">
        <v>60385.967577217241</v>
      </c>
      <c r="O38" s="295">
        <v>0.13766797306040751</v>
      </c>
      <c r="P38" s="295">
        <v>3.0069615239134801</v>
      </c>
      <c r="Q38" s="295">
        <v>2.5515551524997702</v>
      </c>
      <c r="R38" s="295">
        <v>3.2673901894296691</v>
      </c>
      <c r="S38" s="295">
        <v>8.9635748389033267</v>
      </c>
    </row>
    <row r="39" spans="2:19" ht="16.5" customHeight="1" x14ac:dyDescent="0.35">
      <c r="B39" s="173"/>
      <c r="C39" s="173" t="s">
        <v>119</v>
      </c>
      <c r="D39" s="174">
        <v>2030</v>
      </c>
      <c r="E39" s="295">
        <v>0</v>
      </c>
      <c r="F39" s="295">
        <v>0</v>
      </c>
      <c r="G39" s="295">
        <v>0</v>
      </c>
      <c r="H39" s="295">
        <v>0</v>
      </c>
      <c r="I39" s="295">
        <v>0</v>
      </c>
      <c r="J39" s="295">
        <v>769.40285056231437</v>
      </c>
      <c r="K39" s="295">
        <v>20470.88199678473</v>
      </c>
      <c r="L39" s="295">
        <v>15803.897190426671</v>
      </c>
      <c r="M39" s="295">
        <v>25556.145124278548</v>
      </c>
      <c r="N39" s="295">
        <v>62600.327162052265</v>
      </c>
      <c r="O39" s="295">
        <v>0.18679137838252655</v>
      </c>
      <c r="P39" s="295">
        <v>3.0244243312324537</v>
      </c>
      <c r="Q39" s="295">
        <v>2.3349111776683587</v>
      </c>
      <c r="R39" s="295">
        <v>3.7757350727983132</v>
      </c>
      <c r="S39" s="295">
        <v>9.3218619600816517</v>
      </c>
    </row>
    <row r="40" spans="2:19" ht="16.5" customHeight="1" x14ac:dyDescent="0.35">
      <c r="B40" s="173"/>
      <c r="C40" s="173" t="s">
        <v>119</v>
      </c>
      <c r="D40" s="174">
        <v>2031</v>
      </c>
      <c r="E40" s="295">
        <v>0</v>
      </c>
      <c r="F40" s="295">
        <v>0</v>
      </c>
      <c r="G40" s="295">
        <v>0</v>
      </c>
      <c r="H40" s="295">
        <v>0</v>
      </c>
      <c r="I40" s="295">
        <v>0</v>
      </c>
      <c r="J40" s="295">
        <v>948.2986593073457</v>
      </c>
      <c r="K40" s="295">
        <v>20071.134414610126</v>
      </c>
      <c r="L40" s="295">
        <v>18122.26818425996</v>
      </c>
      <c r="M40" s="295">
        <v>25950.481709504864</v>
      </c>
      <c r="N40" s="295">
        <v>65092.182967682296</v>
      </c>
      <c r="O40" s="295">
        <v>0.24840947307771069</v>
      </c>
      <c r="P40" s="295">
        <v>2.9554563860051868</v>
      </c>
      <c r="Q40" s="295">
        <v>2.6684875965497383</v>
      </c>
      <c r="R40" s="295">
        <v>3.8211849566628855</v>
      </c>
      <c r="S40" s="295">
        <v>9.6935384122955224</v>
      </c>
    </row>
    <row r="41" spans="2:19" ht="16.5" customHeight="1" x14ac:dyDescent="0.35">
      <c r="B41" s="173"/>
      <c r="C41" s="173" t="s">
        <v>119</v>
      </c>
      <c r="D41" s="174">
        <v>2032</v>
      </c>
      <c r="E41" s="295">
        <v>0</v>
      </c>
      <c r="F41" s="295">
        <v>0</v>
      </c>
      <c r="G41" s="295">
        <v>0</v>
      </c>
      <c r="H41" s="295">
        <v>0</v>
      </c>
      <c r="I41" s="295">
        <v>0</v>
      </c>
      <c r="J41" s="295">
        <v>0</v>
      </c>
      <c r="K41" s="295">
        <v>0</v>
      </c>
      <c r="L41" s="295">
        <v>0</v>
      </c>
      <c r="M41" s="295">
        <v>0</v>
      </c>
      <c r="N41" s="295">
        <v>0</v>
      </c>
      <c r="O41" s="295">
        <v>0</v>
      </c>
      <c r="P41" s="295">
        <v>0</v>
      </c>
      <c r="Q41" s="295">
        <v>0</v>
      </c>
      <c r="R41" s="295">
        <v>0</v>
      </c>
      <c r="S41" s="295">
        <v>0</v>
      </c>
    </row>
    <row r="42" spans="2:19" ht="16.5" customHeight="1" x14ac:dyDescent="0.35">
      <c r="B42" s="173"/>
      <c r="C42" s="173" t="s">
        <v>119</v>
      </c>
      <c r="D42" s="174">
        <v>2033</v>
      </c>
      <c r="E42" s="295">
        <v>0</v>
      </c>
      <c r="F42" s="295">
        <v>0</v>
      </c>
      <c r="G42" s="295">
        <v>0</v>
      </c>
      <c r="H42" s="295">
        <v>0</v>
      </c>
      <c r="I42" s="295">
        <v>0</v>
      </c>
      <c r="J42" s="295">
        <v>0</v>
      </c>
      <c r="K42" s="295">
        <v>0</v>
      </c>
      <c r="L42" s="295">
        <v>0</v>
      </c>
      <c r="M42" s="295">
        <v>0</v>
      </c>
      <c r="N42" s="295">
        <v>0</v>
      </c>
      <c r="O42" s="295">
        <v>0</v>
      </c>
      <c r="P42" s="295">
        <v>0</v>
      </c>
      <c r="Q42" s="295">
        <v>0</v>
      </c>
      <c r="R42" s="295">
        <v>0</v>
      </c>
      <c r="S42" s="295">
        <v>0</v>
      </c>
    </row>
    <row r="43" spans="2:19" ht="16.5" customHeight="1" x14ac:dyDescent="0.35">
      <c r="B43" s="173"/>
      <c r="C43" s="173" t="s">
        <v>119</v>
      </c>
      <c r="D43" s="174">
        <v>2034</v>
      </c>
      <c r="E43" s="295">
        <v>0</v>
      </c>
      <c r="F43" s="295">
        <v>0</v>
      </c>
      <c r="G43" s="295">
        <v>0</v>
      </c>
      <c r="H43" s="295">
        <v>0</v>
      </c>
      <c r="I43" s="295">
        <v>0</v>
      </c>
      <c r="J43" s="295">
        <v>0</v>
      </c>
      <c r="K43" s="295">
        <v>0</v>
      </c>
      <c r="L43" s="295">
        <v>0</v>
      </c>
      <c r="M43" s="295">
        <v>0</v>
      </c>
      <c r="N43" s="295">
        <v>0</v>
      </c>
      <c r="O43" s="295">
        <v>0</v>
      </c>
      <c r="P43" s="295">
        <v>0</v>
      </c>
      <c r="Q43" s="295">
        <v>0</v>
      </c>
      <c r="R43" s="295">
        <v>0</v>
      </c>
      <c r="S43" s="295">
        <v>0</v>
      </c>
    </row>
    <row r="44" spans="2:19" ht="16.5" customHeight="1" x14ac:dyDescent="0.35">
      <c r="B44" s="173"/>
      <c r="C44" s="173" t="s">
        <v>120</v>
      </c>
      <c r="D44" s="174">
        <v>2023</v>
      </c>
      <c r="E44" s="175"/>
      <c r="F44" s="175"/>
      <c r="G44" s="175"/>
      <c r="H44" s="175"/>
      <c r="I44" s="175"/>
      <c r="J44" s="176"/>
      <c r="K44" s="176"/>
      <c r="L44" s="176"/>
      <c r="M44" s="176"/>
      <c r="N44" s="176"/>
      <c r="O44" s="177"/>
      <c r="P44" s="177"/>
      <c r="Q44" s="177"/>
      <c r="R44" s="177"/>
      <c r="S44" s="178"/>
    </row>
    <row r="45" spans="2:19" ht="16.5" customHeight="1" x14ac:dyDescent="0.35">
      <c r="B45" s="173"/>
      <c r="C45" s="173" t="s">
        <v>120</v>
      </c>
      <c r="D45" s="174">
        <v>2024</v>
      </c>
      <c r="E45" s="175"/>
      <c r="F45" s="175"/>
      <c r="G45" s="175"/>
      <c r="H45" s="175"/>
      <c r="I45" s="175"/>
      <c r="J45" s="176"/>
      <c r="K45" s="176"/>
      <c r="L45" s="176"/>
      <c r="M45" s="176"/>
      <c r="N45" s="176"/>
      <c r="O45" s="177"/>
      <c r="P45" s="177"/>
      <c r="Q45" s="177"/>
      <c r="R45" s="177"/>
      <c r="S45" s="178"/>
    </row>
    <row r="46" spans="2:19" ht="16.5" customHeight="1" x14ac:dyDescent="0.35">
      <c r="B46" s="173"/>
      <c r="C46" s="173" t="s">
        <v>120</v>
      </c>
      <c r="D46" s="174">
        <v>2025</v>
      </c>
      <c r="E46" s="175"/>
      <c r="F46" s="175"/>
      <c r="G46" s="175"/>
      <c r="H46" s="175"/>
      <c r="I46" s="175"/>
      <c r="J46" s="176"/>
      <c r="K46" s="176"/>
      <c r="L46" s="176"/>
      <c r="M46" s="176"/>
      <c r="N46" s="176"/>
      <c r="O46" s="177"/>
      <c r="P46" s="177"/>
      <c r="Q46" s="177"/>
      <c r="R46" s="177"/>
      <c r="S46" s="178"/>
    </row>
    <row r="47" spans="2:19" ht="16.5" customHeight="1" x14ac:dyDescent="0.35">
      <c r="B47" s="173"/>
      <c r="C47" s="173" t="s">
        <v>120</v>
      </c>
      <c r="D47" s="174">
        <v>2026</v>
      </c>
      <c r="E47" s="175"/>
      <c r="F47" s="175"/>
      <c r="G47" s="175"/>
      <c r="H47" s="175"/>
      <c r="I47" s="175"/>
      <c r="J47" s="176"/>
      <c r="K47" s="176"/>
      <c r="L47" s="176"/>
      <c r="M47" s="176"/>
      <c r="N47" s="176"/>
      <c r="O47" s="177"/>
      <c r="P47" s="177"/>
      <c r="Q47" s="177"/>
      <c r="R47" s="177"/>
      <c r="S47" s="178"/>
    </row>
    <row r="48" spans="2:19" ht="16.5" customHeight="1" x14ac:dyDescent="0.35">
      <c r="B48" s="173"/>
      <c r="C48" s="173" t="s">
        <v>120</v>
      </c>
      <c r="D48" s="174">
        <v>2027</v>
      </c>
      <c r="E48" s="175"/>
      <c r="F48" s="175"/>
      <c r="G48" s="175"/>
      <c r="H48" s="175"/>
      <c r="I48" s="175"/>
      <c r="J48" s="176"/>
      <c r="K48" s="176"/>
      <c r="L48" s="176"/>
      <c r="M48" s="176"/>
      <c r="N48" s="176"/>
      <c r="O48" s="177"/>
      <c r="P48" s="177"/>
      <c r="Q48" s="177"/>
      <c r="R48" s="177"/>
      <c r="S48" s="178"/>
    </row>
    <row r="49" spans="2:19" ht="16.5" customHeight="1" x14ac:dyDescent="0.35">
      <c r="B49" s="173"/>
      <c r="C49" s="173" t="s">
        <v>120</v>
      </c>
      <c r="D49" s="174">
        <v>2028</v>
      </c>
      <c r="E49" s="176"/>
      <c r="F49" s="176"/>
      <c r="G49" s="176"/>
      <c r="H49" s="176"/>
      <c r="I49" s="176"/>
      <c r="J49" s="176"/>
      <c r="K49" s="176"/>
      <c r="L49" s="176"/>
      <c r="M49" s="176"/>
      <c r="N49" s="176"/>
      <c r="O49" s="177"/>
      <c r="P49" s="177"/>
      <c r="Q49" s="177"/>
      <c r="R49" s="177"/>
      <c r="S49" s="178"/>
    </row>
    <row r="50" spans="2:19" ht="16.5" customHeight="1" x14ac:dyDescent="0.35">
      <c r="B50" s="173"/>
      <c r="C50" s="173" t="s">
        <v>120</v>
      </c>
      <c r="D50" s="174">
        <v>2029</v>
      </c>
      <c r="E50" s="176"/>
      <c r="F50" s="176"/>
      <c r="G50" s="176"/>
      <c r="H50" s="176"/>
      <c r="I50" s="176"/>
      <c r="J50" s="176"/>
      <c r="K50" s="176"/>
      <c r="L50" s="176"/>
      <c r="M50" s="176"/>
      <c r="N50" s="176"/>
      <c r="O50" s="177"/>
      <c r="P50" s="177"/>
      <c r="Q50" s="177"/>
      <c r="R50" s="177"/>
      <c r="S50" s="178"/>
    </row>
    <row r="51" spans="2:19" ht="16.5" customHeight="1" x14ac:dyDescent="0.35">
      <c r="B51" s="173"/>
      <c r="C51" s="173" t="s">
        <v>120</v>
      </c>
      <c r="D51" s="174">
        <v>2030</v>
      </c>
      <c r="E51" s="176"/>
      <c r="F51" s="176"/>
      <c r="G51" s="176"/>
      <c r="H51" s="176"/>
      <c r="I51" s="176"/>
      <c r="J51" s="176"/>
      <c r="K51" s="176"/>
      <c r="L51" s="176"/>
      <c r="M51" s="176"/>
      <c r="N51" s="176"/>
      <c r="O51" s="177"/>
      <c r="P51" s="177"/>
      <c r="Q51" s="177"/>
      <c r="R51" s="177"/>
      <c r="S51" s="178"/>
    </row>
    <row r="52" spans="2:19" ht="16.5" customHeight="1" x14ac:dyDescent="0.35">
      <c r="B52" s="173"/>
      <c r="C52" s="173" t="s">
        <v>120</v>
      </c>
      <c r="D52" s="174">
        <v>2031</v>
      </c>
      <c r="E52" s="176"/>
      <c r="F52" s="176"/>
      <c r="G52" s="176"/>
      <c r="H52" s="176"/>
      <c r="I52" s="176"/>
      <c r="J52" s="176"/>
      <c r="K52" s="176"/>
      <c r="L52" s="176"/>
      <c r="M52" s="176"/>
      <c r="N52" s="176"/>
      <c r="O52" s="177"/>
      <c r="P52" s="177"/>
      <c r="Q52" s="177"/>
      <c r="R52" s="177"/>
      <c r="S52" s="178"/>
    </row>
    <row r="53" spans="2:19" ht="16.5" customHeight="1" x14ac:dyDescent="0.35">
      <c r="B53" s="173"/>
      <c r="C53" s="173" t="s">
        <v>120</v>
      </c>
      <c r="D53" s="174">
        <v>2032</v>
      </c>
      <c r="E53" s="176"/>
      <c r="F53" s="176"/>
      <c r="G53" s="176"/>
      <c r="H53" s="176"/>
      <c r="I53" s="176"/>
      <c r="J53" s="176"/>
      <c r="K53" s="176"/>
      <c r="L53" s="176"/>
      <c r="M53" s="176"/>
      <c r="N53" s="176"/>
      <c r="O53" s="177"/>
      <c r="P53" s="177"/>
      <c r="Q53" s="177"/>
      <c r="R53" s="177"/>
      <c r="S53" s="178"/>
    </row>
    <row r="54" spans="2:19" ht="16.5" customHeight="1" x14ac:dyDescent="0.35">
      <c r="B54" s="173"/>
      <c r="C54" s="173" t="s">
        <v>120</v>
      </c>
      <c r="D54" s="174">
        <v>2033</v>
      </c>
      <c r="E54" s="176"/>
      <c r="F54" s="176"/>
      <c r="G54" s="176"/>
      <c r="H54" s="176"/>
      <c r="I54" s="176"/>
      <c r="J54" s="176"/>
      <c r="K54" s="176"/>
      <c r="L54" s="176"/>
      <c r="M54" s="176"/>
      <c r="N54" s="176"/>
      <c r="O54" s="177"/>
      <c r="P54" s="177"/>
      <c r="Q54" s="177"/>
      <c r="R54" s="177"/>
      <c r="S54" s="178"/>
    </row>
    <row r="55" spans="2:19" ht="16.5" customHeight="1" x14ac:dyDescent="0.35">
      <c r="B55" s="173"/>
      <c r="C55" s="173" t="s">
        <v>120</v>
      </c>
      <c r="D55" s="174">
        <v>2034</v>
      </c>
      <c r="E55" s="176"/>
      <c r="F55" s="176"/>
      <c r="G55" s="176"/>
      <c r="H55" s="176"/>
      <c r="I55" s="176"/>
      <c r="J55" s="176"/>
      <c r="K55" s="176"/>
      <c r="L55" s="176"/>
      <c r="M55" s="176"/>
      <c r="N55" s="176"/>
      <c r="O55" s="177"/>
      <c r="P55" s="177"/>
      <c r="Q55" s="177"/>
      <c r="R55" s="177"/>
      <c r="S55" s="178"/>
    </row>
    <row r="56" spans="2:19" ht="16.5" customHeight="1" x14ac:dyDescent="0.35">
      <c r="B56" s="173"/>
      <c r="C56" s="173" t="s">
        <v>121</v>
      </c>
      <c r="D56" s="174">
        <v>2023</v>
      </c>
      <c r="E56" s="175"/>
      <c r="F56" s="175"/>
      <c r="G56" s="175"/>
      <c r="H56" s="175"/>
      <c r="I56" s="175"/>
      <c r="J56" s="176"/>
      <c r="K56" s="176"/>
      <c r="L56" s="176"/>
      <c r="M56" s="176"/>
      <c r="N56" s="176"/>
      <c r="O56" s="177"/>
      <c r="P56" s="177"/>
      <c r="Q56" s="177"/>
      <c r="R56" s="177"/>
      <c r="S56" s="178"/>
    </row>
    <row r="57" spans="2:19" ht="16.5" customHeight="1" x14ac:dyDescent="0.35">
      <c r="B57" s="173"/>
      <c r="C57" s="173" t="s">
        <v>121</v>
      </c>
      <c r="D57" s="174">
        <v>2024</v>
      </c>
      <c r="E57" s="175"/>
      <c r="F57" s="175"/>
      <c r="G57" s="175"/>
      <c r="H57" s="175"/>
      <c r="I57" s="175"/>
      <c r="J57" s="176"/>
      <c r="K57" s="176"/>
      <c r="L57" s="176"/>
      <c r="M57" s="176"/>
      <c r="N57" s="176"/>
      <c r="O57" s="177"/>
      <c r="P57" s="177"/>
      <c r="Q57" s="177"/>
      <c r="R57" s="177"/>
      <c r="S57" s="178"/>
    </row>
    <row r="58" spans="2:19" ht="16.5" customHeight="1" x14ac:dyDescent="0.35">
      <c r="B58" s="173"/>
      <c r="C58" s="173" t="s">
        <v>121</v>
      </c>
      <c r="D58" s="174">
        <v>2025</v>
      </c>
      <c r="E58" s="175"/>
      <c r="F58" s="175"/>
      <c r="G58" s="175"/>
      <c r="H58" s="175"/>
      <c r="I58" s="175"/>
      <c r="J58" s="176"/>
      <c r="K58" s="176"/>
      <c r="L58" s="176"/>
      <c r="M58" s="176"/>
      <c r="N58" s="176"/>
      <c r="O58" s="177"/>
      <c r="P58" s="177"/>
      <c r="Q58" s="177"/>
      <c r="R58" s="177"/>
      <c r="S58" s="178"/>
    </row>
    <row r="59" spans="2:19" ht="16.5" customHeight="1" x14ac:dyDescent="0.35">
      <c r="B59" s="173"/>
      <c r="C59" s="173" t="s">
        <v>121</v>
      </c>
      <c r="D59" s="174">
        <v>2026</v>
      </c>
      <c r="E59" s="175"/>
      <c r="F59" s="175"/>
      <c r="G59" s="175"/>
      <c r="H59" s="175"/>
      <c r="I59" s="175"/>
      <c r="J59" s="176"/>
      <c r="K59" s="176"/>
      <c r="L59" s="176"/>
      <c r="M59" s="176"/>
      <c r="N59" s="176"/>
      <c r="O59" s="177"/>
      <c r="P59" s="177"/>
      <c r="Q59" s="177"/>
      <c r="R59" s="177"/>
      <c r="S59" s="178"/>
    </row>
    <row r="60" spans="2:19" ht="16.5" customHeight="1" x14ac:dyDescent="0.35">
      <c r="B60" s="173"/>
      <c r="C60" s="173" t="s">
        <v>121</v>
      </c>
      <c r="D60" s="174">
        <v>2027</v>
      </c>
      <c r="E60" s="175"/>
      <c r="F60" s="175"/>
      <c r="G60" s="175"/>
      <c r="H60" s="175"/>
      <c r="I60" s="175"/>
      <c r="J60" s="176"/>
      <c r="K60" s="176"/>
      <c r="L60" s="176"/>
      <c r="M60" s="176"/>
      <c r="N60" s="176"/>
      <c r="O60" s="177"/>
      <c r="P60" s="177"/>
      <c r="Q60" s="177"/>
      <c r="R60" s="177"/>
      <c r="S60" s="178"/>
    </row>
    <row r="61" spans="2:19" ht="16.5" customHeight="1" x14ac:dyDescent="0.35">
      <c r="B61" s="173"/>
      <c r="C61" s="173" t="s">
        <v>121</v>
      </c>
      <c r="D61" s="174">
        <v>2028</v>
      </c>
      <c r="E61" s="176"/>
      <c r="F61" s="176"/>
      <c r="G61" s="176"/>
      <c r="H61" s="176"/>
      <c r="I61" s="176"/>
      <c r="J61" s="176"/>
      <c r="K61" s="176"/>
      <c r="L61" s="176"/>
      <c r="M61" s="176"/>
      <c r="N61" s="176"/>
      <c r="O61" s="177"/>
      <c r="P61" s="177"/>
      <c r="Q61" s="177"/>
      <c r="R61" s="177"/>
      <c r="S61" s="178"/>
    </row>
    <row r="62" spans="2:19" ht="16.5" customHeight="1" x14ac:dyDescent="0.35">
      <c r="B62" s="173"/>
      <c r="C62" s="173" t="s">
        <v>121</v>
      </c>
      <c r="D62" s="174">
        <v>2029</v>
      </c>
      <c r="E62" s="176"/>
      <c r="F62" s="176"/>
      <c r="G62" s="176"/>
      <c r="H62" s="176"/>
      <c r="I62" s="176"/>
      <c r="J62" s="176"/>
      <c r="K62" s="176"/>
      <c r="L62" s="176"/>
      <c r="M62" s="176"/>
      <c r="N62" s="176"/>
      <c r="O62" s="177"/>
      <c r="P62" s="177"/>
      <c r="Q62" s="177"/>
      <c r="R62" s="177"/>
      <c r="S62" s="178"/>
    </row>
    <row r="63" spans="2:19" ht="16.5" customHeight="1" x14ac:dyDescent="0.35">
      <c r="B63" s="173"/>
      <c r="C63" s="173" t="s">
        <v>121</v>
      </c>
      <c r="D63" s="174">
        <v>2030</v>
      </c>
      <c r="E63" s="176"/>
      <c r="F63" s="176"/>
      <c r="G63" s="176"/>
      <c r="H63" s="176"/>
      <c r="I63" s="176"/>
      <c r="J63" s="176"/>
      <c r="K63" s="176"/>
      <c r="L63" s="176"/>
      <c r="M63" s="176"/>
      <c r="N63" s="176"/>
      <c r="O63" s="177"/>
      <c r="P63" s="177"/>
      <c r="Q63" s="177"/>
      <c r="R63" s="177"/>
      <c r="S63" s="178"/>
    </row>
    <row r="64" spans="2:19" ht="16.5" customHeight="1" x14ac:dyDescent="0.35">
      <c r="B64" s="173"/>
      <c r="C64" s="173" t="s">
        <v>121</v>
      </c>
      <c r="D64" s="174">
        <v>2031</v>
      </c>
      <c r="E64" s="176"/>
      <c r="F64" s="176"/>
      <c r="G64" s="176"/>
      <c r="H64" s="176"/>
      <c r="I64" s="176"/>
      <c r="J64" s="176"/>
      <c r="K64" s="176"/>
      <c r="L64" s="176"/>
      <c r="M64" s="176"/>
      <c r="N64" s="176"/>
      <c r="O64" s="177"/>
      <c r="P64" s="177"/>
      <c r="Q64" s="177"/>
      <c r="R64" s="177"/>
      <c r="S64" s="178"/>
    </row>
    <row r="65" spans="2:19" ht="16.5" customHeight="1" x14ac:dyDescent="0.35">
      <c r="B65" s="173"/>
      <c r="C65" s="173" t="s">
        <v>121</v>
      </c>
      <c r="D65" s="174">
        <v>2032</v>
      </c>
      <c r="E65" s="176"/>
      <c r="F65" s="176"/>
      <c r="G65" s="176"/>
      <c r="H65" s="176"/>
      <c r="I65" s="176"/>
      <c r="J65" s="176"/>
      <c r="K65" s="176"/>
      <c r="L65" s="176"/>
      <c r="M65" s="176"/>
      <c r="N65" s="176"/>
      <c r="O65" s="177"/>
      <c r="P65" s="177"/>
      <c r="Q65" s="177"/>
      <c r="R65" s="177"/>
      <c r="S65" s="178"/>
    </row>
    <row r="66" spans="2:19" ht="16.5" customHeight="1" x14ac:dyDescent="0.35">
      <c r="B66" s="173"/>
      <c r="C66" s="173" t="s">
        <v>121</v>
      </c>
      <c r="D66" s="174">
        <v>2033</v>
      </c>
      <c r="E66" s="176"/>
      <c r="F66" s="176"/>
      <c r="G66" s="176"/>
      <c r="H66" s="176"/>
      <c r="I66" s="176"/>
      <c r="J66" s="176"/>
      <c r="K66" s="176"/>
      <c r="L66" s="176"/>
      <c r="M66" s="176"/>
      <c r="N66" s="176"/>
      <c r="O66" s="177"/>
      <c r="P66" s="177"/>
      <c r="Q66" s="177"/>
      <c r="R66" s="177"/>
      <c r="S66" s="178"/>
    </row>
    <row r="67" spans="2:19" ht="16.5" customHeight="1" x14ac:dyDescent="0.35">
      <c r="B67" s="173"/>
      <c r="C67" s="173" t="s">
        <v>121</v>
      </c>
      <c r="D67" s="174">
        <v>2034</v>
      </c>
      <c r="E67" s="176"/>
      <c r="F67" s="176"/>
      <c r="G67" s="176"/>
      <c r="H67" s="176"/>
      <c r="I67" s="176"/>
      <c r="J67" s="176"/>
      <c r="K67" s="176"/>
      <c r="L67" s="176"/>
      <c r="M67" s="176"/>
      <c r="N67" s="176"/>
      <c r="O67" s="177"/>
      <c r="P67" s="177"/>
      <c r="Q67" s="177"/>
      <c r="R67" s="177"/>
      <c r="S67" s="178"/>
    </row>
    <row r="68" spans="2:19" ht="16.5" customHeight="1" x14ac:dyDescent="0.35">
      <c r="B68" s="173"/>
      <c r="C68" s="173" t="s">
        <v>122</v>
      </c>
      <c r="D68" s="174">
        <v>2023</v>
      </c>
      <c r="E68" s="175"/>
      <c r="F68" s="175"/>
      <c r="G68" s="175"/>
      <c r="H68" s="175"/>
      <c r="I68" s="175"/>
      <c r="J68" s="176"/>
      <c r="K68" s="176"/>
      <c r="L68" s="176"/>
      <c r="M68" s="176"/>
      <c r="N68" s="176"/>
      <c r="O68" s="177"/>
      <c r="P68" s="177"/>
      <c r="Q68" s="177"/>
      <c r="R68" s="177"/>
      <c r="S68" s="178"/>
    </row>
    <row r="69" spans="2:19" ht="16.5" customHeight="1" x14ac:dyDescent="0.35">
      <c r="B69" s="173"/>
      <c r="C69" s="173" t="s">
        <v>122</v>
      </c>
      <c r="D69" s="174">
        <v>2024</v>
      </c>
      <c r="E69" s="175"/>
      <c r="F69" s="175"/>
      <c r="G69" s="175"/>
      <c r="H69" s="175"/>
      <c r="I69" s="175"/>
      <c r="J69" s="176"/>
      <c r="K69" s="176"/>
      <c r="L69" s="176"/>
      <c r="M69" s="176"/>
      <c r="N69" s="176"/>
      <c r="O69" s="177"/>
      <c r="P69" s="177"/>
      <c r="Q69" s="177"/>
      <c r="R69" s="177"/>
      <c r="S69" s="178"/>
    </row>
    <row r="70" spans="2:19" ht="16.5" customHeight="1" x14ac:dyDescent="0.35">
      <c r="B70" s="173"/>
      <c r="C70" s="173" t="s">
        <v>122</v>
      </c>
      <c r="D70" s="174">
        <v>2025</v>
      </c>
      <c r="E70" s="175"/>
      <c r="F70" s="175"/>
      <c r="G70" s="175"/>
      <c r="H70" s="175"/>
      <c r="I70" s="175"/>
      <c r="J70" s="176"/>
      <c r="K70" s="176"/>
      <c r="L70" s="176"/>
      <c r="M70" s="176"/>
      <c r="N70" s="176"/>
      <c r="O70" s="177"/>
      <c r="P70" s="177"/>
      <c r="Q70" s="177"/>
      <c r="R70" s="177"/>
      <c r="S70" s="178"/>
    </row>
    <row r="71" spans="2:19" ht="16.5" customHeight="1" x14ac:dyDescent="0.35">
      <c r="B71" s="173"/>
      <c r="C71" s="173" t="s">
        <v>122</v>
      </c>
      <c r="D71" s="174">
        <v>2026</v>
      </c>
      <c r="E71" s="175"/>
      <c r="F71" s="175"/>
      <c r="G71" s="175"/>
      <c r="H71" s="175"/>
      <c r="I71" s="175"/>
      <c r="J71" s="176"/>
      <c r="K71" s="176"/>
      <c r="L71" s="176"/>
      <c r="M71" s="176"/>
      <c r="N71" s="176"/>
      <c r="O71" s="177"/>
      <c r="P71" s="177"/>
      <c r="Q71" s="177"/>
      <c r="R71" s="177"/>
      <c r="S71" s="178"/>
    </row>
    <row r="72" spans="2:19" ht="16.5" customHeight="1" x14ac:dyDescent="0.35">
      <c r="B72" s="173"/>
      <c r="C72" s="173" t="s">
        <v>122</v>
      </c>
      <c r="D72" s="174">
        <v>2027</v>
      </c>
      <c r="E72" s="175"/>
      <c r="F72" s="175"/>
      <c r="G72" s="175"/>
      <c r="H72" s="175"/>
      <c r="I72" s="175"/>
      <c r="J72" s="176"/>
      <c r="K72" s="176"/>
      <c r="L72" s="176"/>
      <c r="M72" s="176"/>
      <c r="N72" s="176"/>
      <c r="O72" s="177"/>
      <c r="P72" s="177"/>
      <c r="Q72" s="177"/>
      <c r="R72" s="177"/>
      <c r="S72" s="178"/>
    </row>
    <row r="73" spans="2:19" ht="16.5" customHeight="1" x14ac:dyDescent="0.35">
      <c r="B73" s="173"/>
      <c r="C73" s="173" t="s">
        <v>122</v>
      </c>
      <c r="D73" s="174">
        <v>2028</v>
      </c>
      <c r="E73" s="176"/>
      <c r="F73" s="176"/>
      <c r="G73" s="176"/>
      <c r="H73" s="176"/>
      <c r="I73" s="176"/>
      <c r="J73" s="176"/>
      <c r="K73" s="176"/>
      <c r="L73" s="176"/>
      <c r="M73" s="176"/>
      <c r="N73" s="176"/>
      <c r="O73" s="177"/>
      <c r="P73" s="177"/>
      <c r="Q73" s="177"/>
      <c r="R73" s="177"/>
      <c r="S73" s="178"/>
    </row>
    <row r="74" spans="2:19" ht="16.5" customHeight="1" x14ac:dyDescent="0.35">
      <c r="B74" s="173"/>
      <c r="C74" s="173" t="s">
        <v>122</v>
      </c>
      <c r="D74" s="174">
        <v>2029</v>
      </c>
      <c r="E74" s="176"/>
      <c r="F74" s="176"/>
      <c r="G74" s="176"/>
      <c r="H74" s="176"/>
      <c r="I74" s="176"/>
      <c r="J74" s="176"/>
      <c r="K74" s="176"/>
      <c r="L74" s="176"/>
      <c r="M74" s="176"/>
      <c r="N74" s="176"/>
      <c r="O74" s="177"/>
      <c r="P74" s="177"/>
      <c r="Q74" s="177"/>
      <c r="R74" s="177"/>
      <c r="S74" s="178"/>
    </row>
    <row r="75" spans="2:19" ht="16.5" customHeight="1" x14ac:dyDescent="0.35">
      <c r="B75" s="173"/>
      <c r="C75" s="173" t="s">
        <v>122</v>
      </c>
      <c r="D75" s="174">
        <v>2030</v>
      </c>
      <c r="E75" s="176"/>
      <c r="F75" s="176"/>
      <c r="G75" s="176"/>
      <c r="H75" s="176"/>
      <c r="I75" s="176"/>
      <c r="J75" s="176"/>
      <c r="K75" s="176"/>
      <c r="L75" s="176"/>
      <c r="M75" s="176"/>
      <c r="N75" s="176"/>
      <c r="O75" s="177"/>
      <c r="P75" s="177"/>
      <c r="Q75" s="177"/>
      <c r="R75" s="177"/>
      <c r="S75" s="178"/>
    </row>
    <row r="76" spans="2:19" ht="16.5" customHeight="1" x14ac:dyDescent="0.35">
      <c r="B76" s="173"/>
      <c r="C76" s="173" t="s">
        <v>122</v>
      </c>
      <c r="D76" s="174">
        <v>2031</v>
      </c>
      <c r="E76" s="176"/>
      <c r="F76" s="176"/>
      <c r="G76" s="176"/>
      <c r="H76" s="176"/>
      <c r="I76" s="176"/>
      <c r="J76" s="176"/>
      <c r="K76" s="176"/>
      <c r="L76" s="176"/>
      <c r="M76" s="176"/>
      <c r="N76" s="176"/>
      <c r="O76" s="177"/>
      <c r="P76" s="177"/>
      <c r="Q76" s="177"/>
      <c r="R76" s="177"/>
      <c r="S76" s="178"/>
    </row>
    <row r="77" spans="2:19" ht="16.5" customHeight="1" x14ac:dyDescent="0.35">
      <c r="B77" s="173"/>
      <c r="C77" s="173" t="s">
        <v>122</v>
      </c>
      <c r="D77" s="174">
        <v>2032</v>
      </c>
      <c r="E77" s="176"/>
      <c r="F77" s="176"/>
      <c r="G77" s="176"/>
      <c r="H77" s="176"/>
      <c r="I77" s="176"/>
      <c r="J77" s="176"/>
      <c r="K77" s="176"/>
      <c r="L77" s="176"/>
      <c r="M77" s="176"/>
      <c r="N77" s="176"/>
      <c r="O77" s="177"/>
      <c r="P77" s="177"/>
      <c r="Q77" s="177"/>
      <c r="R77" s="177"/>
      <c r="S77" s="178"/>
    </row>
    <row r="78" spans="2:19" ht="16.5" customHeight="1" x14ac:dyDescent="0.35">
      <c r="B78" s="173"/>
      <c r="C78" s="173" t="s">
        <v>122</v>
      </c>
      <c r="D78" s="174">
        <v>2033</v>
      </c>
      <c r="E78" s="176"/>
      <c r="F78" s="176"/>
      <c r="G78" s="176"/>
      <c r="H78" s="176"/>
      <c r="I78" s="176"/>
      <c r="J78" s="176"/>
      <c r="K78" s="176"/>
      <c r="L78" s="176"/>
      <c r="M78" s="176"/>
      <c r="N78" s="176"/>
      <c r="O78" s="177"/>
      <c r="P78" s="177"/>
      <c r="Q78" s="177"/>
      <c r="R78" s="177"/>
      <c r="S78" s="178"/>
    </row>
    <row r="79" spans="2:19" ht="16.5" customHeight="1" x14ac:dyDescent="0.35">
      <c r="B79" s="173"/>
      <c r="C79" s="173" t="s">
        <v>122</v>
      </c>
      <c r="D79" s="174">
        <v>2034</v>
      </c>
      <c r="E79" s="176"/>
      <c r="F79" s="176"/>
      <c r="G79" s="176"/>
      <c r="H79" s="176"/>
      <c r="I79" s="176"/>
      <c r="J79" s="176"/>
      <c r="K79" s="176"/>
      <c r="L79" s="176"/>
      <c r="M79" s="176"/>
      <c r="N79" s="176"/>
      <c r="O79" s="177"/>
      <c r="P79" s="177"/>
      <c r="Q79" s="177"/>
      <c r="R79" s="177"/>
      <c r="S79" s="178"/>
    </row>
    <row r="80" spans="2:19" ht="16.5" customHeight="1" x14ac:dyDescent="0.35">
      <c r="B80" s="179" t="s">
        <v>123</v>
      </c>
      <c r="C80" s="173"/>
      <c r="D80" s="174">
        <v>2023</v>
      </c>
      <c r="E80" s="175"/>
      <c r="F80" s="175"/>
      <c r="G80" s="175"/>
      <c r="H80" s="175"/>
      <c r="I80" s="175"/>
      <c r="J80" s="176"/>
      <c r="K80" s="176"/>
      <c r="L80" s="176"/>
      <c r="M80" s="176"/>
      <c r="N80" s="176"/>
      <c r="O80" s="177"/>
      <c r="P80" s="177"/>
      <c r="Q80" s="177"/>
      <c r="R80" s="177"/>
      <c r="S80" s="178"/>
    </row>
    <row r="81" spans="2:19" ht="16.5" customHeight="1" x14ac:dyDescent="0.35">
      <c r="B81" s="179" t="s">
        <v>123</v>
      </c>
      <c r="C81" s="173"/>
      <c r="D81" s="174">
        <v>2024</v>
      </c>
      <c r="E81" s="175"/>
      <c r="F81" s="175"/>
      <c r="G81" s="175"/>
      <c r="H81" s="175"/>
      <c r="I81" s="175"/>
      <c r="J81" s="176"/>
      <c r="K81" s="176"/>
      <c r="L81" s="176"/>
      <c r="M81" s="176"/>
      <c r="N81" s="176"/>
      <c r="O81" s="177"/>
      <c r="P81" s="177"/>
      <c r="Q81" s="177"/>
      <c r="R81" s="177"/>
      <c r="S81" s="178"/>
    </row>
    <row r="82" spans="2:19" ht="16.5" customHeight="1" x14ac:dyDescent="0.35">
      <c r="B82" s="179" t="s">
        <v>123</v>
      </c>
      <c r="C82" s="173"/>
      <c r="D82" s="174">
        <v>2025</v>
      </c>
      <c r="E82" s="175"/>
      <c r="F82" s="175"/>
      <c r="G82" s="175"/>
      <c r="H82" s="175"/>
      <c r="I82" s="175"/>
      <c r="J82" s="176"/>
      <c r="K82" s="176"/>
      <c r="L82" s="176"/>
      <c r="M82" s="176"/>
      <c r="N82" s="176"/>
      <c r="O82" s="177"/>
      <c r="P82" s="177"/>
      <c r="Q82" s="177"/>
      <c r="R82" s="177"/>
      <c r="S82" s="178"/>
    </row>
    <row r="83" spans="2:19" ht="16.5" customHeight="1" x14ac:dyDescent="0.35">
      <c r="B83" s="179" t="s">
        <v>123</v>
      </c>
      <c r="C83" s="173"/>
      <c r="D83" s="174">
        <v>2026</v>
      </c>
      <c r="E83" s="175"/>
      <c r="F83" s="175"/>
      <c r="G83" s="175"/>
      <c r="H83" s="175"/>
      <c r="I83" s="175"/>
      <c r="J83" s="176"/>
      <c r="K83" s="176"/>
      <c r="L83" s="176"/>
      <c r="M83" s="176"/>
      <c r="N83" s="176"/>
      <c r="O83" s="177"/>
      <c r="P83" s="177"/>
      <c r="Q83" s="177"/>
      <c r="R83" s="177"/>
      <c r="S83" s="178"/>
    </row>
    <row r="84" spans="2:19" ht="16.5" customHeight="1" x14ac:dyDescent="0.35">
      <c r="B84" s="179" t="s">
        <v>123</v>
      </c>
      <c r="C84" s="173"/>
      <c r="D84" s="174">
        <v>2027</v>
      </c>
      <c r="E84" s="175"/>
      <c r="F84" s="175"/>
      <c r="G84" s="175"/>
      <c r="H84" s="175"/>
      <c r="I84" s="175"/>
      <c r="J84" s="176"/>
      <c r="K84" s="176"/>
      <c r="L84" s="176"/>
      <c r="M84" s="176"/>
      <c r="N84" s="176"/>
      <c r="O84" s="177"/>
      <c r="P84" s="177"/>
      <c r="Q84" s="177"/>
      <c r="R84" s="177"/>
      <c r="S84" s="178"/>
    </row>
    <row r="85" spans="2:19" ht="16.5" customHeight="1" x14ac:dyDescent="0.35">
      <c r="B85" s="179" t="s">
        <v>123</v>
      </c>
      <c r="C85" s="173"/>
      <c r="D85" s="174">
        <v>2028</v>
      </c>
      <c r="E85" s="176"/>
      <c r="F85" s="176"/>
      <c r="G85" s="176"/>
      <c r="H85" s="176"/>
      <c r="I85" s="176"/>
      <c r="J85" s="176"/>
      <c r="K85" s="176"/>
      <c r="L85" s="176"/>
      <c r="M85" s="176"/>
      <c r="N85" s="176"/>
      <c r="O85" s="177"/>
      <c r="P85" s="177"/>
      <c r="Q85" s="177"/>
      <c r="R85" s="177"/>
      <c r="S85" s="178"/>
    </row>
    <row r="86" spans="2:19" ht="16.5" customHeight="1" x14ac:dyDescent="0.35">
      <c r="B86" s="179" t="s">
        <v>123</v>
      </c>
      <c r="C86" s="173"/>
      <c r="D86" s="174">
        <v>2029</v>
      </c>
      <c r="E86" s="176"/>
      <c r="F86" s="176"/>
      <c r="G86" s="176"/>
      <c r="H86" s="176"/>
      <c r="I86" s="176"/>
      <c r="J86" s="176"/>
      <c r="K86" s="176"/>
      <c r="L86" s="176"/>
      <c r="M86" s="176"/>
      <c r="N86" s="176"/>
      <c r="O86" s="177"/>
      <c r="P86" s="177"/>
      <c r="Q86" s="177"/>
      <c r="R86" s="177"/>
      <c r="S86" s="178"/>
    </row>
    <row r="87" spans="2:19" ht="16.5" customHeight="1" x14ac:dyDescent="0.35">
      <c r="B87" s="179" t="s">
        <v>123</v>
      </c>
      <c r="C87" s="173"/>
      <c r="D87" s="174">
        <v>2030</v>
      </c>
      <c r="E87" s="176"/>
      <c r="F87" s="176"/>
      <c r="G87" s="176"/>
      <c r="H87" s="176"/>
      <c r="I87" s="176"/>
      <c r="J87" s="176"/>
      <c r="K87" s="176"/>
      <c r="L87" s="176"/>
      <c r="M87" s="176"/>
      <c r="N87" s="176"/>
      <c r="O87" s="177"/>
      <c r="P87" s="177"/>
      <c r="Q87" s="177"/>
      <c r="R87" s="177"/>
      <c r="S87" s="178"/>
    </row>
    <row r="88" spans="2:19" ht="16.5" customHeight="1" x14ac:dyDescent="0.35">
      <c r="B88" s="179" t="s">
        <v>123</v>
      </c>
      <c r="C88" s="173"/>
      <c r="D88" s="174">
        <v>2031</v>
      </c>
      <c r="E88" s="176"/>
      <c r="F88" s="176"/>
      <c r="G88" s="176"/>
      <c r="H88" s="176"/>
      <c r="I88" s="176"/>
      <c r="J88" s="176"/>
      <c r="K88" s="176"/>
      <c r="L88" s="176"/>
      <c r="M88" s="176"/>
      <c r="N88" s="176"/>
      <c r="O88" s="177"/>
      <c r="P88" s="177"/>
      <c r="Q88" s="177"/>
      <c r="R88" s="177"/>
      <c r="S88" s="178"/>
    </row>
    <row r="89" spans="2:19" ht="16.5" customHeight="1" x14ac:dyDescent="0.35">
      <c r="B89" s="179" t="s">
        <v>123</v>
      </c>
      <c r="C89" s="173"/>
      <c r="D89" s="174">
        <v>2032</v>
      </c>
      <c r="E89" s="176"/>
      <c r="F89" s="176"/>
      <c r="G89" s="176"/>
      <c r="H89" s="176"/>
      <c r="I89" s="176"/>
      <c r="J89" s="176"/>
      <c r="K89" s="176"/>
      <c r="L89" s="176"/>
      <c r="M89" s="176"/>
      <c r="N89" s="176"/>
      <c r="O89" s="177"/>
      <c r="P89" s="177"/>
      <c r="Q89" s="177"/>
      <c r="R89" s="177"/>
      <c r="S89" s="178"/>
    </row>
    <row r="90" spans="2:19" ht="16.5" customHeight="1" x14ac:dyDescent="0.35">
      <c r="B90" s="179" t="s">
        <v>123</v>
      </c>
      <c r="C90" s="173"/>
      <c r="D90" s="174">
        <v>2033</v>
      </c>
      <c r="E90" s="176"/>
      <c r="F90" s="176"/>
      <c r="G90" s="176"/>
      <c r="H90" s="176"/>
      <c r="I90" s="176"/>
      <c r="J90" s="176"/>
      <c r="K90" s="176"/>
      <c r="L90" s="176"/>
      <c r="M90" s="176"/>
      <c r="N90" s="176"/>
      <c r="O90" s="177"/>
      <c r="P90" s="177"/>
      <c r="Q90" s="177"/>
      <c r="R90" s="177"/>
      <c r="S90" s="178"/>
    </row>
    <row r="91" spans="2:19" ht="16.5" customHeight="1" x14ac:dyDescent="0.35">
      <c r="B91" s="179" t="s">
        <v>123</v>
      </c>
      <c r="C91" s="173"/>
      <c r="D91" s="174">
        <v>2034</v>
      </c>
      <c r="E91" s="176"/>
      <c r="F91" s="176"/>
      <c r="G91" s="176"/>
      <c r="H91" s="176"/>
      <c r="I91" s="176"/>
      <c r="J91" s="176"/>
      <c r="K91" s="176"/>
      <c r="L91" s="176"/>
      <c r="M91" s="176"/>
      <c r="N91" s="176"/>
      <c r="O91" s="177"/>
      <c r="P91" s="177"/>
      <c r="Q91" s="177"/>
      <c r="R91" s="177"/>
      <c r="S91" s="178"/>
    </row>
  </sheetData>
  <mergeCells count="6">
    <mergeCell ref="B1:S1"/>
    <mergeCell ref="B2:S2"/>
    <mergeCell ref="B4:S4"/>
    <mergeCell ref="E6:I6"/>
    <mergeCell ref="J6:N6"/>
    <mergeCell ref="O6:S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1"/>
  <sheetViews>
    <sheetView workbookViewId="0">
      <selection sqref="A1:R1"/>
    </sheetView>
  </sheetViews>
  <sheetFormatPr defaultRowHeight="10" x14ac:dyDescent="0.2"/>
  <sheetData>
    <row r="1" spans="1:18" ht="15.5" x14ac:dyDescent="0.35">
      <c r="A1" s="411" t="s">
        <v>124</v>
      </c>
      <c r="B1" s="411"/>
      <c r="C1" s="411"/>
      <c r="D1" s="411"/>
      <c r="E1" s="411"/>
      <c r="F1" s="411"/>
      <c r="G1" s="411"/>
      <c r="H1" s="411"/>
      <c r="I1" s="411"/>
      <c r="J1" s="411"/>
      <c r="K1" s="411"/>
      <c r="L1" s="411"/>
      <c r="M1" s="411"/>
      <c r="N1" s="411"/>
      <c r="O1" s="411"/>
      <c r="P1" s="411"/>
      <c r="Q1" s="411"/>
      <c r="R1" s="411"/>
    </row>
  </sheetData>
  <mergeCells count="1">
    <mergeCell ref="A1:R1"/>
  </mergeCells>
  <printOptions horizontalCentered="1"/>
  <pageMargins left="0.25" right="0.25" top="0.5" bottom="0.5" header="0.5" footer="0.5"/>
  <pageSetup orientation="landscape" r:id="rId1"/>
  <headerFooter>
    <oddFooter>&amp;R&amp;A</oddFooter>
  </headerFooter>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O77"/>
  <sheetViews>
    <sheetView tabSelected="1" zoomScale="70" zoomScaleNormal="70" workbookViewId="0">
      <pane xSplit="3" ySplit="7" topLeftCell="D8" activePane="bottomRight" state="frozen"/>
      <selection pane="topRight" activeCell="D1" sqref="D1"/>
      <selection pane="bottomLeft" activeCell="A8" sqref="A8"/>
      <selection pane="bottomRight"/>
    </sheetView>
  </sheetViews>
  <sheetFormatPr defaultColWidth="8.44140625" defaultRowHeight="12.5" x14ac:dyDescent="0.25"/>
  <cols>
    <col min="1" max="1" width="8.44140625" style="36"/>
    <col min="2" max="2" width="10.109375" style="36" customWidth="1"/>
    <col min="3" max="3" width="100.6640625" style="36" customWidth="1"/>
    <col min="4" max="4" width="15.5546875" style="36" customWidth="1"/>
    <col min="5" max="5" width="13.109375" style="36" customWidth="1"/>
    <col min="6" max="6" width="13.109375" style="36" bestFit="1" customWidth="1"/>
    <col min="7" max="10" width="12.109375" style="36" customWidth="1"/>
    <col min="11" max="12" width="13.109375" style="36" bestFit="1" customWidth="1"/>
    <col min="13" max="15" width="13.77734375" style="36" customWidth="1"/>
    <col min="16" max="17" width="11" style="36" customWidth="1"/>
    <col min="18" max="16384" width="8.44140625" style="36"/>
  </cols>
  <sheetData>
    <row r="1" spans="1:41" ht="15.5" x14ac:dyDescent="0.35">
      <c r="C1" s="462" t="s">
        <v>125</v>
      </c>
      <c r="D1" s="462"/>
      <c r="E1" s="462"/>
      <c r="F1" s="462"/>
      <c r="G1" s="462"/>
      <c r="H1" s="462"/>
      <c r="I1" s="462"/>
      <c r="J1" s="462"/>
      <c r="K1" s="462"/>
      <c r="L1" s="462"/>
      <c r="M1" s="462"/>
      <c r="N1" s="462"/>
      <c r="O1" s="462"/>
      <c r="P1" s="462"/>
      <c r="Q1" s="462"/>
    </row>
    <row r="2" spans="1:41" ht="15.5" x14ac:dyDescent="0.35">
      <c r="C2" s="463" t="str">
        <f>'FormsList&amp;FilerInfo'!B2</f>
        <v>Utility Name</v>
      </c>
      <c r="D2" s="464"/>
      <c r="E2" s="464"/>
      <c r="F2" s="464"/>
      <c r="G2" s="464"/>
      <c r="H2" s="464"/>
      <c r="I2" s="464"/>
      <c r="J2" s="464"/>
      <c r="K2" s="464"/>
      <c r="L2" s="464"/>
      <c r="M2" s="464"/>
      <c r="N2" s="464"/>
      <c r="O2" s="464"/>
      <c r="P2" s="464"/>
      <c r="Q2" s="464"/>
    </row>
    <row r="3" spans="1:41" ht="15.5" x14ac:dyDescent="0.35">
      <c r="C3" s="464"/>
      <c r="D3" s="464"/>
      <c r="E3" s="464"/>
      <c r="F3" s="464"/>
      <c r="G3" s="464"/>
      <c r="H3" s="464"/>
      <c r="I3" s="464"/>
      <c r="J3" s="464"/>
      <c r="K3" s="464"/>
      <c r="L3" s="464"/>
      <c r="M3" s="464"/>
      <c r="N3" s="464"/>
      <c r="O3" s="464"/>
      <c r="P3" s="464"/>
      <c r="Q3" s="464"/>
    </row>
    <row r="4" spans="1:41" ht="18" x14ac:dyDescent="0.4">
      <c r="C4" s="465" t="s">
        <v>126</v>
      </c>
      <c r="D4" s="465"/>
      <c r="E4" s="465"/>
      <c r="F4" s="465"/>
      <c r="G4" s="465"/>
      <c r="H4" s="465"/>
      <c r="I4" s="465"/>
      <c r="J4" s="465"/>
      <c r="K4" s="465"/>
      <c r="L4" s="465"/>
      <c r="M4" s="465"/>
      <c r="N4" s="465"/>
      <c r="O4" s="465"/>
      <c r="P4" s="465"/>
      <c r="Q4" s="465"/>
    </row>
    <row r="5" spans="1:41" ht="13" x14ac:dyDescent="0.3">
      <c r="C5" s="466" t="s">
        <v>127</v>
      </c>
      <c r="D5" s="466"/>
      <c r="E5" s="466"/>
      <c r="F5" s="466"/>
      <c r="G5" s="466"/>
      <c r="H5" s="466"/>
      <c r="I5" s="466"/>
      <c r="J5" s="466"/>
      <c r="K5" s="466"/>
      <c r="L5" s="466"/>
      <c r="M5" s="466"/>
      <c r="N5" s="466"/>
      <c r="O5" s="466"/>
      <c r="P5" s="466"/>
      <c r="Q5" s="466"/>
    </row>
    <row r="6" spans="1:41" ht="13.5" thickBot="1" x14ac:dyDescent="0.35">
      <c r="C6" s="212"/>
      <c r="D6" s="346" t="s">
        <v>287</v>
      </c>
      <c r="E6" s="346" t="s">
        <v>288</v>
      </c>
      <c r="F6" s="346" t="s">
        <v>289</v>
      </c>
      <c r="G6" s="346" t="s">
        <v>290</v>
      </c>
      <c r="H6" s="346" t="s">
        <v>291</v>
      </c>
      <c r="I6" s="346" t="s">
        <v>292</v>
      </c>
      <c r="J6" s="346" t="s">
        <v>293</v>
      </c>
      <c r="K6" s="346" t="s">
        <v>294</v>
      </c>
      <c r="L6" s="346" t="s">
        <v>295</v>
      </c>
      <c r="M6" s="346" t="s">
        <v>296</v>
      </c>
      <c r="N6" s="346" t="s">
        <v>297</v>
      </c>
      <c r="O6" s="346" t="s">
        <v>298</v>
      </c>
      <c r="P6" s="346" t="s">
        <v>299</v>
      </c>
      <c r="Q6" s="346" t="s">
        <v>300</v>
      </c>
      <c r="AE6" s="346" t="s">
        <v>288</v>
      </c>
      <c r="AF6" s="346" t="s">
        <v>289</v>
      </c>
      <c r="AG6" s="346" t="s">
        <v>290</v>
      </c>
      <c r="AH6" s="346" t="s">
        <v>291</v>
      </c>
      <c r="AI6" s="346" t="s">
        <v>292</v>
      </c>
      <c r="AJ6" s="346" t="s">
        <v>293</v>
      </c>
      <c r="AK6" s="346" t="s">
        <v>294</v>
      </c>
      <c r="AL6" s="346" t="s">
        <v>295</v>
      </c>
      <c r="AM6" s="346" t="s">
        <v>296</v>
      </c>
      <c r="AN6" s="346" t="s">
        <v>297</v>
      </c>
      <c r="AO6" s="346" t="s">
        <v>298</v>
      </c>
    </row>
    <row r="7" spans="1:41" ht="30.65" customHeight="1" thickBot="1" x14ac:dyDescent="0.3">
      <c r="B7" s="222" t="s">
        <v>199</v>
      </c>
      <c r="C7" s="222" t="s">
        <v>200</v>
      </c>
      <c r="D7" s="153">
        <v>2021</v>
      </c>
      <c r="E7" s="153">
        <v>2022</v>
      </c>
      <c r="F7" s="153">
        <v>2023</v>
      </c>
      <c r="G7" s="153">
        <v>2024</v>
      </c>
      <c r="H7" s="153">
        <v>2025</v>
      </c>
      <c r="I7" s="153">
        <v>2026</v>
      </c>
      <c r="J7" s="153">
        <v>2027</v>
      </c>
      <c r="K7" s="153">
        <v>2028</v>
      </c>
      <c r="L7" s="153">
        <v>2029</v>
      </c>
      <c r="M7" s="153">
        <v>2030</v>
      </c>
      <c r="N7" s="153">
        <v>2031</v>
      </c>
      <c r="O7" s="153">
        <v>2032</v>
      </c>
      <c r="P7" s="153">
        <v>2033</v>
      </c>
      <c r="Q7" s="153">
        <v>2034</v>
      </c>
    </row>
    <row r="8" spans="1:41" ht="17.25" customHeight="1" thickBot="1" x14ac:dyDescent="0.35">
      <c r="B8" s="223"/>
      <c r="C8" s="37" t="s">
        <v>128</v>
      </c>
      <c r="D8" s="38"/>
      <c r="E8" s="38"/>
      <c r="F8" s="38"/>
      <c r="G8" s="38"/>
      <c r="H8" s="38"/>
      <c r="I8" s="38"/>
      <c r="J8" s="38"/>
      <c r="K8" s="38"/>
      <c r="L8" s="38"/>
      <c r="M8" s="38"/>
      <c r="N8" s="38"/>
      <c r="O8" s="38"/>
      <c r="P8" s="38"/>
      <c r="Q8" s="39"/>
    </row>
    <row r="9" spans="1:41" s="42" customFormat="1" ht="18" customHeight="1" thickBot="1" x14ac:dyDescent="0.35">
      <c r="A9" s="36"/>
      <c r="B9" s="223"/>
      <c r="C9" s="152" t="s">
        <v>129</v>
      </c>
      <c r="D9" s="154"/>
      <c r="E9" s="154"/>
      <c r="F9" s="154"/>
      <c r="G9" s="154"/>
      <c r="H9" s="154"/>
      <c r="I9" s="154"/>
      <c r="J9" s="154"/>
      <c r="K9" s="154"/>
      <c r="L9" s="154"/>
      <c r="M9" s="154"/>
      <c r="N9" s="154"/>
      <c r="O9" s="154"/>
      <c r="P9" s="154"/>
      <c r="Q9" s="155"/>
    </row>
    <row r="10" spans="1:41" ht="18" customHeight="1" thickBot="1" x14ac:dyDescent="0.35">
      <c r="B10" s="223"/>
      <c r="C10" s="43" t="s">
        <v>130</v>
      </c>
      <c r="D10" s="44"/>
      <c r="E10" s="44"/>
      <c r="F10" s="44"/>
      <c r="G10" s="44"/>
      <c r="H10" s="44"/>
      <c r="I10" s="44"/>
      <c r="J10" s="44"/>
      <c r="K10" s="44"/>
      <c r="L10" s="44"/>
      <c r="M10" s="44"/>
      <c r="N10" s="44"/>
      <c r="O10" s="44"/>
      <c r="P10" s="368" t="s">
        <v>234</v>
      </c>
      <c r="Q10" s="368" t="s">
        <v>234</v>
      </c>
    </row>
    <row r="11" spans="1:41" ht="18" customHeight="1" thickBot="1" x14ac:dyDescent="0.35">
      <c r="B11" s="223"/>
      <c r="C11" s="458" t="s">
        <v>131</v>
      </c>
      <c r="D11" s="459"/>
      <c r="E11" s="459"/>
      <c r="F11" s="459"/>
      <c r="G11" s="459"/>
      <c r="H11" s="459"/>
      <c r="I11" s="459"/>
      <c r="J11" s="459"/>
      <c r="K11" s="459"/>
      <c r="L11" s="459"/>
      <c r="M11" s="459"/>
      <c r="N11" s="459"/>
      <c r="O11" s="459"/>
      <c r="P11" s="460"/>
      <c r="Q11" s="461"/>
    </row>
    <row r="12" spans="1:41" ht="18" customHeight="1" thickBot="1" x14ac:dyDescent="0.35">
      <c r="B12" s="223">
        <v>1</v>
      </c>
      <c r="C12" s="46" t="s">
        <v>132</v>
      </c>
      <c r="D12" s="57"/>
      <c r="E12" s="57"/>
      <c r="F12" s="57"/>
      <c r="G12" s="57"/>
      <c r="H12" s="57"/>
      <c r="I12" s="57"/>
      <c r="J12" s="57"/>
      <c r="K12" s="57"/>
      <c r="L12" s="57"/>
      <c r="M12" s="57"/>
      <c r="N12" s="57"/>
      <c r="O12" s="57"/>
      <c r="P12" s="347"/>
      <c r="Q12" s="347"/>
    </row>
    <row r="13" spans="1:41" ht="18" customHeight="1" thickBot="1" x14ac:dyDescent="0.35">
      <c r="B13" s="223">
        <v>2</v>
      </c>
      <c r="C13" s="47" t="s">
        <v>133</v>
      </c>
      <c r="D13" s="58"/>
      <c r="E13" s="58"/>
      <c r="F13" s="58"/>
      <c r="G13" s="58"/>
      <c r="H13" s="58"/>
      <c r="I13" s="58"/>
      <c r="J13" s="58"/>
      <c r="K13" s="58"/>
      <c r="L13" s="58"/>
      <c r="M13" s="58"/>
      <c r="N13" s="58"/>
      <c r="O13" s="58"/>
      <c r="P13" s="348"/>
      <c r="Q13" s="348"/>
    </row>
    <row r="14" spans="1:41" ht="18" customHeight="1" thickBot="1" x14ac:dyDescent="0.35">
      <c r="B14" s="223"/>
      <c r="C14" s="40" t="s">
        <v>134</v>
      </c>
      <c r="D14" s="41"/>
      <c r="E14" s="41"/>
      <c r="F14" s="41"/>
      <c r="G14" s="41"/>
      <c r="H14" s="41"/>
      <c r="I14" s="41"/>
      <c r="J14" s="41"/>
      <c r="K14" s="41"/>
      <c r="L14" s="41"/>
      <c r="M14" s="41"/>
      <c r="N14" s="41"/>
      <c r="O14" s="41"/>
      <c r="P14" s="349"/>
      <c r="Q14" s="350"/>
    </row>
    <row r="15" spans="1:41" ht="18" customHeight="1" thickBot="1" x14ac:dyDescent="0.35">
      <c r="B15" s="223">
        <v>3</v>
      </c>
      <c r="C15" s="48" t="s">
        <v>132</v>
      </c>
      <c r="D15" s="49"/>
      <c r="E15" s="49"/>
      <c r="F15" s="49"/>
      <c r="G15" s="49"/>
      <c r="H15" s="49"/>
      <c r="I15" s="49"/>
      <c r="J15" s="49"/>
      <c r="K15" s="49"/>
      <c r="L15" s="49"/>
      <c r="M15" s="49"/>
      <c r="N15" s="49"/>
      <c r="O15" s="49"/>
      <c r="P15" s="351"/>
      <c r="Q15" s="351"/>
    </row>
    <row r="16" spans="1:41" ht="18" customHeight="1" thickBot="1" x14ac:dyDescent="0.35">
      <c r="B16" s="223">
        <v>4</v>
      </c>
      <c r="C16" s="50" t="s">
        <v>133</v>
      </c>
      <c r="D16" s="51"/>
      <c r="E16" s="51"/>
      <c r="F16" s="51"/>
      <c r="G16" s="51"/>
      <c r="H16" s="51"/>
      <c r="I16" s="51"/>
      <c r="J16" s="51"/>
      <c r="K16" s="51"/>
      <c r="L16" s="51"/>
      <c r="M16" s="51"/>
      <c r="N16" s="51"/>
      <c r="O16" s="51"/>
      <c r="P16" s="352"/>
      <c r="Q16" s="352"/>
      <c r="R16" s="386"/>
      <c r="S16" s="386"/>
    </row>
    <row r="17" spans="2:19" ht="18" customHeight="1" thickBot="1" x14ac:dyDescent="0.35">
      <c r="B17" s="223"/>
      <c r="C17" s="40" t="s">
        <v>135</v>
      </c>
      <c r="D17" s="41"/>
      <c r="E17" s="41"/>
      <c r="F17" s="41"/>
      <c r="G17" s="41"/>
      <c r="H17" s="41"/>
      <c r="I17" s="41"/>
      <c r="J17" s="41"/>
      <c r="K17" s="41"/>
      <c r="L17" s="41"/>
      <c r="M17" s="41"/>
      <c r="N17" s="41"/>
      <c r="O17" s="41"/>
      <c r="P17" s="349"/>
      <c r="Q17" s="350"/>
      <c r="R17" s="386"/>
      <c r="S17" s="386"/>
    </row>
    <row r="18" spans="2:19" ht="18" customHeight="1" thickBot="1" x14ac:dyDescent="0.35">
      <c r="B18" s="223">
        <v>5</v>
      </c>
      <c r="C18" s="48" t="s">
        <v>132</v>
      </c>
      <c r="D18" s="52"/>
      <c r="E18" s="52"/>
      <c r="F18" s="52"/>
      <c r="G18" s="52"/>
      <c r="H18" s="52"/>
      <c r="I18" s="52"/>
      <c r="J18" s="52"/>
      <c r="K18" s="52"/>
      <c r="L18" s="52"/>
      <c r="M18" s="52"/>
      <c r="N18" s="52"/>
      <c r="O18" s="52"/>
      <c r="P18" s="347"/>
      <c r="Q18" s="347"/>
      <c r="R18" s="386"/>
      <c r="S18" s="386"/>
    </row>
    <row r="19" spans="2:19" ht="18" customHeight="1" thickBot="1" x14ac:dyDescent="0.35">
      <c r="B19" s="223">
        <v>6</v>
      </c>
      <c r="C19" s="50" t="s">
        <v>133</v>
      </c>
      <c r="D19" s="53"/>
      <c r="E19" s="53"/>
      <c r="F19" s="53"/>
      <c r="G19" s="53"/>
      <c r="H19" s="53"/>
      <c r="I19" s="53"/>
      <c r="J19" s="53"/>
      <c r="K19" s="53"/>
      <c r="L19" s="53"/>
      <c r="M19" s="53"/>
      <c r="N19" s="53"/>
      <c r="O19" s="53"/>
      <c r="P19" s="348"/>
      <c r="Q19" s="348"/>
      <c r="R19" s="386"/>
      <c r="S19" s="386"/>
    </row>
    <row r="20" spans="2:19" ht="18" customHeight="1" thickBot="1" x14ac:dyDescent="0.35">
      <c r="B20" s="223"/>
      <c r="C20" s="40" t="s">
        <v>136</v>
      </c>
      <c r="D20" s="41"/>
      <c r="E20" s="41"/>
      <c r="F20" s="371"/>
      <c r="G20" s="371"/>
      <c r="H20" s="371"/>
      <c r="I20" s="371"/>
      <c r="J20" s="371"/>
      <c r="K20" s="371"/>
      <c r="L20" s="371"/>
      <c r="M20" s="371"/>
      <c r="N20" s="371"/>
      <c r="O20" s="371"/>
      <c r="P20" s="349"/>
      <c r="Q20" s="350"/>
      <c r="R20" s="386"/>
      <c r="S20" s="386"/>
    </row>
    <row r="21" spans="2:19" ht="18" customHeight="1" thickBot="1" x14ac:dyDescent="0.35">
      <c r="B21" s="223">
        <v>7</v>
      </c>
      <c r="C21" s="48" t="s">
        <v>132</v>
      </c>
      <c r="D21" s="371">
        <v>22368136.469999999</v>
      </c>
      <c r="E21" s="371">
        <v>40486902.815271668</v>
      </c>
      <c r="F21" s="371">
        <v>44227857.974138305</v>
      </c>
      <c r="G21" s="371">
        <v>39191055.807289883</v>
      </c>
      <c r="H21" s="371">
        <v>45161940.155515268</v>
      </c>
      <c r="I21" s="371">
        <v>49403729.250468813</v>
      </c>
      <c r="J21" s="371">
        <v>48420733.836424381</v>
      </c>
      <c r="K21" s="371">
        <v>47086623.307331741</v>
      </c>
      <c r="L21" s="371">
        <v>46546220.622068293</v>
      </c>
      <c r="M21" s="371">
        <v>46171568.57349968</v>
      </c>
      <c r="N21" s="371">
        <v>48451348.953399993</v>
      </c>
      <c r="O21" s="371">
        <v>48665668.546459191</v>
      </c>
      <c r="P21" s="351"/>
      <c r="Q21" s="351"/>
      <c r="R21" s="386"/>
      <c r="S21" s="386"/>
    </row>
    <row r="22" spans="2:19" ht="18" customHeight="1" thickBot="1" x14ac:dyDescent="0.35">
      <c r="B22" s="223">
        <v>8</v>
      </c>
      <c r="C22" s="50" t="s">
        <v>133</v>
      </c>
      <c r="D22" s="371">
        <v>25220007.789999999</v>
      </c>
      <c r="E22" s="383">
        <v>24371263.465041086</v>
      </c>
      <c r="F22" s="371">
        <v>23170281.12158164</v>
      </c>
      <c r="G22" s="371">
        <v>24595605.742342792</v>
      </c>
      <c r="H22" s="371">
        <v>25620241.087206643</v>
      </c>
      <c r="I22" s="371">
        <v>26280295.544637047</v>
      </c>
      <c r="J22" s="371">
        <v>27023396.360752754</v>
      </c>
      <c r="K22" s="371">
        <v>27966347.787542835</v>
      </c>
      <c r="L22" s="371">
        <v>28684326.754130065</v>
      </c>
      <c r="M22" s="371">
        <v>29796882.209116928</v>
      </c>
      <c r="N22" s="371">
        <v>31088247.348310471</v>
      </c>
      <c r="O22" s="371">
        <v>32556544.598255441</v>
      </c>
      <c r="P22" s="353"/>
      <c r="Q22" s="353"/>
      <c r="R22" s="386"/>
      <c r="S22" s="386"/>
    </row>
    <row r="23" spans="2:19" ht="18" customHeight="1" thickBot="1" x14ac:dyDescent="0.35">
      <c r="B23" s="223">
        <v>9</v>
      </c>
      <c r="C23" s="92" t="s">
        <v>137</v>
      </c>
      <c r="D23" s="56"/>
      <c r="E23" s="369">
        <v>6.7383333333333324</v>
      </c>
      <c r="F23" s="369">
        <v>8.7060771598071955</v>
      </c>
      <c r="G23" s="369">
        <v>7.6093140227001195</v>
      </c>
      <c r="H23" s="369">
        <v>7.4867321503123394</v>
      </c>
      <c r="I23" s="369">
        <v>7.3971063730250215</v>
      </c>
      <c r="J23" s="369">
        <v>7.3432272842899833</v>
      </c>
      <c r="K23" s="369">
        <v>7.4592835594694593</v>
      </c>
      <c r="L23" s="369">
        <v>7.7202839904301426</v>
      </c>
      <c r="M23" s="369">
        <v>8.0170904459683907</v>
      </c>
      <c r="N23" s="369">
        <v>8.2844545350226522</v>
      </c>
      <c r="O23" s="369">
        <v>8.4318449464439524</v>
      </c>
      <c r="P23" s="348"/>
      <c r="Q23" s="348"/>
      <c r="R23" s="386"/>
      <c r="S23" s="386"/>
    </row>
    <row r="24" spans="2:19" ht="18" customHeight="1" thickBot="1" x14ac:dyDescent="0.35">
      <c r="B24" s="223">
        <v>10</v>
      </c>
      <c r="C24" s="92" t="s">
        <v>138</v>
      </c>
      <c r="D24" s="147"/>
      <c r="E24" s="148"/>
      <c r="F24" s="148"/>
      <c r="G24" s="148"/>
      <c r="H24" s="148"/>
      <c r="I24" s="148"/>
      <c r="J24" s="148"/>
      <c r="K24" s="148"/>
      <c r="L24" s="148"/>
      <c r="M24" s="148"/>
      <c r="N24" s="148"/>
      <c r="O24" s="148"/>
      <c r="P24" s="354"/>
      <c r="Q24" s="354"/>
      <c r="R24" s="386"/>
      <c r="S24" s="386"/>
    </row>
    <row r="25" spans="2:19" ht="18" customHeight="1" thickBot="1" x14ac:dyDescent="0.35">
      <c r="B25" s="223"/>
      <c r="C25" s="40" t="s">
        <v>139</v>
      </c>
      <c r="D25" s="41"/>
      <c r="E25" s="41"/>
      <c r="F25" s="41"/>
      <c r="G25" s="41"/>
      <c r="H25" s="41"/>
      <c r="I25" s="41"/>
      <c r="J25" s="41"/>
      <c r="K25" s="41"/>
      <c r="L25" s="41"/>
      <c r="M25" s="41"/>
      <c r="N25" s="41"/>
      <c r="O25" s="41"/>
      <c r="P25" s="349"/>
      <c r="Q25" s="350"/>
      <c r="R25" s="386"/>
      <c r="S25" s="386"/>
    </row>
    <row r="26" spans="2:19" ht="18" customHeight="1" thickBot="1" x14ac:dyDescent="0.35">
      <c r="B26" s="223">
        <v>11</v>
      </c>
      <c r="C26" s="48" t="s">
        <v>132</v>
      </c>
      <c r="D26" s="49"/>
      <c r="E26" s="49"/>
      <c r="F26" s="49"/>
      <c r="G26" s="49"/>
      <c r="H26" s="49"/>
      <c r="I26" s="49"/>
      <c r="J26" s="49"/>
      <c r="K26" s="49"/>
      <c r="L26" s="49"/>
      <c r="M26" s="49"/>
      <c r="N26" s="49"/>
      <c r="O26" s="49"/>
      <c r="P26" s="351"/>
      <c r="Q26" s="351"/>
      <c r="R26" s="386"/>
      <c r="S26" s="386"/>
    </row>
    <row r="27" spans="2:19" ht="18" customHeight="1" thickBot="1" x14ac:dyDescent="0.35">
      <c r="B27" s="223">
        <v>12</v>
      </c>
      <c r="C27" s="50" t="s">
        <v>133</v>
      </c>
      <c r="D27" s="54"/>
      <c r="E27" s="54"/>
      <c r="F27" s="54"/>
      <c r="G27" s="54"/>
      <c r="H27" s="54"/>
      <c r="I27" s="54"/>
      <c r="J27" s="54"/>
      <c r="K27" s="54"/>
      <c r="L27" s="54"/>
      <c r="M27" s="54"/>
      <c r="N27" s="54"/>
      <c r="O27" s="54"/>
      <c r="P27" s="355"/>
      <c r="Q27" s="355"/>
      <c r="R27" s="386"/>
      <c r="S27" s="386"/>
    </row>
    <row r="28" spans="2:19" ht="18" customHeight="1" thickBot="1" x14ac:dyDescent="0.35">
      <c r="B28" s="223">
        <v>13</v>
      </c>
      <c r="C28" s="55" t="s">
        <v>140</v>
      </c>
      <c r="D28" s="56"/>
      <c r="E28" s="56"/>
      <c r="F28" s="56"/>
      <c r="G28" s="56"/>
      <c r="H28" s="56"/>
      <c r="I28" s="56"/>
      <c r="J28" s="56"/>
      <c r="K28" s="56"/>
      <c r="L28" s="56"/>
      <c r="M28" s="56"/>
      <c r="N28" s="56"/>
      <c r="O28" s="56"/>
      <c r="P28" s="348"/>
      <c r="Q28" s="348"/>
      <c r="R28" s="386"/>
      <c r="S28" s="386"/>
    </row>
    <row r="29" spans="2:19" ht="15.75" customHeight="1" thickBot="1" x14ac:dyDescent="0.35">
      <c r="B29" s="223">
        <v>14</v>
      </c>
      <c r="C29" s="40" t="s">
        <v>141</v>
      </c>
      <c r="D29" s="41"/>
      <c r="E29" s="41"/>
      <c r="F29" s="41"/>
      <c r="G29" s="41"/>
      <c r="H29" s="41"/>
      <c r="I29" s="41"/>
      <c r="J29" s="41"/>
      <c r="K29" s="41"/>
      <c r="L29" s="41"/>
      <c r="M29" s="41"/>
      <c r="N29" s="41"/>
      <c r="O29" s="41"/>
      <c r="P29" s="349"/>
      <c r="Q29" s="350"/>
      <c r="R29" s="386"/>
      <c r="S29" s="386"/>
    </row>
    <row r="30" spans="2:19" ht="15.75" customHeight="1" thickBot="1" x14ac:dyDescent="0.35">
      <c r="B30" s="223">
        <v>15</v>
      </c>
      <c r="C30" s="48" t="s">
        <v>132</v>
      </c>
      <c r="D30" s="49"/>
      <c r="E30" s="57"/>
      <c r="F30" s="57"/>
      <c r="G30" s="57"/>
      <c r="H30" s="57"/>
      <c r="I30" s="57"/>
      <c r="J30" s="57"/>
      <c r="K30" s="57"/>
      <c r="L30" s="57"/>
      <c r="M30" s="57"/>
      <c r="N30" s="57"/>
      <c r="O30" s="57"/>
      <c r="P30" s="347"/>
      <c r="Q30" s="347"/>
      <c r="R30" s="386"/>
      <c r="S30" s="386"/>
    </row>
    <row r="31" spans="2:19" ht="15.75" customHeight="1" thickBot="1" x14ac:dyDescent="0.35">
      <c r="B31" s="223">
        <v>16</v>
      </c>
      <c r="C31" s="50" t="s">
        <v>133</v>
      </c>
      <c r="D31" s="371">
        <v>1539800.19</v>
      </c>
      <c r="E31" s="383">
        <v>2024600</v>
      </c>
      <c r="F31" s="371">
        <v>1989200</v>
      </c>
      <c r="G31" s="371">
        <v>2088700</v>
      </c>
      <c r="H31" s="371">
        <v>2193100</v>
      </c>
      <c r="I31" s="371">
        <v>2302500</v>
      </c>
      <c r="J31" s="371">
        <v>2417300</v>
      </c>
      <c r="K31" s="371">
        <v>2538000</v>
      </c>
      <c r="L31" s="371">
        <v>2664600</v>
      </c>
      <c r="M31" s="371">
        <v>2797800</v>
      </c>
      <c r="N31" s="371">
        <v>2937500</v>
      </c>
      <c r="O31" s="371">
        <v>3084100</v>
      </c>
      <c r="P31" s="355"/>
      <c r="Q31" s="355"/>
      <c r="R31" s="386"/>
      <c r="S31" s="386"/>
    </row>
    <row r="32" spans="2:19" ht="15.75" customHeight="1" thickBot="1" x14ac:dyDescent="0.35">
      <c r="B32" s="223"/>
      <c r="C32" s="40" t="s">
        <v>118</v>
      </c>
      <c r="D32" s="58"/>
      <c r="E32" s="58"/>
      <c r="F32" s="58"/>
      <c r="G32" s="58"/>
      <c r="H32" s="58"/>
      <c r="I32" s="58"/>
      <c r="J32" s="58"/>
      <c r="K32" s="58"/>
      <c r="L32" s="58"/>
      <c r="M32" s="58"/>
      <c r="N32" s="58"/>
      <c r="O32" s="58"/>
      <c r="P32" s="348"/>
      <c r="Q32" s="348"/>
      <c r="R32" s="386"/>
      <c r="S32" s="386"/>
    </row>
    <row r="33" spans="2:41" ht="17.25" customHeight="1" thickBot="1" x14ac:dyDescent="0.35">
      <c r="B33" s="223">
        <v>17</v>
      </c>
      <c r="C33" s="43" t="s">
        <v>142</v>
      </c>
      <c r="D33" s="44"/>
      <c r="E33" s="44"/>
      <c r="F33" s="44"/>
      <c r="G33" s="44"/>
      <c r="H33" s="44"/>
      <c r="I33" s="44"/>
      <c r="J33" s="44"/>
      <c r="K33" s="44"/>
      <c r="L33" s="44"/>
      <c r="M33" s="44"/>
      <c r="N33" s="44"/>
      <c r="O33" s="44"/>
      <c r="P33" s="349"/>
      <c r="Q33" s="350"/>
      <c r="R33" s="386"/>
      <c r="S33" s="386"/>
    </row>
    <row r="34" spans="2:41" ht="17.25" customHeight="1" thickBot="1" x14ac:dyDescent="0.35">
      <c r="B34" s="223">
        <v>18</v>
      </c>
      <c r="C34" s="59" t="s">
        <v>143</v>
      </c>
      <c r="D34" s="371">
        <v>8127151.0200000005</v>
      </c>
      <c r="E34" s="371">
        <v>10279470.269184001</v>
      </c>
      <c r="F34" s="371">
        <v>11019089.079951361</v>
      </c>
      <c r="G34" s="371">
        <v>11169212.643149415</v>
      </c>
      <c r="H34" s="371">
        <v>11324525.148875389</v>
      </c>
      <c r="I34" s="371">
        <v>11485217.834830405</v>
      </c>
      <c r="J34" s="371">
        <v>11651489.261823623</v>
      </c>
      <c r="K34" s="371">
        <v>11823545.600168567</v>
      </c>
      <c r="L34" s="371">
        <v>12001600.92740475</v>
      </c>
      <c r="M34" s="371">
        <v>12185877.53779497</v>
      </c>
      <c r="N34" s="371">
        <v>12376606.264066678</v>
      </c>
      <c r="O34" s="371">
        <v>12574026.811884452</v>
      </c>
      <c r="P34" s="356"/>
      <c r="Q34" s="355"/>
      <c r="R34" s="386"/>
      <c r="S34" s="386"/>
    </row>
    <row r="35" spans="2:41" ht="17.25" customHeight="1" thickBot="1" x14ac:dyDescent="0.35">
      <c r="B35" s="223">
        <v>19</v>
      </c>
      <c r="C35" s="40" t="s">
        <v>144</v>
      </c>
      <c r="D35" s="41"/>
      <c r="E35" s="41"/>
      <c r="F35" s="41"/>
      <c r="G35" s="41"/>
      <c r="H35" s="41"/>
      <c r="I35" s="41"/>
      <c r="J35" s="41"/>
      <c r="K35" s="41"/>
      <c r="L35" s="41"/>
      <c r="M35" s="41"/>
      <c r="N35" s="41"/>
      <c r="O35" s="41"/>
      <c r="P35" s="349"/>
      <c r="Q35" s="350"/>
      <c r="R35" s="386"/>
      <c r="S35" s="386"/>
    </row>
    <row r="36" spans="2:41" ht="17.25" customHeight="1" thickBot="1" x14ac:dyDescent="0.35">
      <c r="B36" s="223">
        <v>20</v>
      </c>
      <c r="C36" s="61" t="s">
        <v>145</v>
      </c>
      <c r="D36" s="371"/>
      <c r="E36" s="371"/>
      <c r="F36" s="371"/>
      <c r="G36" s="371"/>
      <c r="H36" s="371"/>
      <c r="I36" s="371"/>
      <c r="J36" s="371"/>
      <c r="K36" s="371"/>
      <c r="L36" s="371"/>
      <c r="M36" s="371"/>
      <c r="N36" s="371"/>
      <c r="O36" s="371"/>
      <c r="P36" s="357"/>
      <c r="Q36" s="351"/>
      <c r="R36" s="386"/>
      <c r="S36" s="386"/>
    </row>
    <row r="37" spans="2:41" ht="17.25" customHeight="1" thickBot="1" x14ac:dyDescent="0.35">
      <c r="B37" s="223">
        <v>21</v>
      </c>
      <c r="C37" s="62" t="s">
        <v>146</v>
      </c>
      <c r="D37" s="371">
        <v>11153244.604999999</v>
      </c>
      <c r="E37" s="371">
        <v>397527.1099999994</v>
      </c>
      <c r="F37" s="371">
        <v>290900.47306250001</v>
      </c>
      <c r="G37" s="371">
        <v>299627.48725437501</v>
      </c>
      <c r="H37" s="371">
        <v>308616.31187200628</v>
      </c>
      <c r="I37" s="371">
        <v>317874.80122816644</v>
      </c>
      <c r="J37" s="371">
        <v>327411.04526501149</v>
      </c>
      <c r="K37" s="371">
        <v>337233.37662296183</v>
      </c>
      <c r="L37" s="371">
        <v>347350.37792165065</v>
      </c>
      <c r="M37" s="371">
        <v>357770.88925930019</v>
      </c>
      <c r="N37" s="371">
        <v>368504.01593707921</v>
      </c>
      <c r="O37" s="371">
        <v>379559.13641519164</v>
      </c>
      <c r="P37" s="357"/>
      <c r="Q37" s="351"/>
      <c r="R37" s="386"/>
      <c r="S37" s="386"/>
      <c r="AF37" s="36">
        <v>433974.31612500001</v>
      </c>
      <c r="AG37" s="36">
        <v>446993.54560875002</v>
      </c>
      <c r="AH37" s="36">
        <v>460403.35197701253</v>
      </c>
      <c r="AI37" s="36">
        <v>474215.45253632293</v>
      </c>
      <c r="AJ37" s="36">
        <v>488441.91611241264</v>
      </c>
      <c r="AK37" s="36">
        <v>503095.17359578505</v>
      </c>
      <c r="AL37" s="36">
        <v>518188.02880365861</v>
      </c>
      <c r="AM37" s="36">
        <v>533733.66966776841</v>
      </c>
      <c r="AN37" s="36">
        <v>549745.67975780147</v>
      </c>
      <c r="AO37" s="36">
        <v>566238.05015053554</v>
      </c>
    </row>
    <row r="38" spans="2:41" ht="17.25" customHeight="1" thickBot="1" x14ac:dyDescent="0.35">
      <c r="B38" s="223">
        <v>22</v>
      </c>
      <c r="C38" s="62" t="s">
        <v>147</v>
      </c>
      <c r="D38" s="371">
        <v>10476686</v>
      </c>
      <c r="E38" s="371">
        <v>22398912.125329971</v>
      </c>
      <c r="F38" s="371">
        <v>21958656.654889971</v>
      </c>
      <c r="G38" s="371">
        <v>22822070.20205057</v>
      </c>
      <c r="H38" s="371">
        <v>18408822.292828906</v>
      </c>
      <c r="I38" s="371">
        <v>17021889.968174279</v>
      </c>
      <c r="J38" s="371">
        <v>18679734.040855132</v>
      </c>
      <c r="K38" s="371">
        <v>19249217.76658107</v>
      </c>
      <c r="L38" s="371">
        <v>19458048.618934073</v>
      </c>
      <c r="M38" s="371">
        <v>18089070.19989752</v>
      </c>
      <c r="N38" s="371">
        <v>15858043.115182206</v>
      </c>
      <c r="O38" s="371">
        <v>7377187.3492214028</v>
      </c>
      <c r="P38" s="357"/>
      <c r="Q38" s="351"/>
      <c r="R38" s="386"/>
      <c r="S38" s="386"/>
    </row>
    <row r="39" spans="2:41" ht="17.25" customHeight="1" thickBot="1" x14ac:dyDescent="0.35">
      <c r="B39" s="223">
        <v>23</v>
      </c>
      <c r="C39" s="62" t="s">
        <v>148</v>
      </c>
      <c r="D39" s="371">
        <v>7365526</v>
      </c>
      <c r="E39" s="371">
        <v>35067038.986840218</v>
      </c>
      <c r="F39" s="371">
        <v>38710381.129084706</v>
      </c>
      <c r="G39" s="371">
        <v>38734752.874616519</v>
      </c>
      <c r="H39" s="371">
        <v>41460304.114353269</v>
      </c>
      <c r="I39" s="371">
        <v>38136844.711194113</v>
      </c>
      <c r="J39" s="371">
        <v>38461832.296597682</v>
      </c>
      <c r="K39" s="371">
        <v>33921117.181613624</v>
      </c>
      <c r="L39" s="371">
        <v>31375552.07747627</v>
      </c>
      <c r="M39" s="371">
        <v>30619520.77426501</v>
      </c>
      <c r="N39" s="371">
        <v>31713296.283783019</v>
      </c>
      <c r="O39" s="371">
        <v>32558863.491504177</v>
      </c>
      <c r="P39" s="357"/>
      <c r="Q39" s="351"/>
      <c r="R39" s="386"/>
      <c r="S39" s="386"/>
    </row>
    <row r="40" spans="2:41" ht="17.25" customHeight="1" thickBot="1" x14ac:dyDescent="0.35">
      <c r="B40" s="223">
        <v>24</v>
      </c>
      <c r="C40" s="63" t="s">
        <v>149</v>
      </c>
      <c r="D40" s="371">
        <v>21218621.234999999</v>
      </c>
      <c r="E40" s="371">
        <v>43229523.779587775</v>
      </c>
      <c r="F40" s="371">
        <v>44052674.284072019</v>
      </c>
      <c r="G40" s="371">
        <v>40576545.624424398</v>
      </c>
      <c r="H40" s="371">
        <v>41754454.443182699</v>
      </c>
      <c r="I40" s="371">
        <v>42683720.707600884</v>
      </c>
      <c r="J40" s="371">
        <v>43632936.675689161</v>
      </c>
      <c r="K40" s="371">
        <v>44870400.478366807</v>
      </c>
      <c r="L40" s="371">
        <v>46036818.715541236</v>
      </c>
      <c r="M40" s="371">
        <v>47094131.306182928</v>
      </c>
      <c r="N40" s="371">
        <v>48491650.10342247</v>
      </c>
      <c r="O40" s="371">
        <v>49580699.496151157</v>
      </c>
      <c r="P40" s="355"/>
      <c r="Q40" s="355"/>
      <c r="R40" s="386"/>
      <c r="S40" s="386"/>
    </row>
    <row r="41" spans="2:41" ht="17.25" customHeight="1" thickBot="1" x14ac:dyDescent="0.35">
      <c r="B41" s="223">
        <v>25</v>
      </c>
      <c r="C41" s="64" t="s">
        <v>150</v>
      </c>
      <c r="D41" s="68"/>
      <c r="E41" s="68"/>
      <c r="F41" s="68"/>
      <c r="G41" s="68"/>
      <c r="H41" s="68"/>
      <c r="I41" s="68"/>
      <c r="J41" s="68"/>
      <c r="K41" s="68"/>
      <c r="L41" s="68"/>
      <c r="M41" s="68"/>
      <c r="N41" s="68"/>
      <c r="O41" s="68"/>
      <c r="P41" s="358"/>
      <c r="Q41" s="358"/>
      <c r="R41" s="386"/>
      <c r="S41" s="386"/>
    </row>
    <row r="42" spans="2:41" ht="17.25" customHeight="1" thickBot="1" x14ac:dyDescent="0.35">
      <c r="B42" s="223">
        <v>26</v>
      </c>
      <c r="C42" s="132" t="s">
        <v>151</v>
      </c>
      <c r="D42" s="41"/>
      <c r="E42" s="41"/>
      <c r="F42" s="41"/>
      <c r="G42" s="41"/>
      <c r="H42" s="41"/>
      <c r="I42" s="41"/>
      <c r="J42" s="41"/>
      <c r="K42" s="41"/>
      <c r="L42" s="41"/>
      <c r="M42" s="41"/>
      <c r="N42" s="41"/>
      <c r="O42" s="41"/>
      <c r="P42" s="359"/>
      <c r="Q42" s="360"/>
      <c r="R42" s="386"/>
      <c r="S42" s="386"/>
    </row>
    <row r="43" spans="2:41" ht="17.25" customHeight="1" thickBot="1" x14ac:dyDescent="0.35">
      <c r="B43" s="223"/>
      <c r="C43" s="133" t="s">
        <v>152</v>
      </c>
      <c r="D43" s="371">
        <v>64511242.129999988</v>
      </c>
      <c r="E43" s="371">
        <v>61343315.988639995</v>
      </c>
      <c r="F43" s="371">
        <v>69207299.678544596</v>
      </c>
      <c r="G43" s="371">
        <v>111383096.67312299</v>
      </c>
      <c r="H43" s="371">
        <v>154114989.17354864</v>
      </c>
      <c r="I43" s="371">
        <v>173055187.07128146</v>
      </c>
      <c r="J43" s="371">
        <v>185474844.77789119</v>
      </c>
      <c r="K43" s="371">
        <v>177784534.28173086</v>
      </c>
      <c r="L43" s="371">
        <v>173504995.09354666</v>
      </c>
      <c r="M43" s="371">
        <v>173660608.36660841</v>
      </c>
      <c r="N43" s="371">
        <v>173906948.62469283</v>
      </c>
      <c r="O43" s="371">
        <v>157267954.93856218</v>
      </c>
      <c r="P43" s="347"/>
      <c r="Q43" s="347"/>
      <c r="R43" s="386"/>
      <c r="S43" s="386"/>
    </row>
    <row r="44" spans="2:41" ht="17.25" customHeight="1" thickBot="1" x14ac:dyDescent="0.35">
      <c r="B44" s="223">
        <v>27</v>
      </c>
      <c r="C44" s="149" t="s">
        <v>118</v>
      </c>
      <c r="D44" s="60"/>
      <c r="E44" s="371"/>
      <c r="F44" s="371"/>
      <c r="G44" s="371"/>
      <c r="H44" s="371"/>
      <c r="I44" s="371"/>
      <c r="J44" s="371"/>
      <c r="K44" s="371"/>
      <c r="L44" s="371"/>
      <c r="M44" s="371"/>
      <c r="N44" s="371"/>
      <c r="O44" s="371"/>
      <c r="P44" s="355"/>
      <c r="Q44" s="355"/>
      <c r="R44" s="386"/>
      <c r="S44" s="386"/>
    </row>
    <row r="45" spans="2:41" ht="17.25" customHeight="1" thickBot="1" x14ac:dyDescent="0.35">
      <c r="B45" s="223">
        <v>28</v>
      </c>
      <c r="C45" s="134" t="s">
        <v>153</v>
      </c>
      <c r="D45" s="375" t="s">
        <v>234</v>
      </c>
      <c r="E45" s="371">
        <v>14980249.430999998</v>
      </c>
      <c r="F45" s="371">
        <v>24915921.246615004</v>
      </c>
      <c r="G45" s="371">
        <v>24902130.978235003</v>
      </c>
      <c r="H45" s="371">
        <v>24901841.440700006</v>
      </c>
      <c r="I45" s="371">
        <v>24903375.070489999</v>
      </c>
      <c r="J45" s="371">
        <v>24918979.383900005</v>
      </c>
      <c r="K45" s="371">
        <v>14043035.358889999</v>
      </c>
      <c r="L45" s="371">
        <v>5487812.0950450003</v>
      </c>
      <c r="M45" s="371">
        <v>5490671.9869049992</v>
      </c>
      <c r="N45" s="371">
        <v>5504184.1317750001</v>
      </c>
      <c r="O45" s="371">
        <v>5494344.0032250006</v>
      </c>
      <c r="P45" s="348"/>
      <c r="Q45" s="348"/>
      <c r="R45" s="386"/>
      <c r="S45" s="386"/>
    </row>
    <row r="46" spans="2:41" ht="17.25" customHeight="1" thickBot="1" x14ac:dyDescent="0.35">
      <c r="B46" s="223">
        <v>29</v>
      </c>
      <c r="C46" s="135" t="s">
        <v>154</v>
      </c>
      <c r="D46" s="375" t="s">
        <v>234</v>
      </c>
      <c r="E46" s="371">
        <v>26328999.610306382</v>
      </c>
      <c r="F46" s="371">
        <v>22072850.224946439</v>
      </c>
      <c r="G46" s="371">
        <v>28448532.695780754</v>
      </c>
      <c r="H46" s="371">
        <v>26513378.956544101</v>
      </c>
      <c r="I46" s="371">
        <v>27935692.280614614</v>
      </c>
      <c r="J46" s="371">
        <v>31329651.548164904</v>
      </c>
      <c r="K46" s="371">
        <v>43207964.40293622</v>
      </c>
      <c r="L46" s="371">
        <v>58680281.171938539</v>
      </c>
      <c r="M46" s="371">
        <v>67272868.578826785</v>
      </c>
      <c r="N46" s="371">
        <v>77613934.351243258</v>
      </c>
      <c r="O46" s="371">
        <v>89245966.726335883</v>
      </c>
      <c r="P46" s="361"/>
      <c r="Q46" s="361"/>
      <c r="R46" s="386"/>
      <c r="S46" s="386"/>
    </row>
    <row r="47" spans="2:41" ht="17.25" customHeight="1" thickBot="1" x14ac:dyDescent="0.35">
      <c r="B47" s="223">
        <v>30</v>
      </c>
      <c r="C47" s="135" t="s">
        <v>155</v>
      </c>
      <c r="D47" s="371">
        <v>145908424</v>
      </c>
      <c r="E47" s="371">
        <v>65202592.116445303</v>
      </c>
      <c r="F47" s="371">
        <v>84461127.918463349</v>
      </c>
      <c r="G47" s="371">
        <v>49888041.866502829</v>
      </c>
      <c r="H47" s="371">
        <v>-5789828.1880458146</v>
      </c>
      <c r="I47" s="371">
        <v>-10148899.16869577</v>
      </c>
      <c r="J47" s="371">
        <v>-3269687.3862212002</v>
      </c>
      <c r="K47" s="371">
        <v>37228936.054896176</v>
      </c>
      <c r="L47" s="371">
        <v>70483183.292283297</v>
      </c>
      <c r="M47" s="371">
        <v>90277269.73525618</v>
      </c>
      <c r="N47" s="371">
        <v>118944838.93788338</v>
      </c>
      <c r="O47" s="371">
        <v>146940585.96531874</v>
      </c>
      <c r="P47" s="354"/>
      <c r="Q47" s="354"/>
      <c r="R47" s="386"/>
      <c r="S47" s="386"/>
    </row>
    <row r="48" spans="2:41" ht="16.5" customHeight="1" thickBot="1" x14ac:dyDescent="0.3">
      <c r="C48" s="180" t="s">
        <v>156</v>
      </c>
      <c r="D48" s="41"/>
      <c r="E48" s="41"/>
      <c r="F48" s="41"/>
      <c r="G48" s="41"/>
      <c r="H48" s="41"/>
      <c r="I48" s="41"/>
      <c r="J48" s="41"/>
      <c r="K48" s="41"/>
      <c r="L48" s="41"/>
      <c r="M48" s="41"/>
      <c r="N48" s="41"/>
      <c r="O48" s="41"/>
      <c r="P48" s="349"/>
      <c r="Q48" s="350"/>
      <c r="R48" s="386"/>
      <c r="S48" s="386"/>
    </row>
    <row r="49" spans="2:41" ht="16.5" customHeight="1" thickBot="1" x14ac:dyDescent="0.35">
      <c r="B49" s="223">
        <v>31</v>
      </c>
      <c r="C49" s="133" t="s">
        <v>157</v>
      </c>
      <c r="D49" s="371">
        <v>1787734.3116419998</v>
      </c>
      <c r="E49" s="371">
        <v>2379221.1186000002</v>
      </c>
      <c r="F49" s="371">
        <v>2857510.659</v>
      </c>
      <c r="G49" s="371">
        <v>2961517.8347999998</v>
      </c>
      <c r="H49" s="371">
        <v>3042009.7680000002</v>
      </c>
      <c r="I49" s="371">
        <v>3151407.8885999997</v>
      </c>
      <c r="J49" s="371">
        <v>3295968.2621999998</v>
      </c>
      <c r="K49" s="371">
        <v>3456916.2168000001</v>
      </c>
      <c r="L49" s="371">
        <v>3580776.2705999999</v>
      </c>
      <c r="M49" s="371">
        <v>3725745.3486000001</v>
      </c>
      <c r="N49" s="371">
        <v>3848824.8426000001</v>
      </c>
      <c r="O49" s="371">
        <v>4008069.8196</v>
      </c>
      <c r="P49" s="347"/>
      <c r="Q49" s="347"/>
      <c r="R49" s="386"/>
      <c r="S49" s="386"/>
    </row>
    <row r="50" spans="2:41" ht="16.5" customHeight="1" thickBot="1" x14ac:dyDescent="0.35">
      <c r="B50" s="223">
        <v>32</v>
      </c>
      <c r="C50" s="137" t="s">
        <v>158</v>
      </c>
      <c r="D50" s="371">
        <v>69375164.019999996</v>
      </c>
      <c r="E50" s="371">
        <v>76597056.090665534</v>
      </c>
      <c r="F50" s="371">
        <v>87486353.944106385</v>
      </c>
      <c r="G50" s="371">
        <v>101613609.16418819</v>
      </c>
      <c r="H50" s="371">
        <v>113406603.90321639</v>
      </c>
      <c r="I50" s="371">
        <v>129896059.75785759</v>
      </c>
      <c r="J50" s="371">
        <v>153119897.50146097</v>
      </c>
      <c r="K50" s="371">
        <v>180200612.61411595</v>
      </c>
      <c r="L50" s="371">
        <v>207860805.89494482</v>
      </c>
      <c r="M50" s="371">
        <v>234304066.63284951</v>
      </c>
      <c r="N50" s="371">
        <v>259118266.02590525</v>
      </c>
      <c r="O50" s="371">
        <v>283241130.6375038</v>
      </c>
      <c r="P50" s="353"/>
      <c r="Q50" s="353"/>
      <c r="R50" s="386"/>
      <c r="S50" s="386"/>
      <c r="AE50" s="36">
        <v>87317.629116000011</v>
      </c>
      <c r="AF50" s="36">
        <v>89937.157989480009</v>
      </c>
      <c r="AG50" s="36">
        <v>92635.272729164411</v>
      </c>
      <c r="AH50" s="36">
        <v>95414.330911039346</v>
      </c>
      <c r="AI50" s="36">
        <v>98276.760838370523</v>
      </c>
      <c r="AJ50" s="36">
        <v>101225.06366352164</v>
      </c>
      <c r="AK50" s="36">
        <v>104261.81557342729</v>
      </c>
      <c r="AL50" s="36">
        <v>107389.67004063011</v>
      </c>
      <c r="AM50" s="36">
        <v>110611.36014184901</v>
      </c>
      <c r="AN50" s="36">
        <v>113929.70094610448</v>
      </c>
      <c r="AO50" s="36">
        <v>117347.59197448762</v>
      </c>
    </row>
    <row r="51" spans="2:41" ht="16.5" customHeight="1" thickBot="1" x14ac:dyDescent="0.35">
      <c r="B51" s="223">
        <v>33</v>
      </c>
      <c r="C51" s="149" t="s">
        <v>159</v>
      </c>
      <c r="D51" s="371">
        <v>4248170</v>
      </c>
      <c r="E51" s="371">
        <v>129686.93839584001</v>
      </c>
      <c r="F51" s="371">
        <v>133577.5465477152</v>
      </c>
      <c r="G51" s="371">
        <v>137584.87294414669</v>
      </c>
      <c r="H51" s="371">
        <v>141712.41913247108</v>
      </c>
      <c r="I51" s="371">
        <v>145963.79170644519</v>
      </c>
      <c r="J51" s="371">
        <v>150342.70545763854</v>
      </c>
      <c r="K51" s="371">
        <v>154852.98662136772</v>
      </c>
      <c r="L51" s="371">
        <v>159498.57622000875</v>
      </c>
      <c r="M51" s="371">
        <v>164283.533506609</v>
      </c>
      <c r="N51" s="371">
        <v>169212.03951180726</v>
      </c>
      <c r="O51" s="371">
        <v>174288.4006971615</v>
      </c>
      <c r="P51" s="355"/>
      <c r="Q51" s="355"/>
      <c r="R51" s="386"/>
      <c r="S51" s="386"/>
      <c r="AE51" s="36">
        <v>42369.309279840003</v>
      </c>
      <c r="AF51" s="36">
        <v>43640.388558235201</v>
      </c>
      <c r="AG51" s="36">
        <v>44949.60021498226</v>
      </c>
      <c r="AH51" s="36">
        <v>46298.088221431724</v>
      </c>
      <c r="AI51" s="36">
        <v>47687.030868074675</v>
      </c>
      <c r="AJ51" s="36">
        <v>49117.641794116913</v>
      </c>
      <c r="AK51" s="36">
        <v>50591.171047940421</v>
      </c>
      <c r="AL51" s="36">
        <v>52108.906179378631</v>
      </c>
      <c r="AM51" s="36">
        <v>53672.17336475999</v>
      </c>
      <c r="AN51" s="36">
        <v>55282.33856570279</v>
      </c>
      <c r="AO51" s="36">
        <v>56940.808722673872</v>
      </c>
    </row>
    <row r="52" spans="2:41" ht="18.75" customHeight="1" thickBot="1" x14ac:dyDescent="0.35">
      <c r="B52" s="223"/>
      <c r="C52" s="181" t="s">
        <v>160</v>
      </c>
      <c r="D52" s="371">
        <v>40177859.858357996</v>
      </c>
      <c r="E52" s="371">
        <v>53471039.881400004</v>
      </c>
      <c r="F52" s="371">
        <v>64220204.341000006</v>
      </c>
      <c r="G52" s="371">
        <v>66557680.165200002</v>
      </c>
      <c r="H52" s="371">
        <v>68366670.232000008</v>
      </c>
      <c r="I52" s="371">
        <v>70825303.111400008</v>
      </c>
      <c r="J52" s="371">
        <v>74074178.737800002</v>
      </c>
      <c r="K52" s="371">
        <v>77691351.783199996</v>
      </c>
      <c r="L52" s="371">
        <v>80475004.729400009</v>
      </c>
      <c r="M52" s="371">
        <v>83733065.6514</v>
      </c>
      <c r="N52" s="371">
        <v>86499176.157399997</v>
      </c>
      <c r="O52" s="371">
        <v>90078076.180399999</v>
      </c>
      <c r="P52" s="354"/>
      <c r="Q52" s="354"/>
      <c r="R52" s="386"/>
      <c r="S52" s="386"/>
    </row>
    <row r="53" spans="2:41" ht="17.25" customHeight="1" thickBot="1" x14ac:dyDescent="0.35">
      <c r="B53" s="223">
        <v>34</v>
      </c>
      <c r="C53" s="181" t="s">
        <v>161</v>
      </c>
      <c r="D53" s="371">
        <v>1648084.2200000009</v>
      </c>
      <c r="E53" s="371">
        <v>2654579</v>
      </c>
      <c r="F53" s="371">
        <v>2316720</v>
      </c>
      <c r="G53" s="371">
        <v>2427768</v>
      </c>
      <c r="H53" s="371">
        <v>2552400</v>
      </c>
      <c r="I53" s="371">
        <v>2603140</v>
      </c>
      <c r="J53" s="371">
        <v>2704591</v>
      </c>
      <c r="K53" s="371">
        <v>2842173</v>
      </c>
      <c r="L53" s="371">
        <v>2923953</v>
      </c>
      <c r="M53" s="371">
        <v>3025282</v>
      </c>
      <c r="N53" s="371">
        <v>3111895</v>
      </c>
      <c r="O53" s="371">
        <v>3187447</v>
      </c>
      <c r="P53" s="354"/>
      <c r="Q53" s="354"/>
      <c r="R53" s="386"/>
      <c r="S53" s="386"/>
    </row>
    <row r="54" spans="2:41" ht="17.25" customHeight="1" thickBot="1" x14ac:dyDescent="0.35">
      <c r="B54" s="223">
        <v>35</v>
      </c>
      <c r="C54" s="181" t="s">
        <v>162</v>
      </c>
      <c r="D54" s="371">
        <v>52314235.099999905</v>
      </c>
      <c r="E54" s="371">
        <v>49385976.534958899</v>
      </c>
      <c r="F54" s="371">
        <v>31983437.017918825</v>
      </c>
      <c r="G54" s="371">
        <v>46701337.758784056</v>
      </c>
      <c r="H54" s="371">
        <v>88012112.254337907</v>
      </c>
      <c r="I54" s="371">
        <v>89187254.981505513</v>
      </c>
      <c r="J54" s="371">
        <v>143345875.60871136</v>
      </c>
      <c r="K54" s="371">
        <v>103053350.3432982</v>
      </c>
      <c r="L54" s="371">
        <v>74679430.062261224</v>
      </c>
      <c r="M54" s="371">
        <v>55374669.658940673</v>
      </c>
      <c r="N54" s="371">
        <v>56513561.520431995</v>
      </c>
      <c r="O54" s="371">
        <v>58195126.466621399</v>
      </c>
      <c r="P54" s="354"/>
      <c r="Q54" s="354"/>
      <c r="R54" s="386"/>
      <c r="S54" s="386"/>
    </row>
    <row r="55" spans="2:41" ht="17.25" customHeight="1" thickBot="1" x14ac:dyDescent="0.35">
      <c r="B55" s="223"/>
      <c r="C55" s="180" t="s">
        <v>163</v>
      </c>
      <c r="D55" s="41"/>
      <c r="E55" s="41"/>
      <c r="F55" s="41"/>
      <c r="G55" s="41"/>
      <c r="H55" s="41"/>
      <c r="I55" s="41"/>
      <c r="J55" s="41"/>
      <c r="K55" s="41"/>
      <c r="L55" s="41"/>
      <c r="M55" s="41"/>
      <c r="N55" s="41"/>
      <c r="O55" s="41"/>
      <c r="P55" s="349"/>
      <c r="Q55" s="350"/>
      <c r="R55" s="386"/>
      <c r="S55" s="386"/>
    </row>
    <row r="56" spans="2:41" ht="17.25" customHeight="1" thickBot="1" x14ac:dyDescent="0.35">
      <c r="B56" s="223">
        <v>36</v>
      </c>
      <c r="C56" s="182" t="s">
        <v>164</v>
      </c>
      <c r="D56" s="376"/>
      <c r="E56" s="376"/>
      <c r="F56" s="376"/>
      <c r="G56" s="376"/>
      <c r="H56" s="376"/>
      <c r="I56" s="376"/>
      <c r="J56" s="376"/>
      <c r="K56" s="376"/>
      <c r="L56" s="376"/>
      <c r="M56" s="376"/>
      <c r="N56" s="376"/>
      <c r="O56" s="376"/>
      <c r="P56" s="347"/>
      <c r="Q56" s="347"/>
      <c r="R56" s="386"/>
      <c r="S56" s="386"/>
    </row>
    <row r="57" spans="2:41" ht="16.5" customHeight="1" thickBot="1" x14ac:dyDescent="0.35">
      <c r="B57" s="223">
        <v>37</v>
      </c>
      <c r="C57" s="136" t="s">
        <v>165</v>
      </c>
      <c r="D57" s="377"/>
      <c r="E57" s="377"/>
      <c r="F57" s="377"/>
      <c r="G57" s="377"/>
      <c r="H57" s="377"/>
      <c r="I57" s="377"/>
      <c r="J57" s="377"/>
      <c r="K57" s="377"/>
      <c r="L57" s="377"/>
      <c r="M57" s="378"/>
      <c r="N57" s="379"/>
      <c r="O57" s="379"/>
      <c r="P57" s="357"/>
      <c r="Q57" s="351"/>
      <c r="R57" s="386"/>
      <c r="S57" s="386"/>
    </row>
    <row r="58" spans="2:41" ht="17.25" customHeight="1" thickBot="1" x14ac:dyDescent="0.35">
      <c r="B58" s="223">
        <v>38</v>
      </c>
      <c r="C58" s="137" t="s">
        <v>166</v>
      </c>
      <c r="D58" s="377"/>
      <c r="E58" s="377"/>
      <c r="F58" s="377"/>
      <c r="G58" s="377"/>
      <c r="H58" s="377"/>
      <c r="I58" s="377"/>
      <c r="J58" s="377"/>
      <c r="K58" s="377"/>
      <c r="L58" s="377"/>
      <c r="M58" s="378"/>
      <c r="N58" s="379"/>
      <c r="O58" s="379"/>
      <c r="P58" s="357"/>
      <c r="Q58" s="351"/>
      <c r="R58" s="386"/>
      <c r="S58" s="386"/>
    </row>
    <row r="59" spans="2:41" ht="17.25" customHeight="1" thickBot="1" x14ac:dyDescent="0.35">
      <c r="B59" s="223">
        <v>39</v>
      </c>
      <c r="C59" s="137" t="s">
        <v>167</v>
      </c>
      <c r="D59" s="380"/>
      <c r="E59" s="380"/>
      <c r="F59" s="380"/>
      <c r="G59" s="380"/>
      <c r="H59" s="380"/>
      <c r="I59" s="380"/>
      <c r="J59" s="380"/>
      <c r="K59" s="380"/>
      <c r="L59" s="380"/>
      <c r="M59" s="381"/>
      <c r="N59" s="382"/>
      <c r="O59" s="382"/>
      <c r="P59" s="356"/>
      <c r="Q59" s="355"/>
      <c r="R59" s="386"/>
      <c r="S59" s="386"/>
    </row>
    <row r="60" spans="2:41" ht="17.25" customHeight="1" thickBot="1" x14ac:dyDescent="0.35">
      <c r="B60" s="223">
        <v>40</v>
      </c>
      <c r="C60" s="137" t="s">
        <v>168</v>
      </c>
      <c r="D60" s="383">
        <v>14198625.919999994</v>
      </c>
      <c r="E60" s="383">
        <v>30051710</v>
      </c>
      <c r="F60" s="383">
        <v>41007030</v>
      </c>
      <c r="G60" s="383">
        <v>32289207</v>
      </c>
      <c r="H60" s="383">
        <v>18879885</v>
      </c>
      <c r="I60" s="383">
        <v>19103280</v>
      </c>
      <c r="J60" s="383">
        <v>19131443</v>
      </c>
      <c r="K60" s="383">
        <v>19568374</v>
      </c>
      <c r="L60" s="383">
        <v>20086505</v>
      </c>
      <c r="M60" s="383">
        <v>19941730</v>
      </c>
      <c r="N60" s="383">
        <v>20338448</v>
      </c>
      <c r="O60" s="383">
        <v>20771170</v>
      </c>
      <c r="P60" s="356"/>
      <c r="Q60" s="355"/>
      <c r="R60" s="386"/>
      <c r="S60" s="386"/>
      <c r="AC60" s="36" t="s">
        <v>302</v>
      </c>
    </row>
    <row r="61" spans="2:41" ht="18" customHeight="1" thickBot="1" x14ac:dyDescent="0.35">
      <c r="B61" s="223">
        <v>41</v>
      </c>
      <c r="C61" s="181" t="s">
        <v>169</v>
      </c>
      <c r="D61" s="69"/>
      <c r="E61" s="69"/>
      <c r="F61" s="69"/>
      <c r="G61" s="69"/>
      <c r="H61" s="69"/>
      <c r="I61" s="69"/>
      <c r="J61" s="69"/>
      <c r="K61" s="69"/>
      <c r="L61" s="69"/>
      <c r="M61" s="69"/>
      <c r="N61" s="69"/>
      <c r="O61" s="69"/>
      <c r="P61" s="354"/>
      <c r="Q61" s="354"/>
      <c r="R61" s="386"/>
      <c r="S61" s="386"/>
    </row>
    <row r="62" spans="2:41" ht="17.25" customHeight="1" thickBot="1" x14ac:dyDescent="0.35">
      <c r="B62" s="223"/>
      <c r="C62" s="138" t="s">
        <v>170</v>
      </c>
      <c r="D62" s="374"/>
      <c r="E62" s="374">
        <v>62503164</v>
      </c>
      <c r="F62" s="374"/>
      <c r="G62" s="374"/>
      <c r="H62" s="374"/>
      <c r="I62" s="374"/>
      <c r="J62" s="374"/>
      <c r="K62" s="374"/>
      <c r="L62" s="374"/>
      <c r="M62" s="374"/>
      <c r="N62" s="374"/>
      <c r="O62" s="374"/>
      <c r="P62" s="362"/>
      <c r="Q62" s="363"/>
      <c r="R62" s="386"/>
      <c r="S62" s="386"/>
    </row>
    <row r="63" spans="2:41" ht="16.5" customHeight="1" thickBot="1" x14ac:dyDescent="0.35">
      <c r="B63" s="223">
        <v>42</v>
      </c>
      <c r="C63" s="139" t="s">
        <v>171</v>
      </c>
      <c r="D63" s="371">
        <v>18018751.290000003</v>
      </c>
      <c r="E63" s="371">
        <v>7593000</v>
      </c>
      <c r="F63" s="371">
        <v>2305000</v>
      </c>
      <c r="G63" s="371">
        <v>6294000</v>
      </c>
      <c r="H63" s="371">
        <v>5261000</v>
      </c>
      <c r="I63" s="371">
        <v>5713000</v>
      </c>
      <c r="J63" s="371">
        <v>7787000</v>
      </c>
      <c r="K63" s="371">
        <v>8312000</v>
      </c>
      <c r="L63" s="371">
        <v>7632000</v>
      </c>
      <c r="M63" s="371">
        <v>9314000</v>
      </c>
      <c r="N63" s="371">
        <v>8850000</v>
      </c>
      <c r="O63" s="371">
        <v>0</v>
      </c>
      <c r="P63" s="347"/>
      <c r="Q63" s="347"/>
      <c r="R63" s="386"/>
      <c r="S63" s="386"/>
    </row>
    <row r="64" spans="2:41" ht="17.25" customHeight="1" thickBot="1" x14ac:dyDescent="0.35">
      <c r="B64" s="223">
        <v>43</v>
      </c>
      <c r="C64" s="140" t="s">
        <v>172</v>
      </c>
      <c r="D64" s="371">
        <v>22558737.990000006</v>
      </c>
      <c r="E64" s="371">
        <v>58285151</v>
      </c>
      <c r="F64" s="371">
        <v>323535586</v>
      </c>
      <c r="G64" s="371">
        <v>10980264</v>
      </c>
      <c r="H64" s="371">
        <v>1072138</v>
      </c>
      <c r="I64" s="371">
        <v>53542342</v>
      </c>
      <c r="J64" s="371">
        <v>34062594</v>
      </c>
      <c r="K64" s="371">
        <v>575000</v>
      </c>
      <c r="L64" s="371">
        <v>575000</v>
      </c>
      <c r="M64" s="371">
        <v>575000</v>
      </c>
      <c r="N64" s="371">
        <v>575000</v>
      </c>
      <c r="O64" s="371">
        <v>575000</v>
      </c>
      <c r="P64" s="353"/>
      <c r="Q64" s="353"/>
      <c r="R64" s="386"/>
      <c r="S64" s="386"/>
    </row>
    <row r="65" spans="2:19" ht="17.25" customHeight="1" thickBot="1" x14ac:dyDescent="0.35">
      <c r="B65" s="223">
        <v>44</v>
      </c>
      <c r="C65" s="140" t="s">
        <v>173</v>
      </c>
      <c r="D65" s="371">
        <v>14352502.43999999</v>
      </c>
      <c r="E65" s="371">
        <v>24056093</v>
      </c>
      <c r="F65" s="371">
        <v>24306617</v>
      </c>
      <c r="G65" s="371">
        <v>34643276.280000001</v>
      </c>
      <c r="H65" s="371">
        <v>37345529</v>
      </c>
      <c r="I65" s="371">
        <v>9092855</v>
      </c>
      <c r="J65" s="371">
        <v>8897661</v>
      </c>
      <c r="K65" s="371">
        <v>8152000</v>
      </c>
      <c r="L65" s="371">
        <v>8224000</v>
      </c>
      <c r="M65" s="371">
        <v>8378000</v>
      </c>
      <c r="N65" s="371">
        <v>8145000</v>
      </c>
      <c r="O65" s="371">
        <v>8146000</v>
      </c>
      <c r="P65" s="353"/>
      <c r="Q65" s="353"/>
      <c r="R65" s="386"/>
      <c r="S65" s="386"/>
    </row>
    <row r="66" spans="2:19" ht="17.25" customHeight="1" thickBot="1" x14ac:dyDescent="0.35">
      <c r="B66" s="223">
        <v>45</v>
      </c>
      <c r="C66" s="141" t="s">
        <v>174</v>
      </c>
      <c r="D66" s="371">
        <v>2527342.5800000005</v>
      </c>
      <c r="E66" s="371">
        <v>3898692</v>
      </c>
      <c r="F66" s="371">
        <v>1550000</v>
      </c>
      <c r="G66" s="371">
        <v>8710134</v>
      </c>
      <c r="H66" s="371">
        <v>1125000</v>
      </c>
      <c r="I66" s="371">
        <v>1125000</v>
      </c>
      <c r="J66" s="371">
        <v>1125000</v>
      </c>
      <c r="K66" s="371">
        <v>1125000</v>
      </c>
      <c r="L66" s="371">
        <v>1125000</v>
      </c>
      <c r="M66" s="371">
        <v>1125000</v>
      </c>
      <c r="N66" s="371">
        <v>1125000</v>
      </c>
      <c r="O66" s="371">
        <v>1125000</v>
      </c>
      <c r="P66" s="352"/>
      <c r="Q66" s="352"/>
      <c r="R66" s="386"/>
      <c r="S66" s="386"/>
    </row>
    <row r="67" spans="2:19" ht="16.5" customHeight="1" thickBot="1" x14ac:dyDescent="0.35">
      <c r="B67" s="223">
        <v>46</v>
      </c>
      <c r="C67" s="142" t="s">
        <v>175</v>
      </c>
      <c r="D67" s="371">
        <v>16301978.84</v>
      </c>
      <c r="E67" s="371">
        <v>16548917</v>
      </c>
      <c r="F67" s="371">
        <v>34279056</v>
      </c>
      <c r="G67" s="371">
        <v>36296170</v>
      </c>
      <c r="H67" s="371">
        <v>32384221</v>
      </c>
      <c r="I67" s="371">
        <v>32395483</v>
      </c>
      <c r="J67" s="371">
        <v>32419780</v>
      </c>
      <c r="K67" s="371">
        <v>30930433</v>
      </c>
      <c r="L67" s="371">
        <v>32032050</v>
      </c>
      <c r="M67" s="371">
        <v>32022596</v>
      </c>
      <c r="N67" s="371">
        <v>32100286</v>
      </c>
      <c r="O67" s="371">
        <v>26404016</v>
      </c>
      <c r="P67" s="364"/>
      <c r="Q67" s="364"/>
      <c r="R67" s="386"/>
      <c r="S67" s="386"/>
    </row>
    <row r="68" spans="2:19" ht="16.5" customHeight="1" thickBot="1" x14ac:dyDescent="0.35">
      <c r="B68" s="223">
        <v>47</v>
      </c>
      <c r="C68" s="142" t="s">
        <v>176</v>
      </c>
      <c r="D68" s="371">
        <v>9805801</v>
      </c>
      <c r="E68" s="371">
        <v>32799689</v>
      </c>
      <c r="F68" s="371">
        <v>4671146.6919958591</v>
      </c>
      <c r="G68" s="371">
        <v>4088707.5191709995</v>
      </c>
      <c r="H68" s="371">
        <v>20356180.232434988</v>
      </c>
      <c r="I68" s="371">
        <v>43471680.520435452</v>
      </c>
      <c r="J68" s="371">
        <v>16857684.438664913</v>
      </c>
      <c r="K68" s="371">
        <v>60780102.871601582</v>
      </c>
      <c r="L68" s="371">
        <v>76867127.07696557</v>
      </c>
      <c r="M68" s="371">
        <v>78645836.02299571</v>
      </c>
      <c r="N68" s="371">
        <v>65867497.228135824</v>
      </c>
      <c r="O68" s="371">
        <v>58278788.361221313</v>
      </c>
      <c r="P68" s="364"/>
      <c r="Q68" s="364"/>
    </row>
    <row r="69" spans="2:19" ht="16.5" customHeight="1" thickBot="1" x14ac:dyDescent="0.4">
      <c r="B69" s="223">
        <v>48</v>
      </c>
      <c r="C69" s="143" t="s">
        <v>177</v>
      </c>
      <c r="D69" s="371">
        <v>27259168.400000002</v>
      </c>
      <c r="E69" s="371">
        <v>28643887</v>
      </c>
      <c r="F69" s="371">
        <v>33971414</v>
      </c>
      <c r="G69" s="371">
        <v>37578133</v>
      </c>
      <c r="H69" s="371">
        <v>41014633</v>
      </c>
      <c r="I69" s="371">
        <v>44283025</v>
      </c>
      <c r="J69" s="371">
        <v>48580461</v>
      </c>
      <c r="K69" s="371">
        <v>53217276</v>
      </c>
      <c r="L69" s="371">
        <v>57404880</v>
      </c>
      <c r="M69" s="371">
        <v>61142352</v>
      </c>
      <c r="N69" s="371">
        <v>64699664</v>
      </c>
      <c r="O69" s="371">
        <v>67786470</v>
      </c>
      <c r="P69" s="364"/>
      <c r="Q69" s="364"/>
    </row>
    <row r="70" spans="2:19" ht="13.5" thickBot="1" x14ac:dyDescent="0.35">
      <c r="B70" s="223"/>
      <c r="C70" s="144"/>
      <c r="D70" s="183"/>
      <c r="E70" s="183"/>
      <c r="F70" s="183"/>
      <c r="G70" s="183"/>
      <c r="H70" s="183"/>
      <c r="I70" s="183"/>
      <c r="J70" s="183"/>
      <c r="K70" s="183"/>
      <c r="L70" s="183"/>
      <c r="M70" s="183"/>
      <c r="N70" s="183"/>
      <c r="O70" s="183"/>
      <c r="P70" s="365"/>
      <c r="Q70" s="366"/>
    </row>
    <row r="71" spans="2:19" ht="18.5" thickBot="1" x14ac:dyDescent="0.35">
      <c r="B71" s="223">
        <v>49</v>
      </c>
      <c r="C71" s="145" t="s">
        <v>178</v>
      </c>
      <c r="D71" s="371">
        <v>612462995.40999997</v>
      </c>
      <c r="E71" s="371">
        <v>732605101</v>
      </c>
      <c r="F71" s="371">
        <v>1040699901.6919959</v>
      </c>
      <c r="G71" s="371">
        <v>785378769.79917097</v>
      </c>
      <c r="H71" s="371">
        <v>818932487.23243499</v>
      </c>
      <c r="I71" s="371">
        <v>907913230.52043545</v>
      </c>
      <c r="J71" s="371">
        <v>974621106.43866491</v>
      </c>
      <c r="K71" s="371">
        <v>1010116405.8716016</v>
      </c>
      <c r="L71" s="371">
        <v>1068896828.0769656</v>
      </c>
      <c r="M71" s="371">
        <v>1115285675.0229957</v>
      </c>
      <c r="N71" s="371">
        <v>1178216941.2281358</v>
      </c>
      <c r="O71" s="371">
        <v>1207696092.3612213</v>
      </c>
      <c r="P71" s="367">
        <f t="shared" ref="P71:Q71" si="0">SUM(P12:P22)+SUM(P26:P27)+SUM(P30:P47)+SUM(P49:P69)</f>
        <v>0</v>
      </c>
      <c r="Q71" s="367">
        <f t="shared" si="0"/>
        <v>0</v>
      </c>
    </row>
    <row r="73" spans="2:19" x14ac:dyDescent="0.25">
      <c r="B73" s="370" t="s">
        <v>281</v>
      </c>
      <c r="C73" s="36" t="s">
        <v>301</v>
      </c>
      <c r="E73" s="373"/>
      <c r="F73" s="384"/>
      <c r="G73" s="384"/>
      <c r="H73" s="384"/>
      <c r="I73" s="384"/>
      <c r="J73" s="384"/>
      <c r="K73" s="384"/>
      <c r="L73" s="384"/>
      <c r="M73" s="384"/>
      <c r="N73" s="384"/>
      <c r="O73" s="384"/>
    </row>
    <row r="74" spans="2:19" ht="15.5" x14ac:dyDescent="0.25">
      <c r="E74" s="385"/>
      <c r="F74" s="385"/>
      <c r="G74" s="385"/>
      <c r="H74" s="385"/>
      <c r="I74" s="385"/>
      <c r="J74" s="385"/>
      <c r="K74" s="385"/>
      <c r="L74" s="385"/>
      <c r="M74" s="385"/>
      <c r="N74" s="385"/>
      <c r="O74" s="385"/>
    </row>
    <row r="75" spans="2:19" ht="15.5" x14ac:dyDescent="0.25">
      <c r="E75" s="385"/>
      <c r="F75" s="385"/>
      <c r="G75" s="385"/>
      <c r="H75" s="385"/>
      <c r="I75" s="385"/>
      <c r="J75" s="385"/>
      <c r="K75" s="385"/>
      <c r="L75" s="385"/>
      <c r="M75" s="385"/>
      <c r="N75" s="385"/>
      <c r="O75" s="385"/>
    </row>
    <row r="76" spans="2:19" ht="15.5" x14ac:dyDescent="0.25">
      <c r="E76" s="385"/>
      <c r="F76" s="385"/>
      <c r="G76" s="385"/>
      <c r="H76" s="385"/>
      <c r="I76" s="385"/>
      <c r="J76" s="385"/>
      <c r="K76" s="385"/>
      <c r="L76" s="385"/>
      <c r="M76" s="385"/>
      <c r="N76" s="385"/>
      <c r="O76" s="385"/>
      <c r="S76" s="386"/>
    </row>
    <row r="77" spans="2:19" ht="15.5" x14ac:dyDescent="0.25">
      <c r="E77" s="385"/>
    </row>
  </sheetData>
  <mergeCells count="6">
    <mergeCell ref="C11:Q11"/>
    <mergeCell ref="C1:Q1"/>
    <mergeCell ref="C2:Q2"/>
    <mergeCell ref="C3:Q3"/>
    <mergeCell ref="C4:Q4"/>
    <mergeCell ref="C5:Q5"/>
  </mergeCells>
  <printOptions horizontalCentered="1"/>
  <pageMargins left="0.25" right="0.25" top="0.5" bottom="0.5" header="0.5" footer="0.3"/>
  <pageSetup scale="60" fitToHeight="2" orientation="landscape" r:id="rId1"/>
  <headerFooter alignWithMargins="0">
    <oddFooter>&amp;R&amp;A</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C21"/>
  <sheetViews>
    <sheetView zoomScale="160" zoomScaleNormal="160" workbookViewId="0"/>
  </sheetViews>
  <sheetFormatPr defaultColWidth="8.6640625" defaultRowHeight="10" x14ac:dyDescent="0.2"/>
  <cols>
    <col min="1" max="1" width="64.33203125" bestFit="1" customWidth="1"/>
    <col min="2" max="2" width="137.33203125" bestFit="1" customWidth="1"/>
  </cols>
  <sheetData>
    <row r="1" spans="1:3" ht="18" x14ac:dyDescent="0.4">
      <c r="A1" s="130" t="s">
        <v>9</v>
      </c>
      <c r="B1" s="131"/>
      <c r="C1" s="96"/>
    </row>
    <row r="2" spans="1:3" ht="17.25" customHeight="1" x14ac:dyDescent="0.3">
      <c r="A2" s="97" t="s">
        <v>10</v>
      </c>
      <c r="B2" s="95" t="s">
        <v>11</v>
      </c>
    </row>
    <row r="3" spans="1:3" ht="13" x14ac:dyDescent="0.3">
      <c r="A3" s="98" t="s">
        <v>12</v>
      </c>
      <c r="B3" s="94"/>
    </row>
    <row r="4" spans="1:3" ht="15" customHeight="1" x14ac:dyDescent="0.3">
      <c r="A4" s="98" t="s">
        <v>13</v>
      </c>
      <c r="B4" s="94" t="s">
        <v>14</v>
      </c>
    </row>
    <row r="5" spans="1:3" ht="12.5" x14ac:dyDescent="0.25">
      <c r="A5" s="214"/>
      <c r="B5" s="94" t="s">
        <v>15</v>
      </c>
    </row>
    <row r="6" spans="1:3" ht="12.5" x14ac:dyDescent="0.25">
      <c r="A6" s="214"/>
      <c r="B6" s="94" t="s">
        <v>16</v>
      </c>
    </row>
    <row r="7" spans="1:3" ht="13" thickBot="1" x14ac:dyDescent="0.3">
      <c r="A7" s="215"/>
      <c r="B7" s="99" t="s">
        <v>17</v>
      </c>
      <c r="C7" s="100"/>
    </row>
    <row r="8" spans="1:3" ht="12.5" x14ac:dyDescent="0.25">
      <c r="A8" s="7"/>
      <c r="B8" s="94"/>
    </row>
    <row r="9" spans="1:3" ht="10.5" x14ac:dyDescent="0.2">
      <c r="C9" s="93" t="s">
        <v>18</v>
      </c>
    </row>
    <row r="10" spans="1:3" x14ac:dyDescent="0.2">
      <c r="A10" s="103" t="s">
        <v>19</v>
      </c>
      <c r="B10" s="101" t="str">
        <f>'Form 1.1b 23-IEPR Incr'!B4:J4</f>
        <v>RETAIL SALES OF ELECTRICITY BY CLASS OR SECTOR (GWh)</v>
      </c>
      <c r="C10" s="102" t="s">
        <v>20</v>
      </c>
    </row>
    <row r="11" spans="1:3" x14ac:dyDescent="0.2">
      <c r="A11" s="101" t="s">
        <v>21</v>
      </c>
      <c r="B11" s="101" t="str">
        <f>'Form 1.2 23-IEPR Incr'!B5:F5</f>
        <v>TOTAL ENERGY TO SERVE LOAD (GWh)</v>
      </c>
      <c r="C11" s="102" t="s">
        <v>20</v>
      </c>
    </row>
    <row r="12" spans="1:3" x14ac:dyDescent="0.2">
      <c r="A12" s="101" t="s">
        <v>22</v>
      </c>
      <c r="B12" s="101" t="str">
        <f>+'Form 1.3 23-IEPR Incr'!B5</f>
        <v>LSE COINCIDENT PEAK DEMAND BY SECTOR</v>
      </c>
      <c r="C12" s="102" t="s">
        <v>20</v>
      </c>
    </row>
    <row r="13" spans="1:3" x14ac:dyDescent="0.2">
      <c r="A13" s="101" t="s">
        <v>23</v>
      </c>
      <c r="B13" s="101" t="str">
        <f>+'Form 1.5 23-IEPR Incr'!B$4</f>
        <v>PEAK DEMAND WEATHER SCENARIOS</v>
      </c>
      <c r="C13" s="102" t="s">
        <v>20</v>
      </c>
    </row>
    <row r="14" spans="1:3" x14ac:dyDescent="0.2">
      <c r="A14" s="103" t="s">
        <v>24</v>
      </c>
      <c r="B14" s="101" t="s">
        <v>25</v>
      </c>
      <c r="C14" s="102" t="s">
        <v>20</v>
      </c>
    </row>
    <row r="15" spans="1:3" x14ac:dyDescent="0.2">
      <c r="A15" s="224" t="s">
        <v>26</v>
      </c>
      <c r="B15" s="103" t="s">
        <v>27</v>
      </c>
      <c r="C15" s="102" t="s">
        <v>20</v>
      </c>
    </row>
    <row r="16" spans="1:3" x14ac:dyDescent="0.2">
      <c r="A16" s="103" t="s">
        <v>28</v>
      </c>
      <c r="B16" s="101" t="str">
        <f>+'Form 2.1'!B$4</f>
        <v>ECONOMIC AND DEMOGRAPHIC ASSUMPTIONS</v>
      </c>
      <c r="C16" s="102" t="s">
        <v>20</v>
      </c>
    </row>
    <row r="17" spans="1:3" x14ac:dyDescent="0.2">
      <c r="A17" s="103" t="s">
        <v>29</v>
      </c>
      <c r="B17" s="101" t="str">
        <f>+'Form 2.2'!B5</f>
        <v>ELECTRICITY RATE FORECAST</v>
      </c>
      <c r="C17" s="102" t="s">
        <v>20</v>
      </c>
    </row>
    <row r="18" spans="1:3" x14ac:dyDescent="0.2">
      <c r="A18" s="103" t="s">
        <v>30</v>
      </c>
      <c r="B18" s="101" t="str">
        <f>+'Form 2.3'!B$4</f>
        <v>CUSTOMER COUNT &amp; OTHER FORECASTING INPUTS</v>
      </c>
      <c r="C18" s="102" t="s">
        <v>20</v>
      </c>
    </row>
    <row r="19" spans="1:3" x14ac:dyDescent="0.2">
      <c r="A19" s="101" t="s">
        <v>31</v>
      </c>
      <c r="B19" s="101" t="s">
        <v>32</v>
      </c>
      <c r="C19" s="102" t="s">
        <v>20</v>
      </c>
    </row>
    <row r="20" spans="1:3" x14ac:dyDescent="0.2">
      <c r="A20" s="103" t="s">
        <v>33</v>
      </c>
      <c r="B20" s="103" t="s">
        <v>34</v>
      </c>
      <c r="C20" s="102" t="s">
        <v>20</v>
      </c>
    </row>
    <row r="21" spans="1:3" x14ac:dyDescent="0.2">
      <c r="A21" s="103" t="s">
        <v>35</v>
      </c>
      <c r="B21" s="103" t="s">
        <v>36</v>
      </c>
      <c r="C21" s="102" t="s">
        <v>20</v>
      </c>
    </row>
  </sheetData>
  <customSheetViews>
    <customSheetView guid="{64245E33-E577-4C25-9B98-21C112E84FF6}" scale="80" showPageBreaks="1" fitToPage="1" printArea="1">
      <selection activeCell="D58" sqref="D58"/>
      <pageMargins left="0" right="0" top="0" bottom="0" header="0" footer="0"/>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 right="0" top="0" bottom="0" header="0" footer="0"/>
      <printOptions horizontalCentered="1"/>
      <pageSetup scale="93" orientation="landscape" r:id="rId4"/>
      <headerFooter alignWithMargins="0">
        <oddFooter>&amp;R&amp;A</oddFooter>
      </headerFooter>
    </customSheetView>
  </customSheetViews>
  <phoneticPr fontId="0" type="noConversion"/>
  <printOptions horizontalCentered="1"/>
  <pageMargins left="0.25" right="0.25" top="1" bottom="1" header="0.5" footer="0.5"/>
  <pageSetup scale="98" orientation="landscape" r:id="rId5"/>
  <headerFooter alignWithMargins="0">
    <oddFooter>&amp;R&amp;A</oddFooter>
  </headerFooter>
  <legacyDrawing r:id="rId6"/>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31"/>
  <sheetViews>
    <sheetView workbookViewId="0">
      <selection sqref="A1:O1"/>
    </sheetView>
  </sheetViews>
  <sheetFormatPr defaultColWidth="8.44140625" defaultRowHeight="16.5" customHeight="1" x14ac:dyDescent="0.25"/>
  <cols>
    <col min="1" max="1" width="49.109375" style="36" customWidth="1"/>
    <col min="2" max="16384" width="8.44140625" style="36"/>
  </cols>
  <sheetData>
    <row r="1" spans="1:15" ht="16.5" customHeight="1" x14ac:dyDescent="0.25">
      <c r="A1" s="467" t="s">
        <v>179</v>
      </c>
      <c r="B1" s="468"/>
      <c r="C1" s="468"/>
      <c r="D1" s="468"/>
      <c r="E1" s="468"/>
      <c r="F1" s="468"/>
      <c r="G1" s="468"/>
      <c r="H1" s="468"/>
      <c r="I1" s="468"/>
      <c r="J1" s="468"/>
      <c r="K1" s="468"/>
      <c r="L1" s="468"/>
      <c r="M1" s="468"/>
      <c r="N1" s="468"/>
      <c r="O1" s="468"/>
    </row>
    <row r="2" spans="1:15" ht="16.5" customHeight="1" x14ac:dyDescent="0.25">
      <c r="A2" s="469" t="str">
        <f>'FormsList&amp;FilerInfo'!B2</f>
        <v>Utility Name</v>
      </c>
      <c r="B2" s="470"/>
      <c r="C2" s="470"/>
      <c r="D2" s="470"/>
      <c r="E2" s="470"/>
      <c r="F2" s="470"/>
      <c r="G2" s="470"/>
      <c r="H2" s="470"/>
      <c r="I2" s="470"/>
      <c r="J2" s="470"/>
      <c r="K2" s="470"/>
      <c r="L2" s="470"/>
      <c r="M2" s="470"/>
      <c r="N2" s="470"/>
      <c r="O2" s="470"/>
    </row>
    <row r="3" spans="1:15" ht="16.5" customHeight="1" x14ac:dyDescent="0.25">
      <c r="A3" s="184"/>
      <c r="B3" s="185"/>
      <c r="C3" s="185"/>
      <c r="D3" s="185"/>
      <c r="E3" s="185"/>
      <c r="F3" s="185"/>
      <c r="G3" s="185"/>
      <c r="H3" s="185"/>
      <c r="I3" s="185"/>
      <c r="J3" s="185"/>
      <c r="K3" s="185"/>
      <c r="L3" s="185"/>
      <c r="M3" s="185"/>
      <c r="N3" s="185"/>
      <c r="O3" s="185"/>
    </row>
    <row r="4" spans="1:15" ht="16.5" customHeight="1" x14ac:dyDescent="0.25">
      <c r="A4" s="471" t="s">
        <v>180</v>
      </c>
      <c r="B4" s="472"/>
      <c r="C4" s="472"/>
      <c r="D4" s="472"/>
      <c r="E4" s="472"/>
      <c r="F4" s="472"/>
      <c r="G4" s="472"/>
      <c r="H4" s="472"/>
      <c r="I4" s="472"/>
      <c r="J4" s="472"/>
      <c r="K4" s="472"/>
      <c r="L4" s="472"/>
      <c r="M4" s="472"/>
      <c r="N4" s="472"/>
      <c r="O4" s="472"/>
    </row>
    <row r="5" spans="1:15" ht="16.5" customHeight="1" x14ac:dyDescent="0.25">
      <c r="A5" s="473" t="s">
        <v>127</v>
      </c>
      <c r="B5" s="474"/>
      <c r="C5" s="474"/>
      <c r="D5" s="474"/>
      <c r="E5" s="474"/>
      <c r="F5" s="474"/>
      <c r="G5" s="474"/>
      <c r="H5" s="474"/>
      <c r="I5" s="474"/>
      <c r="J5" s="474"/>
      <c r="K5" s="474"/>
      <c r="L5" s="474"/>
      <c r="M5" s="474"/>
      <c r="N5" s="474"/>
      <c r="O5" s="474"/>
    </row>
    <row r="6" spans="1:15" ht="22.5" customHeight="1" thickBot="1" x14ac:dyDescent="0.3">
      <c r="A6" s="186"/>
      <c r="B6" s="187"/>
      <c r="C6" s="187"/>
      <c r="D6" s="187"/>
      <c r="E6" s="187"/>
      <c r="F6" s="187"/>
      <c r="G6" s="187"/>
      <c r="H6" s="187"/>
      <c r="I6" s="187"/>
      <c r="J6" s="187"/>
      <c r="K6" s="187"/>
      <c r="L6" s="187"/>
      <c r="M6" s="187"/>
      <c r="N6" s="187"/>
      <c r="O6" s="187"/>
    </row>
    <row r="7" spans="1:15" ht="16.5" customHeight="1" thickBot="1" x14ac:dyDescent="0.4">
      <c r="A7" s="188"/>
      <c r="B7" s="153">
        <v>2021</v>
      </c>
      <c r="C7" s="153">
        <v>2022</v>
      </c>
      <c r="D7" s="153">
        <v>2023</v>
      </c>
      <c r="E7" s="153">
        <v>2024</v>
      </c>
      <c r="F7" s="153">
        <v>2025</v>
      </c>
      <c r="G7" s="153">
        <v>2026</v>
      </c>
      <c r="H7" s="153">
        <v>2027</v>
      </c>
      <c r="I7" s="153">
        <v>2028</v>
      </c>
      <c r="J7" s="153">
        <v>2029</v>
      </c>
      <c r="K7" s="153">
        <v>2030</v>
      </c>
      <c r="L7" s="153">
        <v>2031</v>
      </c>
      <c r="M7" s="153">
        <v>2032</v>
      </c>
      <c r="N7" s="153">
        <v>2033</v>
      </c>
      <c r="O7" s="153">
        <v>2034</v>
      </c>
    </row>
    <row r="8" spans="1:15" ht="16.5" customHeight="1" thickBot="1" x14ac:dyDescent="0.3">
      <c r="A8" s="65"/>
      <c r="B8" s="66"/>
      <c r="C8" s="66"/>
      <c r="D8" s="66"/>
      <c r="E8" s="66"/>
      <c r="F8" s="66"/>
      <c r="G8" s="66"/>
      <c r="H8" s="66"/>
      <c r="I8" s="66"/>
      <c r="J8" s="66"/>
      <c r="K8" s="66"/>
      <c r="L8" s="66"/>
      <c r="M8" s="66"/>
      <c r="N8" s="66"/>
      <c r="O8" s="67"/>
    </row>
    <row r="9" spans="1:15" ht="16.5" customHeight="1" thickBot="1" x14ac:dyDescent="0.3">
      <c r="A9" s="189" t="s">
        <v>181</v>
      </c>
      <c r="B9" s="68">
        <v>0</v>
      </c>
      <c r="C9" s="68">
        <v>0</v>
      </c>
      <c r="D9" s="68">
        <v>0</v>
      </c>
      <c r="E9" s="68">
        <v>0</v>
      </c>
      <c r="F9" s="68">
        <v>0</v>
      </c>
      <c r="G9" s="68">
        <v>0</v>
      </c>
      <c r="H9" s="68">
        <v>0</v>
      </c>
      <c r="I9" s="68">
        <v>0</v>
      </c>
      <c r="J9" s="68">
        <v>0</v>
      </c>
      <c r="K9" s="68">
        <v>0</v>
      </c>
      <c r="L9" s="68">
        <v>0</v>
      </c>
      <c r="M9" s="68">
        <v>0</v>
      </c>
      <c r="N9" s="68">
        <v>0</v>
      </c>
      <c r="O9" s="69">
        <v>0</v>
      </c>
    </row>
    <row r="10" spans="1:15" ht="16.5" customHeight="1" thickBot="1" x14ac:dyDescent="0.3">
      <c r="A10" s="70" t="s">
        <v>182</v>
      </c>
      <c r="B10" s="190"/>
      <c r="C10" s="190"/>
      <c r="D10" s="190"/>
      <c r="E10" s="190"/>
      <c r="F10" s="190"/>
      <c r="G10" s="190"/>
      <c r="H10" s="190"/>
      <c r="I10" s="190"/>
      <c r="J10" s="190"/>
      <c r="K10" s="190"/>
      <c r="L10" s="190"/>
      <c r="M10" s="190"/>
      <c r="N10" s="190"/>
      <c r="O10" s="71"/>
    </row>
    <row r="11" spans="1:15" ht="16.5" customHeight="1" x14ac:dyDescent="0.25">
      <c r="A11" s="72" t="s">
        <v>183</v>
      </c>
      <c r="B11" s="73"/>
      <c r="C11" s="73"/>
      <c r="D11" s="73"/>
      <c r="E11" s="73"/>
      <c r="F11" s="73"/>
      <c r="G11" s="73"/>
      <c r="H11" s="73"/>
      <c r="I11" s="73"/>
      <c r="J11" s="73"/>
      <c r="K11" s="73"/>
      <c r="L11" s="73"/>
      <c r="M11" s="73"/>
      <c r="N11" s="73"/>
      <c r="O11" s="74"/>
    </row>
    <row r="12" spans="1:15" ht="16.5" customHeight="1" x14ac:dyDescent="0.25">
      <c r="A12" s="75" t="s">
        <v>184</v>
      </c>
      <c r="B12" s="76"/>
      <c r="C12" s="76"/>
      <c r="D12" s="76"/>
      <c r="E12" s="76"/>
      <c r="F12" s="76"/>
      <c r="G12" s="76"/>
      <c r="H12" s="76"/>
      <c r="I12" s="76"/>
      <c r="J12" s="76"/>
      <c r="K12" s="76"/>
      <c r="L12" s="76"/>
      <c r="M12" s="76"/>
      <c r="N12" s="76"/>
      <c r="O12" s="77"/>
    </row>
    <row r="13" spans="1:15" ht="16.5" customHeight="1" x14ac:dyDescent="0.25">
      <c r="A13" s="75" t="s">
        <v>185</v>
      </c>
      <c r="B13" s="76"/>
      <c r="C13" s="76"/>
      <c r="D13" s="76"/>
      <c r="E13" s="76"/>
      <c r="F13" s="76"/>
      <c r="G13" s="76"/>
      <c r="H13" s="76"/>
      <c r="I13" s="76"/>
      <c r="J13" s="76"/>
      <c r="K13" s="76"/>
      <c r="L13" s="76"/>
      <c r="M13" s="76"/>
      <c r="N13" s="76"/>
      <c r="O13" s="77"/>
    </row>
    <row r="14" spans="1:15" ht="16.5" customHeight="1" x14ac:dyDescent="0.25">
      <c r="A14" s="75" t="s">
        <v>101</v>
      </c>
      <c r="B14" s="76"/>
      <c r="C14" s="76"/>
      <c r="D14" s="76"/>
      <c r="E14" s="76"/>
      <c r="F14" s="76"/>
      <c r="G14" s="76"/>
      <c r="H14" s="76"/>
      <c r="I14" s="76"/>
      <c r="J14" s="76"/>
      <c r="K14" s="76"/>
      <c r="L14" s="76"/>
      <c r="M14" s="76"/>
      <c r="N14" s="76"/>
      <c r="O14" s="77"/>
    </row>
    <row r="15" spans="1:15" ht="16.5" customHeight="1" thickBot="1" x14ac:dyDescent="0.3">
      <c r="A15" s="78" t="s">
        <v>186</v>
      </c>
      <c r="B15" s="79"/>
      <c r="C15" s="79"/>
      <c r="D15" s="79"/>
      <c r="E15" s="79"/>
      <c r="F15" s="79"/>
      <c r="G15" s="79"/>
      <c r="H15" s="79"/>
      <c r="I15" s="79"/>
      <c r="J15" s="79"/>
      <c r="K15" s="79"/>
      <c r="L15" s="79"/>
      <c r="M15" s="79"/>
      <c r="N15" s="79"/>
      <c r="O15" s="80"/>
    </row>
    <row r="16" spans="1:15" ht="13.5" customHeight="1" thickTop="1" thickBot="1" x14ac:dyDescent="0.3">
      <c r="A16" s="81" t="s">
        <v>187</v>
      </c>
      <c r="B16" s="82"/>
      <c r="C16" s="82"/>
      <c r="D16" s="82"/>
      <c r="E16" s="82"/>
      <c r="F16" s="82"/>
      <c r="G16" s="82"/>
      <c r="H16" s="82"/>
      <c r="I16" s="82"/>
      <c r="J16" s="82"/>
      <c r="K16" s="82"/>
      <c r="L16" s="82"/>
      <c r="M16" s="82"/>
      <c r="N16" s="82"/>
      <c r="O16" s="82"/>
    </row>
    <row r="17" spans="1:15" ht="16.5" customHeight="1" thickBot="1" x14ac:dyDescent="0.3">
      <c r="A17" s="70" t="s">
        <v>188</v>
      </c>
      <c r="B17" s="44"/>
      <c r="C17" s="44"/>
      <c r="D17" s="44"/>
      <c r="E17" s="44"/>
      <c r="F17" s="44"/>
      <c r="G17" s="44"/>
      <c r="H17" s="44"/>
      <c r="I17" s="44"/>
      <c r="J17" s="44"/>
      <c r="K17" s="44"/>
      <c r="L17" s="44"/>
      <c r="M17" s="44"/>
      <c r="N17" s="44"/>
      <c r="O17" s="45"/>
    </row>
    <row r="18" spans="1:15" ht="16.5" customHeight="1" x14ac:dyDescent="0.25">
      <c r="A18" s="72" t="s">
        <v>183</v>
      </c>
      <c r="B18" s="83"/>
      <c r="C18" s="83"/>
      <c r="D18" s="83"/>
      <c r="E18" s="83"/>
      <c r="F18" s="83"/>
      <c r="G18" s="83"/>
      <c r="H18" s="83"/>
      <c r="I18" s="83"/>
      <c r="J18" s="83"/>
      <c r="K18" s="83"/>
      <c r="L18" s="83"/>
      <c r="M18" s="83"/>
      <c r="N18" s="83"/>
      <c r="O18" s="84"/>
    </row>
    <row r="19" spans="1:15" ht="16.5" customHeight="1" x14ac:dyDescent="0.25">
      <c r="A19" s="75" t="s">
        <v>184</v>
      </c>
      <c r="B19" s="85"/>
      <c r="C19" s="85"/>
      <c r="D19" s="85"/>
      <c r="E19" s="85"/>
      <c r="F19" s="85"/>
      <c r="G19" s="85"/>
      <c r="H19" s="85"/>
      <c r="I19" s="85"/>
      <c r="J19" s="85"/>
      <c r="K19" s="85"/>
      <c r="L19" s="85"/>
      <c r="M19" s="85"/>
      <c r="N19" s="85"/>
      <c r="O19" s="86"/>
    </row>
    <row r="20" spans="1:15" ht="16.5" customHeight="1" x14ac:dyDescent="0.25">
      <c r="A20" s="75" t="s">
        <v>185</v>
      </c>
      <c r="B20" s="85"/>
      <c r="C20" s="85"/>
      <c r="D20" s="85"/>
      <c r="E20" s="85"/>
      <c r="F20" s="85"/>
      <c r="G20" s="85"/>
      <c r="H20" s="85"/>
      <c r="I20" s="85"/>
      <c r="J20" s="85"/>
      <c r="K20" s="85"/>
      <c r="L20" s="85"/>
      <c r="M20" s="85"/>
      <c r="N20" s="85"/>
      <c r="O20" s="86"/>
    </row>
    <row r="21" spans="1:15" ht="16.5" customHeight="1" x14ac:dyDescent="0.25">
      <c r="A21" s="75" t="s">
        <v>101</v>
      </c>
      <c r="B21" s="85"/>
      <c r="C21" s="85"/>
      <c r="D21" s="85"/>
      <c r="E21" s="85"/>
      <c r="F21" s="85"/>
      <c r="G21" s="85"/>
      <c r="H21" s="85"/>
      <c r="I21" s="85"/>
      <c r="J21" s="85"/>
      <c r="K21" s="85"/>
      <c r="L21" s="85"/>
      <c r="M21" s="85"/>
      <c r="N21" s="85"/>
      <c r="O21" s="86"/>
    </row>
    <row r="22" spans="1:15" ht="16.5" customHeight="1" thickBot="1" x14ac:dyDescent="0.3">
      <c r="A22" s="78" t="s">
        <v>186</v>
      </c>
      <c r="B22" s="87"/>
      <c r="C22" s="87"/>
      <c r="D22" s="87"/>
      <c r="E22" s="87"/>
      <c r="F22" s="87"/>
      <c r="G22" s="87"/>
      <c r="H22" s="87"/>
      <c r="I22" s="87"/>
      <c r="J22" s="87"/>
      <c r="K22" s="87"/>
      <c r="L22" s="87"/>
      <c r="M22" s="87"/>
      <c r="N22" s="87"/>
      <c r="O22" s="88"/>
    </row>
    <row r="23" spans="1:15" ht="13.5" customHeight="1" thickTop="1" thickBot="1" x14ac:dyDescent="0.3">
      <c r="A23" s="81" t="s">
        <v>189</v>
      </c>
      <c r="B23" s="82"/>
      <c r="C23" s="82"/>
      <c r="D23" s="82"/>
      <c r="E23" s="82"/>
      <c r="F23" s="82"/>
      <c r="G23" s="82"/>
      <c r="H23" s="82"/>
      <c r="I23" s="82"/>
      <c r="J23" s="82"/>
      <c r="K23" s="82"/>
      <c r="L23" s="82"/>
      <c r="M23" s="82"/>
      <c r="N23" s="82"/>
      <c r="O23" s="82"/>
    </row>
    <row r="24" spans="1:15" ht="16.5" customHeight="1" thickBot="1" x14ac:dyDescent="0.3">
      <c r="A24" s="89" t="s">
        <v>190</v>
      </c>
      <c r="B24" s="44"/>
      <c r="C24" s="44"/>
      <c r="D24" s="44"/>
      <c r="E24" s="44"/>
      <c r="F24" s="44"/>
      <c r="G24" s="44"/>
      <c r="H24" s="44"/>
      <c r="I24" s="44"/>
      <c r="J24" s="44"/>
      <c r="K24" s="44"/>
      <c r="L24" s="44"/>
      <c r="M24" s="44"/>
      <c r="N24" s="44"/>
      <c r="O24" s="45"/>
    </row>
    <row r="25" spans="1:15" ht="16.5" customHeight="1" x14ac:dyDescent="0.25">
      <c r="A25" s="72" t="s">
        <v>183</v>
      </c>
      <c r="B25" s="83"/>
      <c r="C25" s="83"/>
      <c r="D25" s="83"/>
      <c r="E25" s="83"/>
      <c r="F25" s="83"/>
      <c r="G25" s="83"/>
      <c r="H25" s="83"/>
      <c r="I25" s="83"/>
      <c r="J25" s="83"/>
      <c r="K25" s="83"/>
      <c r="L25" s="83"/>
      <c r="M25" s="83"/>
      <c r="N25" s="83"/>
      <c r="O25" s="84"/>
    </row>
    <row r="26" spans="1:15" ht="16.5" customHeight="1" x14ac:dyDescent="0.25">
      <c r="A26" s="75" t="s">
        <v>184</v>
      </c>
      <c r="B26" s="85"/>
      <c r="C26" s="85"/>
      <c r="D26" s="85"/>
      <c r="E26" s="85"/>
      <c r="F26" s="85"/>
      <c r="G26" s="85"/>
      <c r="H26" s="85"/>
      <c r="I26" s="85"/>
      <c r="J26" s="85"/>
      <c r="K26" s="85"/>
      <c r="L26" s="85"/>
      <c r="M26" s="85"/>
      <c r="N26" s="85"/>
      <c r="O26" s="86"/>
    </row>
    <row r="27" spans="1:15" ht="16.5" customHeight="1" x14ac:dyDescent="0.25">
      <c r="A27" s="75" t="s">
        <v>185</v>
      </c>
      <c r="B27" s="85"/>
      <c r="C27" s="85"/>
      <c r="D27" s="85"/>
      <c r="E27" s="85"/>
      <c r="F27" s="85"/>
      <c r="G27" s="85"/>
      <c r="H27" s="85"/>
      <c r="I27" s="85"/>
      <c r="J27" s="85"/>
      <c r="K27" s="85"/>
      <c r="L27" s="85"/>
      <c r="M27" s="85"/>
      <c r="N27" s="85"/>
      <c r="O27" s="86"/>
    </row>
    <row r="28" spans="1:15" ht="16.5" customHeight="1" x14ac:dyDescent="0.25">
      <c r="A28" s="75" t="s">
        <v>101</v>
      </c>
      <c r="B28" s="85"/>
      <c r="C28" s="85"/>
      <c r="D28" s="85"/>
      <c r="E28" s="85"/>
      <c r="F28" s="85"/>
      <c r="G28" s="85"/>
      <c r="H28" s="85"/>
      <c r="I28" s="85"/>
      <c r="J28" s="85"/>
      <c r="K28" s="85"/>
      <c r="L28" s="85"/>
      <c r="M28" s="85"/>
      <c r="N28" s="85"/>
      <c r="O28" s="86"/>
    </row>
    <row r="29" spans="1:15" ht="16.5" customHeight="1" thickBot="1" x14ac:dyDescent="0.3">
      <c r="A29" s="78" t="s">
        <v>186</v>
      </c>
      <c r="B29" s="87"/>
      <c r="C29" s="87"/>
      <c r="D29" s="87"/>
      <c r="E29" s="87"/>
      <c r="F29" s="87"/>
      <c r="G29" s="87"/>
      <c r="H29" s="87"/>
      <c r="I29" s="87"/>
      <c r="J29" s="87"/>
      <c r="K29" s="87"/>
      <c r="L29" s="87"/>
      <c r="M29" s="87"/>
      <c r="N29" s="87"/>
      <c r="O29" s="88"/>
    </row>
    <row r="30" spans="1:15" ht="13.5" customHeight="1" thickTop="1" thickBot="1" x14ac:dyDescent="0.3">
      <c r="A30" s="81" t="s">
        <v>191</v>
      </c>
      <c r="B30" s="82"/>
      <c r="C30" s="82"/>
      <c r="D30" s="82"/>
      <c r="E30" s="82"/>
      <c r="F30" s="82"/>
      <c r="G30" s="82"/>
      <c r="H30" s="82"/>
      <c r="I30" s="82"/>
      <c r="J30" s="82"/>
      <c r="K30" s="82"/>
      <c r="L30" s="82"/>
      <c r="M30" s="82"/>
      <c r="N30" s="82"/>
      <c r="O30" s="82"/>
    </row>
    <row r="31" spans="1:15" s="91" customFormat="1" ht="16.5" customHeight="1" thickBot="1" x14ac:dyDescent="0.35">
      <c r="A31" s="89" t="s">
        <v>192</v>
      </c>
      <c r="B31" s="90"/>
      <c r="C31" s="90"/>
      <c r="D31" s="90"/>
      <c r="E31" s="90"/>
      <c r="F31" s="90"/>
      <c r="G31" s="90"/>
      <c r="H31" s="90"/>
      <c r="I31" s="90"/>
      <c r="J31" s="90"/>
      <c r="K31" s="90"/>
      <c r="L31" s="90"/>
      <c r="M31" s="90"/>
      <c r="N31" s="90"/>
      <c r="O31" s="146"/>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A34"/>
  <sheetViews>
    <sheetView showGridLines="0" zoomScale="115" zoomScaleNormal="115" workbookViewId="0">
      <pane xSplit="2" ySplit="7" topLeftCell="C8" activePane="bottomRight" state="frozen"/>
      <selection pane="topRight" activeCell="C1" sqref="C1"/>
      <selection pane="bottomLeft" activeCell="A8" sqref="A8"/>
      <selection pane="bottomRight"/>
    </sheetView>
  </sheetViews>
  <sheetFormatPr defaultColWidth="8.6640625" defaultRowHeight="10" x14ac:dyDescent="0.2"/>
  <cols>
    <col min="1" max="1" width="1.6640625" style="111" customWidth="1"/>
    <col min="2" max="2" width="11" style="111" customWidth="1"/>
    <col min="3" max="3" width="13.109375" style="111" customWidth="1"/>
    <col min="4" max="4" width="13.6640625" style="111" customWidth="1"/>
    <col min="5" max="5" width="13.109375" style="111" customWidth="1"/>
    <col min="6" max="7" width="15.109375" style="111" customWidth="1"/>
    <col min="8" max="8" width="13.6640625" style="111" customWidth="1"/>
    <col min="9" max="9" width="13.109375" style="111" customWidth="1"/>
    <col min="10" max="10" width="13.6640625" style="111" customWidth="1"/>
    <col min="11" max="11" width="8.6640625" style="111" customWidth="1"/>
    <col min="12" max="13" width="2.77734375" style="111" customWidth="1"/>
    <col min="14" max="15" width="8.6640625" style="111"/>
    <col min="16" max="16" width="12.33203125" style="111" bestFit="1" customWidth="1"/>
    <col min="17" max="17" width="12.77734375" style="111" bestFit="1" customWidth="1"/>
    <col min="18" max="18" width="13.44140625" style="111" bestFit="1" customWidth="1"/>
    <col min="19" max="19" width="14.44140625" style="111" bestFit="1" customWidth="1"/>
    <col min="20" max="20" width="9" style="111" bestFit="1" customWidth="1"/>
    <col min="21" max="21" width="14.6640625" style="111" customWidth="1"/>
    <col min="22" max="22" width="4.44140625" style="111" bestFit="1" customWidth="1"/>
    <col min="23" max="23" width="13.44140625" style="111" bestFit="1" customWidth="1"/>
    <col min="24" max="24" width="18.44140625" style="111" customWidth="1"/>
    <col min="25" max="25" width="9" style="111" bestFit="1" customWidth="1"/>
    <col min="26" max="16384" width="8.6640625" style="111"/>
  </cols>
  <sheetData>
    <row r="1" spans="2:27" s="108" customFormat="1" ht="15.5" x14ac:dyDescent="0.35">
      <c r="B1" s="402" t="s">
        <v>37</v>
      </c>
      <c r="C1" s="402"/>
      <c r="D1" s="402"/>
      <c r="E1" s="402"/>
      <c r="F1" s="402"/>
      <c r="G1" s="402"/>
      <c r="H1" s="402"/>
      <c r="I1" s="402"/>
      <c r="J1" s="402"/>
    </row>
    <row r="2" spans="2:27" s="109" customFormat="1" ht="13" x14ac:dyDescent="0.3">
      <c r="B2" s="399" t="str">
        <f>+'FormsList&amp;FilerInfo'!B2</f>
        <v>Utility Name</v>
      </c>
      <c r="C2" s="400"/>
      <c r="D2" s="400"/>
      <c r="E2" s="400"/>
      <c r="F2" s="400"/>
      <c r="G2" s="400"/>
      <c r="H2" s="400"/>
      <c r="I2" s="400"/>
      <c r="J2" s="400"/>
    </row>
    <row r="3" spans="2:27" s="109" customFormat="1" ht="13" x14ac:dyDescent="0.3">
      <c r="B3" s="400"/>
      <c r="C3" s="400"/>
      <c r="D3" s="400"/>
      <c r="E3" s="400"/>
      <c r="F3" s="400"/>
      <c r="G3" s="400"/>
      <c r="H3" s="400"/>
      <c r="I3" s="400"/>
      <c r="J3" s="400"/>
    </row>
    <row r="4" spans="2:27" s="108" customFormat="1" ht="30.75" customHeight="1" x14ac:dyDescent="0.35">
      <c r="B4" s="401" t="s">
        <v>38</v>
      </c>
      <c r="C4" s="401"/>
      <c r="D4" s="401"/>
      <c r="E4" s="401"/>
      <c r="F4" s="401"/>
      <c r="G4" s="401"/>
      <c r="H4" s="401"/>
      <c r="I4" s="401"/>
      <c r="J4" s="401"/>
    </row>
    <row r="5" spans="2:27" ht="13" x14ac:dyDescent="0.3">
      <c r="B5" s="110"/>
      <c r="C5" s="110"/>
      <c r="D5" s="110"/>
      <c r="E5" s="110"/>
      <c r="F5" s="110"/>
      <c r="G5" s="110"/>
      <c r="H5" s="110"/>
      <c r="I5" s="110"/>
      <c r="J5" s="110"/>
      <c r="P5" s="329">
        <f>P8+P9</f>
        <v>503.70010300000001</v>
      </c>
      <c r="Q5" s="325">
        <f t="shared" ref="Q5:X5" si="0">Q8+Q9</f>
        <v>182.28747700000002</v>
      </c>
      <c r="R5" s="325">
        <f t="shared" si="0"/>
        <v>7723.7811019999999</v>
      </c>
      <c r="S5" s="325">
        <f t="shared" si="0"/>
        <v>32.907009000000002</v>
      </c>
      <c r="T5" s="325"/>
      <c r="U5" s="325">
        <f t="shared" si="0"/>
        <v>8.7720200000000013</v>
      </c>
      <c r="V5" s="325"/>
      <c r="W5" s="325">
        <f t="shared" si="0"/>
        <v>8451.4477110000007</v>
      </c>
      <c r="X5" s="325">
        <f t="shared" si="0"/>
        <v>8442.6756910000004</v>
      </c>
    </row>
    <row r="6" spans="2:27" ht="12.5" x14ac:dyDescent="0.25">
      <c r="C6" s="109" t="s">
        <v>39</v>
      </c>
      <c r="D6" s="109"/>
      <c r="E6" s="109"/>
      <c r="F6" s="109"/>
      <c r="G6" s="109"/>
      <c r="H6" s="109"/>
      <c r="I6" s="109"/>
      <c r="J6" s="109"/>
      <c r="P6" s="321">
        <f>P5/$X$5</f>
        <v>5.9661192900841938E-2</v>
      </c>
      <c r="Q6" s="321">
        <f t="shared" ref="Q6:S6" si="1">Q5/$X$5</f>
        <v>2.1591197349238558E-2</v>
      </c>
      <c r="R6" s="321">
        <f t="shared" si="1"/>
        <v>0.91484991070232025</v>
      </c>
      <c r="S6" s="321">
        <f t="shared" si="1"/>
        <v>3.8976990475992454E-3</v>
      </c>
    </row>
    <row r="7" spans="2:27" ht="20" x14ac:dyDescent="0.2">
      <c r="B7" s="112" t="s">
        <v>40</v>
      </c>
      <c r="C7" s="113" t="s">
        <v>41</v>
      </c>
      <c r="D7" s="113" t="s">
        <v>42</v>
      </c>
      <c r="E7" s="113" t="s">
        <v>43</v>
      </c>
      <c r="F7" s="319" t="s">
        <v>275</v>
      </c>
      <c r="G7" s="113" t="s">
        <v>44</v>
      </c>
      <c r="H7" s="114" t="s">
        <v>278</v>
      </c>
      <c r="I7" s="114" t="s">
        <v>45</v>
      </c>
      <c r="J7" s="115" t="s">
        <v>46</v>
      </c>
      <c r="O7" s="112" t="s">
        <v>40</v>
      </c>
      <c r="P7" s="113" t="s">
        <v>41</v>
      </c>
      <c r="Q7" s="113" t="s">
        <v>42</v>
      </c>
      <c r="R7" s="113" t="s">
        <v>43</v>
      </c>
      <c r="S7" s="319" t="s">
        <v>275</v>
      </c>
      <c r="T7" s="113" t="s">
        <v>44</v>
      </c>
      <c r="U7" s="114" t="s">
        <v>278</v>
      </c>
      <c r="V7" s="114" t="s">
        <v>45</v>
      </c>
      <c r="W7" s="115" t="s">
        <v>46</v>
      </c>
      <c r="X7" s="115" t="s">
        <v>276</v>
      </c>
      <c r="Y7" s="115" t="s">
        <v>277</v>
      </c>
    </row>
    <row r="8" spans="2:27" x14ac:dyDescent="0.2">
      <c r="B8" s="116">
        <v>2021</v>
      </c>
      <c r="C8" s="125">
        <f>P8</f>
        <v>241.902173</v>
      </c>
      <c r="D8" s="125">
        <f>Q8</f>
        <v>87.511533</v>
      </c>
      <c r="E8" s="125">
        <f>R8</f>
        <v>3682.4285989999998</v>
      </c>
      <c r="F8" s="125">
        <f>S8</f>
        <v>16.675827000000002</v>
      </c>
      <c r="G8" s="125" t="s">
        <v>234</v>
      </c>
      <c r="H8" s="125">
        <f>U8</f>
        <v>4.3860100000000006</v>
      </c>
      <c r="I8" s="125" t="s">
        <v>234</v>
      </c>
      <c r="J8" s="125">
        <f>C8+D8+E8+F8+H8</f>
        <v>4032.9041419999999</v>
      </c>
      <c r="K8" s="325">
        <f>J8-W8</f>
        <v>0</v>
      </c>
      <c r="O8" s="116">
        <v>2021</v>
      </c>
      <c r="P8" s="328">
        <f>P32/1000/1000</f>
        <v>241.902173</v>
      </c>
      <c r="Q8" s="328">
        <f t="shared" ref="Q8:S9" si="2">Q32/1000/1000</f>
        <v>87.511533</v>
      </c>
      <c r="R8" s="328">
        <f t="shared" si="2"/>
        <v>3682.4285989999998</v>
      </c>
      <c r="S8" s="328">
        <f t="shared" si="2"/>
        <v>16.675827000000002</v>
      </c>
      <c r="T8" s="316"/>
      <c r="U8" s="320">
        <f>U32/1000/1000</f>
        <v>4.3860100000000006</v>
      </c>
      <c r="V8" s="316"/>
      <c r="W8" s="316">
        <f>P8+Q8+R8+S8+U8</f>
        <v>4032.9041419999999</v>
      </c>
      <c r="X8" s="316">
        <f>W8-U8</f>
        <v>4028.5181319999997</v>
      </c>
      <c r="Y8" s="316">
        <v>4133.8604439999999</v>
      </c>
    </row>
    <row r="9" spans="2:27" x14ac:dyDescent="0.2">
      <c r="B9" s="116">
        <v>2022</v>
      </c>
      <c r="C9" s="125">
        <f>P9</f>
        <v>261.79793000000001</v>
      </c>
      <c r="D9" s="125">
        <f t="shared" ref="D9:D10" si="3">Q9</f>
        <v>94.77594400000001</v>
      </c>
      <c r="E9" s="125">
        <f t="shared" ref="E9:E10" si="4">R9</f>
        <v>4041.3525030000001</v>
      </c>
      <c r="F9" s="125">
        <f t="shared" ref="F9:F10" si="5">S9</f>
        <v>16.231182</v>
      </c>
      <c r="G9" s="125" t="s">
        <v>234</v>
      </c>
      <c r="H9" s="125">
        <f>U9</f>
        <v>4.3860100000000006</v>
      </c>
      <c r="I9" s="125" t="s">
        <v>234</v>
      </c>
      <c r="J9" s="125">
        <f>C9+D9+E9+F9+H9</f>
        <v>4418.5435690000004</v>
      </c>
      <c r="K9" s="325">
        <f t="shared" ref="K9:K20" si="6">J9-W9</f>
        <v>0</v>
      </c>
      <c r="O9" s="116">
        <v>2022</v>
      </c>
      <c r="P9" s="328">
        <f>P33/1000/1000</f>
        <v>261.79793000000001</v>
      </c>
      <c r="Q9" s="328">
        <f t="shared" si="2"/>
        <v>94.77594400000001</v>
      </c>
      <c r="R9" s="328">
        <f t="shared" si="2"/>
        <v>4041.3525030000001</v>
      </c>
      <c r="S9" s="328">
        <f t="shared" si="2"/>
        <v>16.231182</v>
      </c>
      <c r="T9" s="316"/>
      <c r="U9" s="320">
        <f>U33/1000/1000</f>
        <v>4.3860100000000006</v>
      </c>
      <c r="V9" s="316"/>
      <c r="W9" s="316">
        <f t="shared" ref="W9:W20" si="7">P9+Q9+R9+S9+U9</f>
        <v>4418.5435690000004</v>
      </c>
      <c r="X9" s="316">
        <f>W9-U9</f>
        <v>4414.1575590000002</v>
      </c>
      <c r="Y9" s="316">
        <v>4516.2330000000002</v>
      </c>
    </row>
    <row r="10" spans="2:27" x14ac:dyDescent="0.2">
      <c r="B10" s="116">
        <v>2023</v>
      </c>
      <c r="C10" s="316">
        <f>P10</f>
        <v>275.19027892218224</v>
      </c>
      <c r="D10" s="316">
        <f t="shared" si="3"/>
        <v>99.590493114612059</v>
      </c>
      <c r="E10" s="316">
        <f t="shared" si="4"/>
        <v>4219.7916242897018</v>
      </c>
      <c r="F10" s="316">
        <f t="shared" si="5"/>
        <v>17.978334590899937</v>
      </c>
      <c r="G10" s="117" t="s">
        <v>234</v>
      </c>
      <c r="H10" s="316">
        <f>U10</f>
        <v>4.3860100000000006</v>
      </c>
      <c r="I10" s="117" t="s">
        <v>234</v>
      </c>
      <c r="J10" s="117">
        <f>C10+D10+E10+F10+H10</f>
        <v>4616.9367409173965</v>
      </c>
      <c r="K10" s="325">
        <f t="shared" si="6"/>
        <v>0</v>
      </c>
      <c r="O10" s="116">
        <v>2023</v>
      </c>
      <c r="P10" s="316">
        <f>$P$6*X10</f>
        <v>275.19027892218224</v>
      </c>
      <c r="Q10" s="316">
        <f>$Q$6*X10</f>
        <v>99.590493114612059</v>
      </c>
      <c r="R10" s="316">
        <f>$R$6*X10</f>
        <v>4219.7916242897018</v>
      </c>
      <c r="S10" s="316">
        <f>$S$6*X10</f>
        <v>17.978334590899937</v>
      </c>
      <c r="T10" s="316"/>
      <c r="U10" s="316">
        <v>4.3860100000000006</v>
      </c>
      <c r="V10" s="316"/>
      <c r="W10" s="316">
        <f t="shared" si="7"/>
        <v>4616.9367409173965</v>
      </c>
      <c r="X10" s="316">
        <f t="shared" ref="X10:X20" si="8">Y10*0.97</f>
        <v>4612.5507309173963</v>
      </c>
      <c r="Y10" s="316">
        <v>4755.2069390900997</v>
      </c>
    </row>
    <row r="11" spans="2:27" x14ac:dyDescent="0.2">
      <c r="B11" s="116">
        <v>2024</v>
      </c>
      <c r="C11" s="316">
        <f t="shared" ref="C11:C20" si="9">P11</f>
        <v>287.44917011049756</v>
      </c>
      <c r="D11" s="316">
        <f t="shared" ref="D11:D20" si="10">Q11</f>
        <v>104.0269471320446</v>
      </c>
      <c r="E11" s="316">
        <f t="shared" ref="E11:E20" si="11">R11</f>
        <v>4407.7705258778642</v>
      </c>
      <c r="F11" s="316">
        <f t="shared" ref="F11:F20" si="12">S11</f>
        <v>18.779214797716005</v>
      </c>
      <c r="G11" s="117" t="s">
        <v>234</v>
      </c>
      <c r="H11" s="316">
        <f t="shared" ref="H11:H20" si="13">U11</f>
        <v>4.3860100000000006</v>
      </c>
      <c r="I11" s="117" t="s">
        <v>234</v>
      </c>
      <c r="J11" s="117">
        <f t="shared" ref="J11:J20" si="14">C11+D11+E11+F11+H11</f>
        <v>4822.4118679181229</v>
      </c>
      <c r="K11" s="325">
        <f t="shared" si="6"/>
        <v>0</v>
      </c>
      <c r="O11" s="116">
        <v>2024</v>
      </c>
      <c r="P11" s="316">
        <f t="shared" ref="P11:P20" si="15">$P$6*X11</f>
        <v>287.44917011049756</v>
      </c>
      <c r="Q11" s="316">
        <f t="shared" ref="Q11:Q20" si="16">$Q$6*X11</f>
        <v>104.0269471320446</v>
      </c>
      <c r="R11" s="316">
        <f t="shared" ref="R11:R20" si="17">$R$6*X11</f>
        <v>4407.7705258778642</v>
      </c>
      <c r="S11" s="316">
        <f t="shared" ref="S11:S20" si="18">$S$6*X11</f>
        <v>18.779214797716005</v>
      </c>
      <c r="T11" s="316"/>
      <c r="U11" s="316">
        <v>4.3860100000000006</v>
      </c>
      <c r="V11" s="316"/>
      <c r="W11" s="316">
        <f t="shared" si="7"/>
        <v>4822.4118679181229</v>
      </c>
      <c r="X11" s="316">
        <f t="shared" si="8"/>
        <v>4818.0258579181227</v>
      </c>
      <c r="Y11" s="316">
        <v>4967.0369669258998</v>
      </c>
    </row>
    <row r="12" spans="2:27" x14ac:dyDescent="0.2">
      <c r="B12" s="116">
        <v>2025</v>
      </c>
      <c r="C12" s="316">
        <f t="shared" si="9"/>
        <v>297.78984787120328</v>
      </c>
      <c r="D12" s="316">
        <f t="shared" si="10"/>
        <v>107.76920576618478</v>
      </c>
      <c r="E12" s="316">
        <f t="shared" si="11"/>
        <v>4566.335376260693</v>
      </c>
      <c r="F12" s="316">
        <f t="shared" si="12"/>
        <v>19.454777050157396</v>
      </c>
      <c r="G12" s="117" t="s">
        <v>234</v>
      </c>
      <c r="H12" s="316">
        <f t="shared" si="13"/>
        <v>4.3860100000000006</v>
      </c>
      <c r="I12" s="117" t="s">
        <v>234</v>
      </c>
      <c r="J12" s="117">
        <f t="shared" si="14"/>
        <v>4995.7352169482392</v>
      </c>
      <c r="K12" s="325">
        <f t="shared" si="6"/>
        <v>0</v>
      </c>
      <c r="O12" s="116">
        <v>2025</v>
      </c>
      <c r="P12" s="316">
        <f t="shared" si="15"/>
        <v>297.78984787120328</v>
      </c>
      <c r="Q12" s="316">
        <f t="shared" si="16"/>
        <v>107.76920576618478</v>
      </c>
      <c r="R12" s="316">
        <f t="shared" si="17"/>
        <v>4566.335376260693</v>
      </c>
      <c r="S12" s="316">
        <f t="shared" si="18"/>
        <v>19.454777050157396</v>
      </c>
      <c r="T12" s="316"/>
      <c r="U12" s="316">
        <v>4.3860100000000006</v>
      </c>
      <c r="V12" s="316"/>
      <c r="W12" s="316">
        <f t="shared" si="7"/>
        <v>4995.7352169482392</v>
      </c>
      <c r="X12" s="316">
        <f t="shared" si="8"/>
        <v>4991.3492069482381</v>
      </c>
      <c r="Y12" s="316">
        <v>5145.7208319054007</v>
      </c>
    </row>
    <row r="13" spans="2:27" x14ac:dyDescent="0.2">
      <c r="B13" s="116">
        <v>2026</v>
      </c>
      <c r="C13" s="316">
        <f t="shared" si="9"/>
        <v>306.0631918008508</v>
      </c>
      <c r="D13" s="316">
        <f t="shared" si="10"/>
        <v>110.76330281382567</v>
      </c>
      <c r="E13" s="316">
        <f t="shared" si="11"/>
        <v>4693.1995502276332</v>
      </c>
      <c r="F13" s="316">
        <f t="shared" si="12"/>
        <v>19.995279228996552</v>
      </c>
      <c r="G13" s="117" t="s">
        <v>234</v>
      </c>
      <c r="H13" s="316">
        <f t="shared" si="13"/>
        <v>4.3860100000000006</v>
      </c>
      <c r="I13" s="117" t="s">
        <v>234</v>
      </c>
      <c r="J13" s="117">
        <f t="shared" si="14"/>
        <v>5134.4073340713067</v>
      </c>
      <c r="K13" s="325">
        <f t="shared" si="6"/>
        <v>0</v>
      </c>
      <c r="O13" s="116">
        <v>2026</v>
      </c>
      <c r="P13" s="316">
        <f t="shared" si="15"/>
        <v>306.0631918008508</v>
      </c>
      <c r="Q13" s="316">
        <f t="shared" si="16"/>
        <v>110.76330281382567</v>
      </c>
      <c r="R13" s="316">
        <f t="shared" si="17"/>
        <v>4693.1995502276332</v>
      </c>
      <c r="S13" s="316">
        <f t="shared" si="18"/>
        <v>19.995279228996552</v>
      </c>
      <c r="T13" s="316"/>
      <c r="U13" s="316">
        <v>4.3860100000000006</v>
      </c>
      <c r="V13" s="316"/>
      <c r="W13" s="316">
        <f t="shared" si="7"/>
        <v>5134.4073340713067</v>
      </c>
      <c r="X13" s="316">
        <f t="shared" si="8"/>
        <v>5130.0213240713065</v>
      </c>
      <c r="Y13" s="316">
        <v>5288.6817773930998</v>
      </c>
    </row>
    <row r="14" spans="2:27" x14ac:dyDescent="0.2">
      <c r="B14" s="116">
        <v>2027</v>
      </c>
      <c r="C14" s="316">
        <f t="shared" si="9"/>
        <v>318.50202699693818</v>
      </c>
      <c r="D14" s="316">
        <f t="shared" si="10"/>
        <v>115.26487799955395</v>
      </c>
      <c r="E14" s="316">
        <f t="shared" si="11"/>
        <v>4883.937728850623</v>
      </c>
      <c r="F14" s="316">
        <f t="shared" si="12"/>
        <v>20.807915278322842</v>
      </c>
      <c r="G14" s="117" t="s">
        <v>234</v>
      </c>
      <c r="H14" s="316">
        <f t="shared" si="13"/>
        <v>4.3860100000000006</v>
      </c>
      <c r="I14" s="117" t="s">
        <v>234</v>
      </c>
      <c r="J14" s="117">
        <f t="shared" si="14"/>
        <v>5342.8985591254386</v>
      </c>
      <c r="K14" s="325">
        <f t="shared" si="6"/>
        <v>0</v>
      </c>
      <c r="O14" s="116">
        <v>2027</v>
      </c>
      <c r="P14" s="316">
        <f t="shared" si="15"/>
        <v>318.50202699693818</v>
      </c>
      <c r="Q14" s="316">
        <f t="shared" si="16"/>
        <v>115.26487799955395</v>
      </c>
      <c r="R14" s="316">
        <f t="shared" si="17"/>
        <v>4883.937728850623</v>
      </c>
      <c r="S14" s="316">
        <f t="shared" si="18"/>
        <v>20.807915278322842</v>
      </c>
      <c r="T14" s="316"/>
      <c r="U14" s="316">
        <v>4.3860100000000006</v>
      </c>
      <c r="V14" s="316"/>
      <c r="W14" s="316">
        <f t="shared" si="7"/>
        <v>5342.8985591254386</v>
      </c>
      <c r="X14" s="316">
        <f t="shared" si="8"/>
        <v>5338.5125491254385</v>
      </c>
      <c r="Y14" s="316">
        <v>5503.6211846654005</v>
      </c>
    </row>
    <row r="15" spans="2:27" x14ac:dyDescent="0.2">
      <c r="B15" s="116">
        <v>2028</v>
      </c>
      <c r="C15" s="316">
        <f t="shared" si="9"/>
        <v>340.34041355660349</v>
      </c>
      <c r="D15" s="316">
        <f t="shared" si="10"/>
        <v>123.1681211476144</v>
      </c>
      <c r="E15" s="316">
        <f t="shared" si="11"/>
        <v>5218.8094439904426</v>
      </c>
      <c r="F15" s="316">
        <f t="shared" si="12"/>
        <v>22.234629267032084</v>
      </c>
      <c r="G15" s="117" t="s">
        <v>234</v>
      </c>
      <c r="H15" s="316">
        <f t="shared" si="13"/>
        <v>4.3860100000000006</v>
      </c>
      <c r="I15" s="117" t="s">
        <v>234</v>
      </c>
      <c r="J15" s="117">
        <f t="shared" si="14"/>
        <v>5708.9386179616922</v>
      </c>
      <c r="K15" s="325">
        <f t="shared" si="6"/>
        <v>0</v>
      </c>
      <c r="O15" s="116">
        <v>2028</v>
      </c>
      <c r="P15" s="316">
        <f t="shared" si="15"/>
        <v>340.34041355660349</v>
      </c>
      <c r="Q15" s="316">
        <f t="shared" si="16"/>
        <v>123.1681211476144</v>
      </c>
      <c r="R15" s="316">
        <f t="shared" si="17"/>
        <v>5218.8094439904426</v>
      </c>
      <c r="S15" s="316">
        <f t="shared" si="18"/>
        <v>22.234629267032084</v>
      </c>
      <c r="T15" s="316"/>
      <c r="U15" s="316">
        <v>4.3860100000000006</v>
      </c>
      <c r="V15" s="316"/>
      <c r="W15" s="316">
        <f t="shared" si="7"/>
        <v>5708.9386179616922</v>
      </c>
      <c r="X15" s="316">
        <f t="shared" si="8"/>
        <v>5704.552607961693</v>
      </c>
      <c r="Y15" s="316">
        <v>5880.982070063601</v>
      </c>
    </row>
    <row r="16" spans="2:27" x14ac:dyDescent="0.2">
      <c r="B16" s="116">
        <v>2029</v>
      </c>
      <c r="C16" s="316">
        <f t="shared" si="9"/>
        <v>362.34325149070327</v>
      </c>
      <c r="D16" s="316">
        <f t="shared" si="10"/>
        <v>131.13087872887886</v>
      </c>
      <c r="E16" s="316">
        <f t="shared" si="11"/>
        <v>5556.2028707806858</v>
      </c>
      <c r="F16" s="316">
        <f t="shared" si="12"/>
        <v>23.672086955864362</v>
      </c>
      <c r="G16" s="117" t="s">
        <v>234</v>
      </c>
      <c r="H16" s="316">
        <f t="shared" si="13"/>
        <v>4.3860100000000006</v>
      </c>
      <c r="I16" s="117" t="s">
        <v>234</v>
      </c>
      <c r="J16" s="117">
        <f t="shared" si="14"/>
        <v>6077.7350979561315</v>
      </c>
      <c r="K16" s="325">
        <f t="shared" si="6"/>
        <v>0</v>
      </c>
      <c r="O16" s="116">
        <v>2029</v>
      </c>
      <c r="P16" s="316">
        <f t="shared" si="15"/>
        <v>362.34325149070327</v>
      </c>
      <c r="Q16" s="316">
        <f t="shared" si="16"/>
        <v>131.13087872887886</v>
      </c>
      <c r="R16" s="316">
        <f t="shared" si="17"/>
        <v>5556.2028707806858</v>
      </c>
      <c r="S16" s="316">
        <f t="shared" si="18"/>
        <v>23.672086955864362</v>
      </c>
      <c r="T16" s="316"/>
      <c r="U16" s="316">
        <v>4.3860100000000006</v>
      </c>
      <c r="V16" s="316"/>
      <c r="W16" s="316">
        <f t="shared" si="7"/>
        <v>6077.7350979561315</v>
      </c>
      <c r="X16" s="316">
        <f t="shared" si="8"/>
        <v>6073.3490879561323</v>
      </c>
      <c r="Y16" s="316">
        <v>6261.1846267588999</v>
      </c>
      <c r="Z16" s="316"/>
      <c r="AA16" s="316"/>
    </row>
    <row r="17" spans="2:25" x14ac:dyDescent="0.2">
      <c r="B17" s="116">
        <v>2030</v>
      </c>
      <c r="C17" s="316">
        <f t="shared" si="9"/>
        <v>380.47258140374413</v>
      </c>
      <c r="D17" s="316">
        <f t="shared" si="10"/>
        <v>137.69182598671344</v>
      </c>
      <c r="E17" s="316">
        <f t="shared" si="11"/>
        <v>5834.1995893445264</v>
      </c>
      <c r="F17" s="316">
        <f t="shared" si="12"/>
        <v>24.856486202676521</v>
      </c>
      <c r="G17" s="117" t="s">
        <v>234</v>
      </c>
      <c r="H17" s="316">
        <f t="shared" si="13"/>
        <v>4.3860100000000006</v>
      </c>
      <c r="I17" s="117" t="s">
        <v>234</v>
      </c>
      <c r="J17" s="117">
        <f t="shared" si="14"/>
        <v>6381.6064929376607</v>
      </c>
      <c r="K17" s="325">
        <f t="shared" si="6"/>
        <v>0</v>
      </c>
      <c r="O17" s="116">
        <v>2030</v>
      </c>
      <c r="P17" s="316">
        <f t="shared" si="15"/>
        <v>380.47258140374413</v>
      </c>
      <c r="Q17" s="316">
        <f t="shared" si="16"/>
        <v>137.69182598671344</v>
      </c>
      <c r="R17" s="316">
        <f t="shared" si="17"/>
        <v>5834.1995893445264</v>
      </c>
      <c r="S17" s="316">
        <f t="shared" si="18"/>
        <v>24.856486202676521</v>
      </c>
      <c r="T17" s="316"/>
      <c r="U17" s="316">
        <v>4.3860100000000006</v>
      </c>
      <c r="V17" s="316"/>
      <c r="W17" s="316">
        <f t="shared" si="7"/>
        <v>6381.6064929376607</v>
      </c>
      <c r="X17" s="316">
        <f t="shared" si="8"/>
        <v>6377.2204829376606</v>
      </c>
      <c r="Y17" s="316">
        <v>6574.4541061212994</v>
      </c>
    </row>
    <row r="18" spans="2:25" x14ac:dyDescent="0.2">
      <c r="B18" s="116">
        <v>2031</v>
      </c>
      <c r="C18" s="316">
        <f t="shared" si="9"/>
        <v>395.00551815787503</v>
      </c>
      <c r="D18" s="316">
        <f t="shared" si="10"/>
        <v>142.95124991482626</v>
      </c>
      <c r="E18" s="316">
        <f t="shared" si="11"/>
        <v>6057.0489030325116</v>
      </c>
      <c r="F18" s="316">
        <f t="shared" si="12"/>
        <v>25.805931076156359</v>
      </c>
      <c r="G18" s="117" t="s">
        <v>234</v>
      </c>
      <c r="H18" s="316">
        <f t="shared" si="13"/>
        <v>4.3860100000000006</v>
      </c>
      <c r="I18" s="117" t="s">
        <v>234</v>
      </c>
      <c r="J18" s="117">
        <f t="shared" si="14"/>
        <v>6625.1976121813695</v>
      </c>
      <c r="K18" s="325">
        <f t="shared" si="6"/>
        <v>0</v>
      </c>
      <c r="O18" s="116">
        <v>2031</v>
      </c>
      <c r="P18" s="316">
        <f t="shared" si="15"/>
        <v>395.00551815787503</v>
      </c>
      <c r="Q18" s="316">
        <f t="shared" si="16"/>
        <v>142.95124991482626</v>
      </c>
      <c r="R18" s="316">
        <f t="shared" si="17"/>
        <v>6057.0489030325116</v>
      </c>
      <c r="S18" s="316">
        <f t="shared" si="18"/>
        <v>25.805931076156359</v>
      </c>
      <c r="T18" s="316"/>
      <c r="U18" s="316">
        <v>4.3860100000000006</v>
      </c>
      <c r="V18" s="316"/>
      <c r="W18" s="316">
        <f t="shared" si="7"/>
        <v>6625.1976121813695</v>
      </c>
      <c r="X18" s="316">
        <f t="shared" si="8"/>
        <v>6620.8116021813694</v>
      </c>
      <c r="Y18" s="316">
        <v>6825.5789713209997</v>
      </c>
    </row>
    <row r="19" spans="2:25" x14ac:dyDescent="0.2">
      <c r="B19" s="116">
        <v>2032</v>
      </c>
      <c r="C19" s="316">
        <f t="shared" si="9"/>
        <v>409.43239919728808</v>
      </c>
      <c r="D19" s="316">
        <f t="shared" si="10"/>
        <v>148.17229261462049</v>
      </c>
      <c r="E19" s="316">
        <f t="shared" si="11"/>
        <v>6278.2719491850758</v>
      </c>
      <c r="F19" s="316">
        <f t="shared" si="12"/>
        <v>26.748447270571141</v>
      </c>
      <c r="G19" s="117" t="s">
        <v>234</v>
      </c>
      <c r="H19" s="316">
        <f t="shared" si="13"/>
        <v>4.3860100000000006</v>
      </c>
      <c r="I19" s="117" t="s">
        <v>234</v>
      </c>
      <c r="J19" s="117">
        <f t="shared" si="14"/>
        <v>6867.0110982675551</v>
      </c>
      <c r="K19" s="325">
        <f t="shared" si="6"/>
        <v>0</v>
      </c>
      <c r="O19" s="116">
        <v>2032</v>
      </c>
      <c r="P19" s="316">
        <f t="shared" si="15"/>
        <v>409.43239919728808</v>
      </c>
      <c r="Q19" s="316">
        <f t="shared" si="16"/>
        <v>148.17229261462049</v>
      </c>
      <c r="R19" s="316">
        <f t="shared" si="17"/>
        <v>6278.2719491850758</v>
      </c>
      <c r="S19" s="316">
        <f t="shared" si="18"/>
        <v>26.748447270571141</v>
      </c>
      <c r="T19" s="316"/>
      <c r="U19" s="316">
        <v>4.3860100000000006</v>
      </c>
      <c r="V19" s="316"/>
      <c r="W19" s="316">
        <f t="shared" si="7"/>
        <v>6867.0110982675551</v>
      </c>
      <c r="X19" s="316">
        <f t="shared" si="8"/>
        <v>6862.6250882675558</v>
      </c>
      <c r="Y19" s="316">
        <v>7074.8712250180988</v>
      </c>
    </row>
    <row r="20" spans="2:25" x14ac:dyDescent="0.2">
      <c r="B20" s="116">
        <v>2033</v>
      </c>
      <c r="C20" s="316">
        <f t="shared" si="9"/>
        <v>420.17444886062157</v>
      </c>
      <c r="D20" s="316">
        <f t="shared" si="10"/>
        <v>152.05980647311526</v>
      </c>
      <c r="E20" s="316">
        <f t="shared" si="11"/>
        <v>6442.991471163019</v>
      </c>
      <c r="F20" s="316">
        <f t="shared" si="12"/>
        <v>27.450231373541158</v>
      </c>
      <c r="G20" s="117" t="s">
        <v>234</v>
      </c>
      <c r="H20" s="316">
        <f t="shared" si="13"/>
        <v>4.3860100000000006</v>
      </c>
      <c r="I20" s="117" t="s">
        <v>234</v>
      </c>
      <c r="J20" s="117">
        <f t="shared" si="14"/>
        <v>7047.0619678702969</v>
      </c>
      <c r="K20" s="325">
        <f t="shared" si="6"/>
        <v>0</v>
      </c>
      <c r="O20" s="116">
        <v>2033</v>
      </c>
      <c r="P20" s="316">
        <f t="shared" si="15"/>
        <v>420.17444886062157</v>
      </c>
      <c r="Q20" s="316">
        <f t="shared" si="16"/>
        <v>152.05980647311526</v>
      </c>
      <c r="R20" s="316">
        <f t="shared" si="17"/>
        <v>6442.991471163019</v>
      </c>
      <c r="S20" s="316">
        <f t="shared" si="18"/>
        <v>27.450231373541158</v>
      </c>
      <c r="T20" s="316"/>
      <c r="U20" s="316">
        <v>4.3860100000000006</v>
      </c>
      <c r="V20" s="316"/>
      <c r="W20" s="316">
        <f t="shared" si="7"/>
        <v>7047.0619678702969</v>
      </c>
      <c r="X20" s="316">
        <f t="shared" si="8"/>
        <v>7042.6759578702968</v>
      </c>
      <c r="Y20" s="316">
        <v>7260.4906782168009</v>
      </c>
    </row>
    <row r="21" spans="2:25" x14ac:dyDescent="0.2">
      <c r="B21" s="322">
        <v>2034</v>
      </c>
      <c r="C21" s="323">
        <f>HLOOKUP($B21, '23-IEPR Customer Class Dist'!$J$66:$W$69, 2, FALSE)*$J21</f>
        <v>528.81276241651904</v>
      </c>
      <c r="D21" s="323">
        <f>HLOOKUP($B21, '23-IEPR Customer Class Dist'!$J$66:$W$69, 3, FALSE)*$J21</f>
        <v>377.78958415389155</v>
      </c>
      <c r="E21" s="323">
        <f>HLOOKUP($B21, '23-IEPR Customer Class Dist'!$J$66:$W$69, 4, FALSE)*$J21</f>
        <v>8937.3602649983841</v>
      </c>
      <c r="F21" s="324" t="s">
        <v>234</v>
      </c>
      <c r="G21" s="324" t="s">
        <v>234</v>
      </c>
      <c r="H21" s="324" t="s">
        <v>234</v>
      </c>
      <c r="I21" s="324" t="s">
        <v>234</v>
      </c>
      <c r="J21" s="324">
        <f>'23-IEPR TPP 2425 LF'!F36</f>
        <v>9843.9626115687952</v>
      </c>
      <c r="K21" s="111" t="s">
        <v>234</v>
      </c>
    </row>
    <row r="26" spans="2:25" ht="20" x14ac:dyDescent="0.2">
      <c r="O26" s="112" t="s">
        <v>40</v>
      </c>
      <c r="P26" s="112" t="s">
        <v>41</v>
      </c>
      <c r="Q26" s="112" t="s">
        <v>42</v>
      </c>
      <c r="R26" s="112" t="s">
        <v>43</v>
      </c>
      <c r="S26" s="319" t="s">
        <v>275</v>
      </c>
      <c r="T26" s="112" t="s">
        <v>44</v>
      </c>
      <c r="U26" s="112" t="s">
        <v>278</v>
      </c>
      <c r="V26" s="112" t="s">
        <v>45</v>
      </c>
      <c r="W26" s="112" t="s">
        <v>46</v>
      </c>
      <c r="X26" s="112" t="s">
        <v>276</v>
      </c>
    </row>
    <row r="27" spans="2:25" x14ac:dyDescent="0.2">
      <c r="O27" s="116">
        <v>2016</v>
      </c>
      <c r="P27" s="125">
        <v>224053245</v>
      </c>
      <c r="Q27" s="125">
        <v>94660689.629999995</v>
      </c>
      <c r="R27" s="125">
        <v>3089679177.6999998</v>
      </c>
      <c r="S27" s="125">
        <v>17408698</v>
      </c>
      <c r="T27" s="326" t="s">
        <v>234</v>
      </c>
      <c r="U27" s="125">
        <v>4289729</v>
      </c>
      <c r="V27" s="326" t="s">
        <v>234</v>
      </c>
      <c r="W27" s="125">
        <f t="shared" ref="W27:W29" si="19">SUM(P27:V27)</f>
        <v>3430091539.3299999</v>
      </c>
      <c r="X27" s="125">
        <f>W27-U27</f>
        <v>3425801810.3299999</v>
      </c>
    </row>
    <row r="28" spans="2:25" x14ac:dyDescent="0.2">
      <c r="O28" s="116">
        <v>2017</v>
      </c>
      <c r="P28" s="125">
        <v>235643830</v>
      </c>
      <c r="Q28" s="125">
        <v>95259888.769999981</v>
      </c>
      <c r="R28" s="125">
        <v>3192880627.1800003</v>
      </c>
      <c r="S28" s="125">
        <v>19834539</v>
      </c>
      <c r="T28" s="326" t="s">
        <v>234</v>
      </c>
      <c r="U28" s="125">
        <v>3481099</v>
      </c>
      <c r="V28" s="326" t="s">
        <v>234</v>
      </c>
      <c r="W28" s="125">
        <f t="shared" si="19"/>
        <v>3547099983.9500003</v>
      </c>
      <c r="X28" s="125">
        <f t="shared" ref="X28:X33" si="20">W28-U28</f>
        <v>3543618884.9500003</v>
      </c>
    </row>
    <row r="29" spans="2:25" x14ac:dyDescent="0.2">
      <c r="O29" s="116">
        <v>2018</v>
      </c>
      <c r="P29" s="125">
        <v>226010342.45000002</v>
      </c>
      <c r="Q29" s="125">
        <v>92413000.849999994</v>
      </c>
      <c r="R29" s="125">
        <v>3229606951.77</v>
      </c>
      <c r="S29" s="125">
        <v>18263541</v>
      </c>
      <c r="T29" s="326" t="s">
        <v>234</v>
      </c>
      <c r="U29" s="125">
        <v>2983223</v>
      </c>
      <c r="V29" s="326" t="s">
        <v>234</v>
      </c>
      <c r="W29" s="125">
        <f t="shared" si="19"/>
        <v>3569277059.0700002</v>
      </c>
      <c r="X29" s="125">
        <f t="shared" si="20"/>
        <v>3566293836.0700002</v>
      </c>
    </row>
    <row r="30" spans="2:25" x14ac:dyDescent="0.2">
      <c r="O30" s="116">
        <v>2019</v>
      </c>
      <c r="P30" s="125">
        <v>235439647.35999998</v>
      </c>
      <c r="Q30" s="125">
        <v>91975711.200000003</v>
      </c>
      <c r="R30" s="125">
        <v>3226136486.8899994</v>
      </c>
      <c r="S30" s="125">
        <v>18051343.879999999</v>
      </c>
      <c r="T30" s="326" t="s">
        <v>234</v>
      </c>
      <c r="U30" s="125">
        <v>4244551</v>
      </c>
      <c r="V30" s="326" t="s">
        <v>234</v>
      </c>
      <c r="W30" s="125">
        <f t="shared" ref="W30:W33" si="21">SUM(P30:V30)</f>
        <v>3575847740.3299994</v>
      </c>
      <c r="X30" s="125">
        <f t="shared" si="20"/>
        <v>3571603189.3299994</v>
      </c>
    </row>
    <row r="31" spans="2:25" x14ac:dyDescent="0.2">
      <c r="O31" s="116">
        <v>2020</v>
      </c>
      <c r="P31" s="125">
        <v>267600569</v>
      </c>
      <c r="Q31" s="125">
        <v>87346005.930000007</v>
      </c>
      <c r="R31" s="125">
        <v>3149331666.2900004</v>
      </c>
      <c r="S31" s="125">
        <v>18435484</v>
      </c>
      <c r="T31" s="326" t="s">
        <v>234</v>
      </c>
      <c r="U31" s="125">
        <v>4300000</v>
      </c>
      <c r="V31" s="326" t="s">
        <v>234</v>
      </c>
      <c r="W31" s="125">
        <f t="shared" si="21"/>
        <v>3527013725.2200003</v>
      </c>
      <c r="X31" s="125">
        <f t="shared" si="20"/>
        <v>3522713725.2200003</v>
      </c>
    </row>
    <row r="32" spans="2:25" x14ac:dyDescent="0.2">
      <c r="O32" s="116">
        <v>2021</v>
      </c>
      <c r="P32" s="316">
        <v>241902173</v>
      </c>
      <c r="Q32" s="316">
        <v>87511533</v>
      </c>
      <c r="R32" s="316">
        <v>3682428599</v>
      </c>
      <c r="S32" s="316">
        <v>16675827</v>
      </c>
      <c r="T32" s="316" t="s">
        <v>234</v>
      </c>
      <c r="U32" s="316">
        <v>4386010</v>
      </c>
      <c r="V32" s="316"/>
      <c r="W32" s="316">
        <f t="shared" si="21"/>
        <v>4032904142</v>
      </c>
      <c r="X32" s="316">
        <f t="shared" si="20"/>
        <v>4028518132</v>
      </c>
      <c r="Y32" s="316">
        <v>4133.8604439999999</v>
      </c>
    </row>
    <row r="33" spans="15:25" x14ac:dyDescent="0.2">
      <c r="O33" s="116">
        <v>2022</v>
      </c>
      <c r="P33" s="316">
        <v>261797930</v>
      </c>
      <c r="Q33" s="316">
        <v>94775944</v>
      </c>
      <c r="R33" s="316">
        <v>4041352503</v>
      </c>
      <c r="S33" s="316">
        <v>16231182</v>
      </c>
      <c r="T33" s="316" t="s">
        <v>234</v>
      </c>
      <c r="U33" s="316">
        <v>4386010</v>
      </c>
      <c r="V33" s="316"/>
      <c r="W33" s="316">
        <f t="shared" si="21"/>
        <v>4418543569</v>
      </c>
      <c r="X33" s="316">
        <f t="shared" si="20"/>
        <v>4414157559</v>
      </c>
      <c r="Y33" s="316">
        <v>4516.2330000000002</v>
      </c>
    </row>
    <row r="34" spans="15:25" x14ac:dyDescent="0.2">
      <c r="P34" s="327"/>
      <c r="Q34" s="327"/>
      <c r="R34" s="327"/>
    </row>
  </sheetData>
  <customSheetViews>
    <customSheetView guid="{64245E33-E577-4C25-9B98-21C112E84FF6}" scale="75" showPageBreaks="1" showGridLines="0" fitToPage="1" printArea="1">
      <pane xSplit="2" ySplit="9" topLeftCell="C10" activePane="bottomRight" state="frozen"/>
      <selection pane="bottomRight" activeCell="N44" sqref="N44"/>
      <pageMargins left="0" right="0" top="0" bottom="0" header="0" footer="0"/>
      <pageSetup scale="85" orientation="landscape" r:id="rId1"/>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N44" sqref="N44"/>
      <pageMargins left="0" right="0" top="0" bottom="0" header="0" footer="0"/>
      <pageSetup scale="85" orientation="landscape" r:id="rId2"/>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B10" sqref="B10"/>
      <pageMargins left="0" right="0" top="0" bottom="0" header="0" footer="0"/>
      <pageSetup scale="84" orientation="landscape" r:id="rId3"/>
      <headerFooter alignWithMargins="0">
        <oddFooter>&amp;R&amp;A</oddFooter>
      </headerFooter>
    </customSheetView>
    <customSheetView guid="{C3E70234-FA18-40E7-B25F-218A5F7D2EA2}" scale="75" showGridLines="0" fitToPage="1">
      <pane xSplit="2" ySplit="9" topLeftCell="C10" activePane="bottomRight" state="frozen"/>
      <selection pane="bottomRight" activeCell="B10" sqref="B10"/>
      <pageMargins left="0" right="0" top="0" bottom="0" header="0" footer="0"/>
      <pageSetup scale="84" orientation="landscape" r:id="rId4"/>
      <headerFooter alignWithMargins="0">
        <oddFooter>&amp;R&amp;A</oddFooter>
      </headerFooter>
    </customSheetView>
  </customSheetViews>
  <mergeCells count="4">
    <mergeCell ref="B2:J2"/>
    <mergeCell ref="B3:J3"/>
    <mergeCell ref="B4:J4"/>
    <mergeCell ref="B1:J1"/>
  </mergeCells>
  <printOptions horizontalCentered="1" gridLinesSet="0"/>
  <pageMargins left="0.25" right="0.25" top="0.75" bottom="0.75" header="0.5" footer="0.5"/>
  <pageSetup scale="93" orientation="landscape" r:id="rId5"/>
  <headerFooter alignWithMargins="0">
    <oddFooter>&amp;R&amp;A</oddFooter>
  </headerFooter>
  <drawing r:id="rId6"/>
  <legacyDrawing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F21"/>
  <sheetViews>
    <sheetView showGridLines="0" zoomScale="145" zoomScaleNormal="145" workbookViewId="0"/>
  </sheetViews>
  <sheetFormatPr defaultColWidth="8.6640625" defaultRowHeight="10" x14ac:dyDescent="0.2"/>
  <cols>
    <col min="1" max="1" width="1.6640625" style="111" customWidth="1"/>
    <col min="2" max="2" width="11" style="111" customWidth="1"/>
    <col min="3" max="3" width="15.6640625" style="111" customWidth="1"/>
    <col min="4" max="4" width="14.6640625" style="111" customWidth="1"/>
    <col min="5" max="5" width="14.33203125" style="111" customWidth="1"/>
    <col min="6" max="6" width="19.6640625" style="111" customWidth="1"/>
    <col min="7" max="16384" width="8.6640625" style="111"/>
  </cols>
  <sheetData>
    <row r="1" spans="2:6" s="108" customFormat="1" ht="15.5" x14ac:dyDescent="0.35">
      <c r="B1" s="402" t="s">
        <v>47</v>
      </c>
      <c r="C1" s="402"/>
      <c r="D1" s="402"/>
      <c r="E1" s="402"/>
      <c r="F1" s="402"/>
    </row>
    <row r="2" spans="2:6" s="109" customFormat="1" ht="13" x14ac:dyDescent="0.3">
      <c r="B2" s="399" t="str">
        <f>+'FormsList&amp;FilerInfo'!B2</f>
        <v>Utility Name</v>
      </c>
      <c r="C2" s="400"/>
      <c r="D2" s="400"/>
      <c r="E2" s="400"/>
      <c r="F2" s="400"/>
    </row>
    <row r="3" spans="2:6" s="109" customFormat="1" ht="13" x14ac:dyDescent="0.3">
      <c r="B3" s="400"/>
      <c r="C3" s="400"/>
      <c r="D3" s="400"/>
      <c r="E3" s="400"/>
      <c r="F3" s="400"/>
    </row>
    <row r="4" spans="2:6" s="109" customFormat="1" ht="13" x14ac:dyDescent="0.3">
      <c r="B4" s="403"/>
      <c r="C4" s="400"/>
      <c r="D4" s="150"/>
    </row>
    <row r="5" spans="2:6" s="108" customFormat="1" ht="15.5" x14ac:dyDescent="0.35">
      <c r="B5" s="404" t="s">
        <v>48</v>
      </c>
      <c r="C5" s="404"/>
      <c r="D5" s="404"/>
      <c r="E5" s="404"/>
      <c r="F5" s="404"/>
    </row>
    <row r="6" spans="2:6" ht="13" x14ac:dyDescent="0.3">
      <c r="B6" s="400"/>
      <c r="C6" s="400"/>
      <c r="D6" s="400"/>
      <c r="E6" s="400"/>
      <c r="F6" s="400"/>
    </row>
    <row r="7" spans="2:6" ht="13" x14ac:dyDescent="0.3">
      <c r="B7" s="150"/>
      <c r="C7" s="150"/>
      <c r="D7" s="150"/>
      <c r="E7" s="150"/>
      <c r="F7" s="150"/>
    </row>
    <row r="8" spans="2:6" ht="13" x14ac:dyDescent="0.3">
      <c r="B8" s="118"/>
      <c r="C8" s="118"/>
      <c r="D8" s="118"/>
      <c r="E8" s="119"/>
      <c r="F8" s="119"/>
    </row>
    <row r="9" spans="2:6" ht="47.25" customHeight="1" x14ac:dyDescent="0.2">
      <c r="B9" s="120" t="s">
        <v>40</v>
      </c>
      <c r="C9" s="121" t="s">
        <v>49</v>
      </c>
      <c r="D9" s="121" t="s">
        <v>279</v>
      </c>
      <c r="E9" s="121" t="s">
        <v>50</v>
      </c>
      <c r="F9" s="120" t="s">
        <v>51</v>
      </c>
    </row>
    <row r="10" spans="2:6" x14ac:dyDescent="0.2">
      <c r="B10" s="116">
        <v>2021</v>
      </c>
      <c r="C10" s="125">
        <f>'Form 1.1b 23-IEPR Incr'!J8</f>
        <v>4032.9041419999999</v>
      </c>
      <c r="D10" s="288">
        <f t="shared" ref="D10:D11" si="0">1-C10/F10</f>
        <v>2.442179734115868E-2</v>
      </c>
      <c r="E10" s="125">
        <f>D10*C10</f>
        <v>98.49076765224342</v>
      </c>
      <c r="F10" s="125">
        <f>'Form 1.1b 23-IEPR Incr'!Y8</f>
        <v>4133.8604439999999</v>
      </c>
    </row>
    <row r="11" spans="2:6" x14ac:dyDescent="0.2">
      <c r="B11" s="116">
        <v>2022</v>
      </c>
      <c r="C11" s="125">
        <f>'Form 1.1b 23-IEPR Incr'!J9</f>
        <v>4418.5435690000004</v>
      </c>
      <c r="D11" s="288">
        <f t="shared" si="0"/>
        <v>2.1630733179621164E-2</v>
      </c>
      <c r="E11" s="125">
        <f t="shared" ref="E11" si="1">D11*C11</f>
        <v>95.57633698357003</v>
      </c>
      <c r="F11" s="125">
        <f>'Form 1.1b 23-IEPR Incr'!Y9</f>
        <v>4516.2330000000002</v>
      </c>
    </row>
    <row r="12" spans="2:6" x14ac:dyDescent="0.2">
      <c r="B12" s="116">
        <v>2023</v>
      </c>
      <c r="C12" s="117">
        <f>'Form 1.1b 23-IEPR Incr'!J10</f>
        <v>4616.9367409173965</v>
      </c>
      <c r="D12" s="289">
        <f>1-C12/F12</f>
        <v>2.9077640561981699E-2</v>
      </c>
      <c r="E12" s="117">
        <f>F12-C12</f>
        <v>138.2701981727032</v>
      </c>
      <c r="F12" s="117">
        <f>'Form 1.1b 23-IEPR Incr'!Y10</f>
        <v>4755.2069390900997</v>
      </c>
    </row>
    <row r="13" spans="2:6" x14ac:dyDescent="0.2">
      <c r="B13" s="116">
        <v>2024</v>
      </c>
      <c r="C13" s="117">
        <f>'Form 1.1b 23-IEPR Incr'!J11</f>
        <v>4822.4118679181229</v>
      </c>
      <c r="D13" s="289">
        <f t="shared" ref="D13:D21" si="2">D12</f>
        <v>2.9077640561981699E-2</v>
      </c>
      <c r="E13" s="117">
        <f t="shared" ref="E13:E21" si="3">F13-C13</f>
        <v>144.62509900777695</v>
      </c>
      <c r="F13" s="117">
        <f>'Form 1.1b 23-IEPR Incr'!Y11</f>
        <v>4967.0369669258998</v>
      </c>
    </row>
    <row r="14" spans="2:6" x14ac:dyDescent="0.2">
      <c r="B14" s="116">
        <v>2025</v>
      </c>
      <c r="C14" s="122">
        <f>'Form 1.1b 23-IEPR Incr'!J12</f>
        <v>4995.7352169482392</v>
      </c>
      <c r="D14" s="290">
        <f t="shared" si="2"/>
        <v>2.9077640561981699E-2</v>
      </c>
      <c r="E14" s="117">
        <f t="shared" si="3"/>
        <v>149.98561495716149</v>
      </c>
      <c r="F14" s="117">
        <f>'Form 1.1b 23-IEPR Incr'!Y12</f>
        <v>5145.7208319054007</v>
      </c>
    </row>
    <row r="15" spans="2:6" x14ac:dyDescent="0.2">
      <c r="B15" s="116">
        <v>2026</v>
      </c>
      <c r="C15" s="117">
        <f>'Form 1.1b 23-IEPR Incr'!J13</f>
        <v>5134.4073340713067</v>
      </c>
      <c r="D15" s="289">
        <f t="shared" si="2"/>
        <v>2.9077640561981699E-2</v>
      </c>
      <c r="E15" s="117">
        <f t="shared" si="3"/>
        <v>154.27444332179311</v>
      </c>
      <c r="F15" s="117">
        <f>'Form 1.1b 23-IEPR Incr'!Y13</f>
        <v>5288.6817773930998</v>
      </c>
    </row>
    <row r="16" spans="2:6" x14ac:dyDescent="0.2">
      <c r="B16" s="116">
        <v>2027</v>
      </c>
      <c r="C16" s="122">
        <f>'Form 1.1b 23-IEPR Incr'!J14</f>
        <v>5342.8985591254386</v>
      </c>
      <c r="D16" s="290">
        <f t="shared" si="2"/>
        <v>2.9077640561981699E-2</v>
      </c>
      <c r="E16" s="117">
        <f t="shared" si="3"/>
        <v>160.72262553996188</v>
      </c>
      <c r="F16" s="117">
        <f>'Form 1.1b 23-IEPR Incr'!Y14</f>
        <v>5503.6211846654005</v>
      </c>
    </row>
    <row r="17" spans="2:6" x14ac:dyDescent="0.2">
      <c r="B17" s="116">
        <v>2028</v>
      </c>
      <c r="C17" s="117">
        <f>'Form 1.1b 23-IEPR Incr'!J15</f>
        <v>5708.9386179616922</v>
      </c>
      <c r="D17" s="289">
        <f t="shared" si="2"/>
        <v>2.9077640561981699E-2</v>
      </c>
      <c r="E17" s="117">
        <f t="shared" si="3"/>
        <v>172.04345210190877</v>
      </c>
      <c r="F17" s="117">
        <f>'Form 1.1b 23-IEPR Incr'!Y15</f>
        <v>5880.982070063601</v>
      </c>
    </row>
    <row r="18" spans="2:6" x14ac:dyDescent="0.2">
      <c r="B18" s="116">
        <v>2029</v>
      </c>
      <c r="C18" s="122">
        <f>'Form 1.1b 23-IEPR Incr'!J16</f>
        <v>6077.7350979561315</v>
      </c>
      <c r="D18" s="290">
        <f t="shared" si="2"/>
        <v>2.9077640561981699E-2</v>
      </c>
      <c r="E18" s="117">
        <f t="shared" si="3"/>
        <v>183.44952880276833</v>
      </c>
      <c r="F18" s="117">
        <f>'Form 1.1b 23-IEPR Incr'!Y16</f>
        <v>6261.1846267588999</v>
      </c>
    </row>
    <row r="19" spans="2:6" x14ac:dyDescent="0.2">
      <c r="B19" s="116">
        <v>2030</v>
      </c>
      <c r="C19" s="117">
        <f>'Form 1.1b 23-IEPR Incr'!J17</f>
        <v>6381.6064929376607</v>
      </c>
      <c r="D19" s="289">
        <f t="shared" si="2"/>
        <v>2.9077640561981699E-2</v>
      </c>
      <c r="E19" s="117">
        <f t="shared" si="3"/>
        <v>192.84761318363871</v>
      </c>
      <c r="F19" s="117">
        <f>'Form 1.1b 23-IEPR Incr'!Y17</f>
        <v>6574.4541061212994</v>
      </c>
    </row>
    <row r="20" spans="2:6" x14ac:dyDescent="0.2">
      <c r="B20" s="116">
        <v>2031</v>
      </c>
      <c r="C20" s="117">
        <f>'Form 1.1b 23-IEPR Incr'!J18</f>
        <v>6625.1976121813695</v>
      </c>
      <c r="D20" s="289">
        <f t="shared" si="2"/>
        <v>2.9077640561981699E-2</v>
      </c>
      <c r="E20" s="117">
        <f t="shared" si="3"/>
        <v>200.38135913963015</v>
      </c>
      <c r="F20" s="117">
        <f>'Form 1.1b 23-IEPR Incr'!Y18</f>
        <v>6825.5789713209997</v>
      </c>
    </row>
    <row r="21" spans="2:6" x14ac:dyDescent="0.2">
      <c r="B21" s="116">
        <v>2032</v>
      </c>
      <c r="C21" s="117">
        <f>'Form 1.1b 23-IEPR Incr'!J19</f>
        <v>6867.0110982675551</v>
      </c>
      <c r="D21" s="289">
        <f t="shared" si="2"/>
        <v>2.9077640561981699E-2</v>
      </c>
      <c r="E21" s="117">
        <f t="shared" si="3"/>
        <v>207.86012675054371</v>
      </c>
      <c r="F21" s="117">
        <f>'Form 1.1b 23-IEPR Incr'!Y19</f>
        <v>7074.8712250180988</v>
      </c>
    </row>
  </sheetData>
  <customSheetViews>
    <customSheetView guid="{64245E33-E577-4C25-9B98-21C112E84FF6}" scale="75" showPageBreaks="1" showGridLines="0" fitToPage="1" printArea="1">
      <selection activeCell="M44" sqref="M44"/>
      <pageMargins left="0" right="0" top="0" bottom="0" header="0" footer="0"/>
      <pageSetup scale="93" orientation="landscape" r:id="rId1"/>
      <headerFooter alignWithMargins="0">
        <oddFooter>&amp;R&amp;A</oddFooter>
      </headerFooter>
    </customSheetView>
    <customSheetView guid="{2C54E754-4594-47E3-AFE9-B28C28B63E5C}" scale="75" showGridLines="0" fitToPage="1">
      <selection activeCell="M44" sqref="M44"/>
      <pageMargins left="0" right="0" top="0" bottom="0" header="0" footer="0"/>
      <pageSetup scale="93" orientation="landscape" r:id="rId2"/>
      <headerFooter alignWithMargins="0">
        <oddFooter>&amp;R&amp;A</oddFooter>
      </headerFooter>
    </customSheetView>
    <customSheetView guid="{DC437496-B10F-474B-8F6E-F19B4DA7C026}" scale="75" showPageBreaks="1" showGridLines="0" fitToPage="1" printArea="1">
      <selection activeCell="Y12" sqref="Y12"/>
      <pageMargins left="0" right="0" top="0" bottom="0" header="0" footer="0"/>
      <pageSetup scale="93" orientation="landscape" r:id="rId3"/>
      <headerFooter alignWithMargins="0">
        <oddFooter>&amp;R&amp;A</oddFooter>
      </headerFooter>
    </customSheetView>
    <customSheetView guid="{C3E70234-FA18-40E7-B25F-218A5F7D2EA2}" scale="75" showGridLines="0" fitToPage="1">
      <selection activeCell="Y12" sqref="Y12"/>
      <pageMargins left="0" right="0" top="0" bottom="0" header="0" footer="0"/>
      <pageSetup scale="93" orientation="landscape" r:id="rId4"/>
      <headerFooter alignWithMargins="0">
        <oddFooter>&amp;R&amp;A</oddFooter>
      </headerFooter>
    </customSheetView>
  </customSheetViews>
  <mergeCells count="6">
    <mergeCell ref="B6:F6"/>
    <mergeCell ref="B1:F1"/>
    <mergeCell ref="B2:F2"/>
    <mergeCell ref="B3:F3"/>
    <mergeCell ref="B4:C4"/>
    <mergeCell ref="B5:F5"/>
  </mergeCells>
  <printOptions horizontalCentered="1" gridLinesSet="0"/>
  <pageMargins left="0.25" right="0.25" top="0.5" bottom="0.5" header="0.5" footer="0.5"/>
  <pageSetup orientation="landscape" r:id="rId5"/>
  <headerFooter alignWithMargins="0">
    <oddFooter>&amp;R&amp;A</oddFooter>
  </headerFooter>
  <legacyDrawing r:id="rId6"/>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K25"/>
  <sheetViews>
    <sheetView showGridLines="0" zoomScale="130" zoomScaleNormal="130" workbookViewId="0"/>
  </sheetViews>
  <sheetFormatPr defaultColWidth="8.6640625" defaultRowHeight="10" x14ac:dyDescent="0.2"/>
  <cols>
    <col min="1" max="1" width="1.6640625" customWidth="1"/>
    <col min="2" max="2" width="10.109375" customWidth="1"/>
    <col min="3" max="4" width="12" customWidth="1"/>
    <col min="5" max="5" width="11.6640625" customWidth="1"/>
    <col min="6" max="6" width="12.6640625" customWidth="1"/>
    <col min="7" max="7" width="12" customWidth="1"/>
    <col min="8" max="8" width="15.6640625" customWidth="1"/>
    <col min="9" max="10" width="12" customWidth="1"/>
    <col min="11" max="11" width="5.109375" customWidth="1"/>
  </cols>
  <sheetData>
    <row r="1" spans="2:11" s="14" customFormat="1" ht="15.5" x14ac:dyDescent="0.35">
      <c r="B1" s="411" t="s">
        <v>52</v>
      </c>
      <c r="C1" s="411"/>
      <c r="D1" s="411"/>
      <c r="E1" s="411"/>
      <c r="F1" s="411"/>
      <c r="G1" s="411"/>
      <c r="H1" s="411"/>
      <c r="I1" s="411"/>
      <c r="J1" s="411"/>
      <c r="K1" s="411"/>
    </row>
    <row r="2" spans="2:11" ht="13" x14ac:dyDescent="0.3">
      <c r="B2" s="412" t="str">
        <f>+'FormsList&amp;FilerInfo'!B2</f>
        <v>Utility Name</v>
      </c>
      <c r="C2" s="413"/>
      <c r="D2" s="413"/>
      <c r="E2" s="413"/>
      <c r="F2" s="413"/>
      <c r="G2" s="413"/>
      <c r="H2" s="413"/>
      <c r="I2" s="413"/>
      <c r="J2" s="413"/>
      <c r="K2" s="413"/>
    </row>
    <row r="3" spans="2:11" ht="13" x14ac:dyDescent="0.3">
      <c r="B3" s="9"/>
      <c r="C3" s="128"/>
      <c r="D3" s="128"/>
      <c r="E3" s="128"/>
      <c r="F3" s="128"/>
      <c r="G3" s="128"/>
      <c r="H3" s="128"/>
      <c r="I3" s="128"/>
      <c r="J3" s="128"/>
    </row>
    <row r="4" spans="2:11" ht="13" x14ac:dyDescent="0.3">
      <c r="B4" s="9"/>
      <c r="C4" s="128"/>
      <c r="D4" s="128"/>
      <c r="E4" s="128"/>
      <c r="F4" s="128"/>
      <c r="G4" s="128"/>
      <c r="H4" s="128"/>
      <c r="I4" s="128"/>
      <c r="J4" s="128"/>
    </row>
    <row r="5" spans="2:11" s="14" customFormat="1" ht="39.75" customHeight="1" x14ac:dyDescent="0.35">
      <c r="B5" s="26" t="s">
        <v>53</v>
      </c>
      <c r="C5" s="27"/>
      <c r="D5" s="27"/>
      <c r="E5" s="27"/>
      <c r="F5" s="27"/>
      <c r="G5" s="27"/>
      <c r="H5" s="27"/>
      <c r="I5" s="27"/>
      <c r="J5" s="27"/>
    </row>
    <row r="6" spans="2:11" ht="13" x14ac:dyDescent="0.3">
      <c r="B6" s="9" t="s">
        <v>54</v>
      </c>
      <c r="C6" s="128"/>
      <c r="D6" s="128"/>
      <c r="E6" s="128"/>
      <c r="F6" s="128"/>
      <c r="G6" s="128"/>
      <c r="H6" s="128"/>
      <c r="I6" s="128"/>
      <c r="J6" s="128"/>
    </row>
    <row r="7" spans="2:11" ht="13" x14ac:dyDescent="0.3">
      <c r="B7" s="9"/>
      <c r="C7" s="128"/>
      <c r="D7" s="128"/>
      <c r="E7" s="128"/>
      <c r="F7" s="128"/>
      <c r="G7" s="128"/>
      <c r="H7" s="128"/>
      <c r="I7" s="128"/>
      <c r="J7" s="128"/>
    </row>
    <row r="8" spans="2:11" ht="13" x14ac:dyDescent="0.3">
      <c r="B8" s="9"/>
      <c r="C8" s="128" t="s">
        <v>55</v>
      </c>
      <c r="D8" s="128"/>
      <c r="E8" s="128"/>
      <c r="F8" s="128"/>
      <c r="G8" s="128"/>
      <c r="H8" s="128"/>
      <c r="I8" s="128"/>
      <c r="J8" s="128"/>
    </row>
    <row r="9" spans="2:11" ht="22.5" customHeight="1" x14ac:dyDescent="0.2">
      <c r="B9" s="414" t="s">
        <v>40</v>
      </c>
      <c r="C9" s="414" t="s">
        <v>41</v>
      </c>
      <c r="D9" s="414" t="s">
        <v>42</v>
      </c>
      <c r="E9" s="407" t="s">
        <v>43</v>
      </c>
      <c r="F9" s="409" t="s">
        <v>275</v>
      </c>
      <c r="G9" s="207"/>
      <c r="H9" s="407" t="s">
        <v>56</v>
      </c>
      <c r="I9" s="207"/>
      <c r="J9" s="405" t="s">
        <v>267</v>
      </c>
    </row>
    <row r="10" spans="2:11" ht="22.5" customHeight="1" x14ac:dyDescent="0.2">
      <c r="B10" s="415"/>
      <c r="C10" s="415"/>
      <c r="D10" s="415"/>
      <c r="E10" s="408"/>
      <c r="F10" s="410"/>
      <c r="G10" s="208" t="s">
        <v>44</v>
      </c>
      <c r="H10" s="408"/>
      <c r="I10" s="208" t="s">
        <v>50</v>
      </c>
      <c r="J10" s="406"/>
    </row>
    <row r="11" spans="2:11" x14ac:dyDescent="0.2">
      <c r="B11" s="5">
        <v>2021</v>
      </c>
      <c r="C11" s="126"/>
      <c r="D11" s="126"/>
      <c r="E11" s="126"/>
      <c r="F11" s="126"/>
      <c r="G11" s="126"/>
      <c r="H11" s="126"/>
      <c r="I11" s="293"/>
      <c r="J11" s="126">
        <f>'23-IEPR TPP 2425 LF'!B23</f>
        <v>594.79999999999995</v>
      </c>
    </row>
    <row r="12" spans="2:11" x14ac:dyDescent="0.2">
      <c r="B12" s="5">
        <v>2022</v>
      </c>
      <c r="C12" s="126"/>
      <c r="D12" s="126"/>
      <c r="E12" s="126"/>
      <c r="F12" s="126"/>
      <c r="G12" s="126"/>
      <c r="H12" s="126"/>
      <c r="I12" s="293"/>
      <c r="J12" s="126">
        <v>693.87599999999998</v>
      </c>
    </row>
    <row r="13" spans="2:11" x14ac:dyDescent="0.2">
      <c r="B13" s="5">
        <v>2023</v>
      </c>
      <c r="C13" s="12"/>
      <c r="D13" s="12"/>
      <c r="E13" s="12"/>
      <c r="F13" s="12"/>
      <c r="G13" s="12"/>
      <c r="H13" s="12"/>
      <c r="I13" s="294"/>
      <c r="J13" s="3">
        <v>660.19406349999997</v>
      </c>
    </row>
    <row r="14" spans="2:11" x14ac:dyDescent="0.2">
      <c r="B14" s="5">
        <v>2024</v>
      </c>
      <c r="C14" s="12"/>
      <c r="D14" s="12"/>
      <c r="E14" s="12"/>
      <c r="F14" s="12"/>
      <c r="G14" s="12"/>
      <c r="H14" s="12"/>
      <c r="I14" s="294"/>
      <c r="J14" s="3">
        <v>695.78553829999998</v>
      </c>
    </row>
    <row r="15" spans="2:11" x14ac:dyDescent="0.2">
      <c r="B15" s="5">
        <v>2025</v>
      </c>
      <c r="C15" s="12"/>
      <c r="D15" s="12"/>
      <c r="E15" s="12"/>
      <c r="F15" s="12"/>
      <c r="G15" s="12"/>
      <c r="H15" s="12"/>
      <c r="I15" s="294"/>
      <c r="J15" s="3">
        <v>717.7079675</v>
      </c>
    </row>
    <row r="16" spans="2:11" x14ac:dyDescent="0.2">
      <c r="B16" s="5">
        <v>2026</v>
      </c>
      <c r="C16" s="12"/>
      <c r="D16" s="12"/>
      <c r="E16" s="12"/>
      <c r="F16" s="12"/>
      <c r="G16" s="12"/>
      <c r="H16" s="12"/>
      <c r="I16" s="294"/>
      <c r="J16" s="3">
        <v>737.633284</v>
      </c>
    </row>
    <row r="17" spans="2:11" x14ac:dyDescent="0.2">
      <c r="B17" s="5">
        <v>2027</v>
      </c>
      <c r="C17" s="12"/>
      <c r="D17" s="12"/>
      <c r="E17" s="12"/>
      <c r="F17" s="12"/>
      <c r="G17" s="12"/>
      <c r="H17" s="12"/>
      <c r="I17" s="294"/>
      <c r="J17" s="3">
        <v>767.61172999999997</v>
      </c>
    </row>
    <row r="18" spans="2:11" x14ac:dyDescent="0.2">
      <c r="B18" s="5">
        <v>2028</v>
      </c>
      <c r="C18" s="12"/>
      <c r="D18" s="12"/>
      <c r="E18" s="12"/>
      <c r="F18" s="12"/>
      <c r="G18" s="12"/>
      <c r="H18" s="12"/>
      <c r="I18" s="294"/>
      <c r="J18" s="3">
        <v>818.17247799999996</v>
      </c>
    </row>
    <row r="19" spans="2:11" x14ac:dyDescent="0.2">
      <c r="B19" s="5">
        <v>2029</v>
      </c>
      <c r="C19" s="12"/>
      <c r="D19" s="12"/>
      <c r="E19" s="12"/>
      <c r="F19" s="12"/>
      <c r="G19" s="12"/>
      <c r="H19" s="12"/>
      <c r="I19" s="294"/>
      <c r="J19" s="3">
        <v>873.27208789999997</v>
      </c>
    </row>
    <row r="20" spans="2:11" x14ac:dyDescent="0.2">
      <c r="B20" s="5">
        <v>2030</v>
      </c>
      <c r="C20" s="12"/>
      <c r="D20" s="12"/>
      <c r="E20" s="12"/>
      <c r="F20" s="12"/>
      <c r="G20" s="12"/>
      <c r="H20" s="12"/>
      <c r="I20" s="294"/>
      <c r="J20" s="3">
        <v>916.96501650000005</v>
      </c>
    </row>
    <row r="21" spans="2:11" x14ac:dyDescent="0.2">
      <c r="B21" s="5">
        <v>2031</v>
      </c>
      <c r="C21" s="12"/>
      <c r="D21" s="12"/>
      <c r="E21" s="12"/>
      <c r="F21" s="12"/>
      <c r="G21" s="12"/>
      <c r="H21" s="12"/>
      <c r="I21" s="294"/>
      <c r="J21" s="3">
        <v>951.9903908</v>
      </c>
    </row>
    <row r="22" spans="2:11" x14ac:dyDescent="0.2">
      <c r="B22" s="5">
        <v>2032</v>
      </c>
      <c r="C22" s="12"/>
      <c r="D22" s="12"/>
      <c r="E22" s="12"/>
      <c r="F22" s="12"/>
      <c r="G22" s="12"/>
      <c r="H22" s="12"/>
      <c r="I22" s="294"/>
      <c r="J22" s="3">
        <v>984.26841860000002</v>
      </c>
    </row>
    <row r="23" spans="2:11" x14ac:dyDescent="0.2">
      <c r="B23" s="5">
        <v>2033</v>
      </c>
      <c r="C23" s="12"/>
      <c r="D23" s="12"/>
      <c r="E23" s="12"/>
      <c r="F23" s="12"/>
      <c r="G23" s="12"/>
      <c r="H23" s="12"/>
      <c r="I23" s="294"/>
      <c r="J23" s="3">
        <v>1012.64924</v>
      </c>
    </row>
    <row r="24" spans="2:11" x14ac:dyDescent="0.2">
      <c r="B24" s="322">
        <v>2034</v>
      </c>
      <c r="C24" s="323"/>
      <c r="D24" s="323"/>
      <c r="E24" s="323"/>
      <c r="F24" s="324"/>
      <c r="G24" s="324"/>
      <c r="H24" s="324"/>
      <c r="I24" s="324"/>
      <c r="J24" s="324">
        <f>'23-IEPR TPP 2425 LF'!B36</f>
        <v>1351.9004016802992</v>
      </c>
      <c r="K24" s="111" t="s">
        <v>234</v>
      </c>
    </row>
    <row r="25" spans="2:11" x14ac:dyDescent="0.2">
      <c r="B25" s="111" t="s">
        <v>266</v>
      </c>
    </row>
  </sheetData>
  <mergeCells count="9">
    <mergeCell ref="J9:J10"/>
    <mergeCell ref="H9:H10"/>
    <mergeCell ref="F9:F10"/>
    <mergeCell ref="E9:E10"/>
    <mergeCell ref="B1:K1"/>
    <mergeCell ref="B2:K2"/>
    <mergeCell ref="C9:C10"/>
    <mergeCell ref="D9:D10"/>
    <mergeCell ref="B9:B10"/>
  </mergeCells>
  <printOptions horizontalCentered="1" gridLinesSet="0"/>
  <pageMargins left="0.25" right="0.25" top="0.5" bottom="0.5" header="0.5" footer="0.5"/>
  <pageSetup scale="86" orientation="landscape" r:id="rId1"/>
  <headerFooter alignWithMargins="0">
    <oddFooter>&amp;R&amp;A</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FFC000"/>
    <pageSetUpPr fitToPage="1"/>
  </sheetPr>
  <dimension ref="B1:I22"/>
  <sheetViews>
    <sheetView showGridLines="0" zoomScale="160" zoomScaleNormal="160" workbookViewId="0"/>
  </sheetViews>
  <sheetFormatPr defaultColWidth="8.6640625" defaultRowHeight="10" x14ac:dyDescent="0.2"/>
  <cols>
    <col min="1" max="1" width="1.6640625" customWidth="1"/>
    <col min="2" max="2" width="12" customWidth="1"/>
    <col min="3" max="6" width="15.6640625" customWidth="1"/>
  </cols>
  <sheetData>
    <row r="1" spans="2:9" s="15" customFormat="1" ht="14" x14ac:dyDescent="0.3">
      <c r="B1" s="419" t="s">
        <v>57</v>
      </c>
      <c r="C1" s="419"/>
      <c r="D1" s="419"/>
      <c r="E1" s="419"/>
      <c r="F1" s="419"/>
    </row>
    <row r="2" spans="2:9" s="7" customFormat="1" ht="13" x14ac:dyDescent="0.3">
      <c r="B2" s="412" t="str">
        <f>+'FormsList&amp;FilerInfo'!B2</f>
        <v>Utility Name</v>
      </c>
      <c r="C2" s="413"/>
      <c r="D2" s="413"/>
      <c r="E2" s="413"/>
      <c r="F2" s="413"/>
    </row>
    <row r="3" spans="2:9" s="7" customFormat="1" ht="13" x14ac:dyDescent="0.3">
      <c r="B3" s="413"/>
      <c r="C3" s="413"/>
      <c r="D3" s="413"/>
      <c r="E3" s="413"/>
      <c r="F3" s="413"/>
    </row>
    <row r="4" spans="2:9" s="7" customFormat="1" ht="15.5" x14ac:dyDescent="0.35">
      <c r="B4" s="16" t="s">
        <v>58</v>
      </c>
      <c r="C4" s="9"/>
      <c r="D4" s="9"/>
      <c r="E4" s="9"/>
      <c r="F4" s="9"/>
    </row>
    <row r="5" spans="2:9" s="7" customFormat="1" ht="12.75" customHeight="1" x14ac:dyDescent="0.3">
      <c r="B5" s="413" t="s">
        <v>59</v>
      </c>
      <c r="C5" s="413"/>
      <c r="D5" s="413"/>
      <c r="E5" s="413"/>
      <c r="F5" s="413"/>
    </row>
    <row r="6" spans="2:9" ht="13.5" customHeight="1" x14ac:dyDescent="0.3">
      <c r="B6" s="413"/>
      <c r="C6" s="413"/>
      <c r="D6" s="413"/>
      <c r="E6" s="413"/>
      <c r="F6" s="413"/>
      <c r="G6" s="330" t="s">
        <v>280</v>
      </c>
      <c r="H6" s="341"/>
      <c r="I6" s="341"/>
    </row>
    <row r="7" spans="2:9" ht="12.5" x14ac:dyDescent="0.25">
      <c r="B7" s="420" t="s">
        <v>60</v>
      </c>
      <c r="C7" s="421"/>
      <c r="D7" s="421"/>
      <c r="E7" s="421"/>
      <c r="F7" s="421"/>
    </row>
    <row r="8" spans="2:9" ht="13.5" customHeight="1" x14ac:dyDescent="0.2">
      <c r="B8" s="5"/>
      <c r="C8" s="416" t="s">
        <v>61</v>
      </c>
      <c r="D8" s="417"/>
      <c r="E8" s="417"/>
      <c r="F8" s="418"/>
    </row>
    <row r="9" spans="2:9" ht="20" x14ac:dyDescent="0.2">
      <c r="B9" s="4" t="s">
        <v>263</v>
      </c>
      <c r="C9" s="13" t="s">
        <v>62</v>
      </c>
      <c r="D9" s="13" t="s">
        <v>63</v>
      </c>
      <c r="E9" s="13" t="s">
        <v>64</v>
      </c>
      <c r="F9" s="13" t="s">
        <v>65</v>
      </c>
    </row>
    <row r="10" spans="2:9" x14ac:dyDescent="0.2">
      <c r="B10" s="5">
        <v>2021</v>
      </c>
      <c r="C10" s="126">
        <f>INDEX('23-IEPR TPP 2425 LF'!$A$22:$E$36, MATCH('Form 1.5 23-IEPR Incr'!$B10, '23-IEPR TPP 2425 LF'!$A$22:$A$36, 0), MATCH('Form 1.5 23-IEPR Incr'!C$9, '23-IEPR TPP 2425 LF'!$A$22:$E$22, 0))</f>
        <v>594.79999999999995</v>
      </c>
      <c r="D10" s="126">
        <f>INDEX('23-IEPR TPP 2425 LF'!$A$22:$E$36, MATCH('Form 1.5 23-IEPR Incr'!$B10, '23-IEPR TPP 2425 LF'!$A$22:$A$36, 0), MATCH('Form 1.5 23-IEPR Incr'!D$9, '23-IEPR TPP 2425 LF'!$A$22:$E$22, 0))</f>
        <v>594.79999999999995</v>
      </c>
      <c r="E10" s="126">
        <f>INDEX('23-IEPR TPP 2425 LF'!$A$22:$E$36, MATCH('Form 1.5 23-IEPR Incr'!$B10, '23-IEPR TPP 2425 LF'!$A$22:$A$36, 0), MATCH('Form 1.5 23-IEPR Incr'!E$9, '23-IEPR TPP 2425 LF'!$A$22:$E$22, 0))</f>
        <v>594.79999999999995</v>
      </c>
      <c r="F10" s="126">
        <f>INDEX('23-IEPR TPP 2425 LF'!$A$22:$E$36, MATCH('Form 1.5 23-IEPR Incr'!$B10, '23-IEPR TPP 2425 LF'!$A$22:$A$36, 0), MATCH('Form 1.5 23-IEPR Incr'!F$9, '23-IEPR TPP 2425 LF'!$A$22:$E$22, 0))</f>
        <v>594.79999999999995</v>
      </c>
    </row>
    <row r="11" spans="2:9" x14ac:dyDescent="0.2">
      <c r="B11" s="5">
        <v>2022</v>
      </c>
      <c r="C11" s="126">
        <f>INDEX('23-IEPR TPP 2425 LF'!$A$22:$E$36, MATCH('Form 1.5 23-IEPR Incr'!$B11, '23-IEPR TPP 2425 LF'!$A$22:$A$36, 0), MATCH('Form 1.5 23-IEPR Incr'!C$9, '23-IEPR TPP 2425 LF'!$A$22:$E$22, 0))</f>
        <v>693.9</v>
      </c>
      <c r="D11" s="126">
        <f>INDEX('23-IEPR TPP 2425 LF'!$A$22:$E$36, MATCH('Form 1.5 23-IEPR Incr'!$B11, '23-IEPR TPP 2425 LF'!$A$22:$A$36, 0), MATCH('Form 1.5 23-IEPR Incr'!D$9, '23-IEPR TPP 2425 LF'!$A$22:$E$22, 0))</f>
        <v>693.9</v>
      </c>
      <c r="E11" s="126">
        <f>INDEX('23-IEPR TPP 2425 LF'!$A$22:$E$36, MATCH('Form 1.5 23-IEPR Incr'!$B11, '23-IEPR TPP 2425 LF'!$A$22:$A$36, 0), MATCH('Form 1.5 23-IEPR Incr'!E$9, '23-IEPR TPP 2425 LF'!$A$22:$E$22, 0))</f>
        <v>693.9</v>
      </c>
      <c r="F11" s="126">
        <f>INDEX('23-IEPR TPP 2425 LF'!$A$22:$E$36, MATCH('Form 1.5 23-IEPR Incr'!$B11, '23-IEPR TPP 2425 LF'!$A$22:$A$36, 0), MATCH('Form 1.5 23-IEPR Incr'!F$9, '23-IEPR TPP 2425 LF'!$A$22:$E$22, 0))</f>
        <v>693.9</v>
      </c>
    </row>
    <row r="12" spans="2:9" x14ac:dyDescent="0.2">
      <c r="B12" s="5">
        <v>2023</v>
      </c>
      <c r="C12" s="12">
        <f>INDEX('23-IEPR TPP 2425 LF'!$A$22:$E$36, MATCH('Form 1.5 23-IEPR Incr'!$B12, '23-IEPR TPP 2425 LF'!$A$22:$A$36, 0), MATCH('Form 1.5 23-IEPR Incr'!C$9, '23-IEPR TPP 2425 LF'!$A$22:$E$22, 0))</f>
        <v>716.23454662281358</v>
      </c>
      <c r="D12" s="12">
        <f>INDEX('23-IEPR TPP 2425 LF'!$A$22:$E$36, MATCH('Form 1.5 23-IEPR Incr'!$B12, '23-IEPR TPP 2425 LF'!$A$22:$A$36, 0), MATCH('Form 1.5 23-IEPR Incr'!D$9, '23-IEPR TPP 2425 LF'!$A$22:$E$22, 0))</f>
        <v>737.47688331263282</v>
      </c>
      <c r="E12" s="12">
        <f>INDEX('23-IEPR TPP 2425 LF'!$A$22:$E$36, MATCH('Form 1.5 23-IEPR Incr'!$B12, '23-IEPR TPP 2425 LF'!$A$22:$A$36, 0), MATCH('Form 1.5 23-IEPR Incr'!E$9, '23-IEPR TPP 2425 LF'!$A$22:$E$22, 0))</f>
        <v>750.61260388054234</v>
      </c>
      <c r="F12" s="12">
        <f>INDEX('23-IEPR TPP 2425 LF'!$A$22:$E$36, MATCH('Form 1.5 23-IEPR Incr'!$B12, '23-IEPR TPP 2425 LF'!$A$22:$A$36, 0), MATCH('Form 1.5 23-IEPR Incr'!F$9, '23-IEPR TPP 2425 LF'!$A$22:$E$22, 0))</f>
        <v>760.67081277254169</v>
      </c>
    </row>
    <row r="13" spans="2:9" x14ac:dyDescent="0.2">
      <c r="B13" s="5">
        <v>2024</v>
      </c>
      <c r="C13" s="12">
        <f>INDEX('23-IEPR TPP 2425 LF'!$A$22:$E$36, MATCH('Form 1.5 23-IEPR Incr'!$B13, '23-IEPR TPP 2425 LF'!$A$22:$A$36, 0), MATCH('Form 1.5 23-IEPR Incr'!C$9, '23-IEPR TPP 2425 LF'!$A$22:$E$22, 0))</f>
        <v>781.25843898055746</v>
      </c>
      <c r="D13" s="12">
        <f>INDEX('23-IEPR TPP 2425 LF'!$A$22:$E$36, MATCH('Form 1.5 23-IEPR Incr'!$B13, '23-IEPR TPP 2425 LF'!$A$22:$A$36, 0), MATCH('Form 1.5 23-IEPR Incr'!D$9, '23-IEPR TPP 2425 LF'!$A$22:$E$22, 0))</f>
        <v>804.42927719387728</v>
      </c>
      <c r="E13" s="12">
        <f>INDEX('23-IEPR TPP 2425 LF'!$A$22:$E$36, MATCH('Form 1.5 23-IEPR Incr'!$B13, '23-IEPR TPP 2425 LF'!$A$22:$A$36, 0), MATCH('Form 1.5 23-IEPR Incr'!E$9, '23-IEPR TPP 2425 LF'!$A$22:$E$22, 0))</f>
        <v>818.75753403956969</v>
      </c>
      <c r="F13" s="12">
        <f>INDEX('23-IEPR TPP 2425 LF'!$A$22:$E$36, MATCH('Form 1.5 23-IEPR Incr'!$B13, '23-IEPR TPP 2425 LF'!$A$22:$A$36, 0), MATCH('Form 1.5 23-IEPR Incr'!F$9, '23-IEPR TPP 2425 LF'!$A$22:$E$22, 0))</f>
        <v>829.72888499570001</v>
      </c>
    </row>
    <row r="14" spans="2:9" x14ac:dyDescent="0.2">
      <c r="B14" s="5">
        <v>2025</v>
      </c>
      <c r="C14" s="12">
        <f>INDEX('23-IEPR TPP 2425 LF'!$A$22:$E$36, MATCH('Form 1.5 23-IEPR Incr'!$B14, '23-IEPR TPP 2425 LF'!$A$22:$A$36, 0), MATCH('Form 1.5 23-IEPR Incr'!C$9, '23-IEPR TPP 2425 LF'!$A$22:$E$22, 0))</f>
        <v>846.56940247094553</v>
      </c>
      <c r="D14" s="12">
        <f>INDEX('23-IEPR TPP 2425 LF'!$A$22:$E$36, MATCH('Form 1.5 23-IEPR Incr'!$B14, '23-IEPR TPP 2425 LF'!$A$22:$A$36, 0), MATCH('Form 1.5 23-IEPR Incr'!D$9, '23-IEPR TPP 2425 LF'!$A$22:$E$22, 0))</f>
        <v>871.67725626462379</v>
      </c>
      <c r="E14" s="12">
        <f>INDEX('23-IEPR TPP 2425 LF'!$A$22:$E$36, MATCH('Form 1.5 23-IEPR Incr'!$B14, '23-IEPR TPP 2425 LF'!$A$22:$A$36, 0), MATCH('Form 1.5 23-IEPR Incr'!E$9, '23-IEPR TPP 2425 LF'!$A$22:$E$22, 0))</f>
        <v>887.20331426424809</v>
      </c>
      <c r="F14" s="12">
        <f>INDEX('23-IEPR TPP 2425 LF'!$A$22:$E$36, MATCH('Form 1.5 23-IEPR Incr'!$B14, '23-IEPR TPP 2425 LF'!$A$22:$A$36, 0), MATCH('Form 1.5 23-IEPR Incr'!F$9, '23-IEPR TPP 2425 LF'!$A$22:$E$22, 0))</f>
        <v>899.09183867538911</v>
      </c>
    </row>
    <row r="15" spans="2:9" x14ac:dyDescent="0.2">
      <c r="B15" s="5">
        <v>2026</v>
      </c>
      <c r="C15" s="3">
        <f>INDEX('23-IEPR TPP 2425 LF'!$A$22:$E$36, MATCH('Form 1.5 23-IEPR Incr'!$B15, '23-IEPR TPP 2425 LF'!$A$22:$A$36, 0), MATCH('Form 1.5 23-IEPR Incr'!C$9, '23-IEPR TPP 2425 LF'!$A$22:$E$22, 0))</f>
        <v>916.0847500762892</v>
      </c>
      <c r="D15" s="3">
        <f>INDEX('23-IEPR TPP 2425 LF'!$A$22:$E$36, MATCH('Form 1.5 23-IEPR Incr'!$B15, '23-IEPR TPP 2425 LF'!$A$22:$A$36, 0), MATCH('Form 1.5 23-IEPR Incr'!D$9, '23-IEPR TPP 2425 LF'!$A$22:$E$22, 0))</f>
        <v>943.25431455664864</v>
      </c>
      <c r="E15" s="3">
        <f>INDEX('23-IEPR TPP 2425 LF'!$A$22:$E$36, MATCH('Form 1.5 23-IEPR Incr'!$B15, '23-IEPR TPP 2425 LF'!$A$22:$A$36, 0), MATCH('Form 1.5 23-IEPR Incr'!E$9, '23-IEPR TPP 2425 LF'!$A$22:$E$22, 0))</f>
        <v>960.0552819914999</v>
      </c>
      <c r="F15" s="3">
        <f>INDEX('23-IEPR TPP 2425 LF'!$A$22:$E$36, MATCH('Form 1.5 23-IEPR Incr'!$B15, '23-IEPR TPP 2425 LF'!$A$22:$A$36, 0), MATCH('Form 1.5 23-IEPR Incr'!F$9, '23-IEPR TPP 2425 LF'!$A$22:$E$22, 0))</f>
        <v>972.92002277018605</v>
      </c>
    </row>
    <row r="16" spans="2:9" x14ac:dyDescent="0.2">
      <c r="B16" s="5">
        <v>2027</v>
      </c>
      <c r="C16" s="12">
        <f>INDEX('23-IEPR TPP 2425 LF'!$A$22:$E$36, MATCH('Form 1.5 23-IEPR Incr'!$B16, '23-IEPR TPP 2425 LF'!$A$22:$A$36, 0), MATCH('Form 1.5 23-IEPR Incr'!C$9, '23-IEPR TPP 2425 LF'!$A$22:$E$22, 0))</f>
        <v>979.64915660341921</v>
      </c>
      <c r="D16" s="12">
        <f>INDEX('23-IEPR TPP 2425 LF'!$A$22:$E$36, MATCH('Form 1.5 23-IEPR Incr'!$B16, '23-IEPR TPP 2425 LF'!$A$22:$A$36, 0), MATCH('Form 1.5 23-IEPR Incr'!D$9, '23-IEPR TPP 2425 LF'!$A$22:$E$22, 0))</f>
        <v>1008.7039366619779</v>
      </c>
      <c r="E16" s="12">
        <f>INDEX('23-IEPR TPP 2425 LF'!$A$22:$E$36, MATCH('Form 1.5 23-IEPR Incr'!$B16, '23-IEPR TPP 2425 LF'!$A$22:$A$36, 0), MATCH('Form 1.5 23-IEPR Incr'!E$9, '23-IEPR TPP 2425 LF'!$A$22:$E$22, 0))</f>
        <v>1026.6706734473057</v>
      </c>
      <c r="F16" s="12">
        <f>INDEX('23-IEPR TPP 2425 LF'!$A$22:$E$36, MATCH('Form 1.5 23-IEPR Incr'!$B16, '23-IEPR TPP 2425 LF'!$A$22:$A$36, 0), MATCH('Form 1.5 23-IEPR Incr'!F$9, '23-IEPR TPP 2425 LF'!$A$22:$E$22, 0))</f>
        <v>1040.4280604714997</v>
      </c>
    </row>
    <row r="17" spans="2:6" x14ac:dyDescent="0.2">
      <c r="B17" s="5">
        <v>2028</v>
      </c>
      <c r="C17" s="3">
        <f>INDEX('23-IEPR TPP 2425 LF'!$A$22:$E$36, MATCH('Form 1.5 23-IEPR Incr'!$B17, '23-IEPR TPP 2425 LF'!$A$22:$A$36, 0), MATCH('Form 1.5 23-IEPR Incr'!C$9, '23-IEPR TPP 2425 LF'!$A$22:$E$22, 0))</f>
        <v>1045.5298501192085</v>
      </c>
      <c r="D17" s="3">
        <f>INDEX('23-IEPR TPP 2425 LF'!$A$22:$E$36, MATCH('Form 1.5 23-IEPR Incr'!$B17, '23-IEPR TPP 2425 LF'!$A$22:$A$36, 0), MATCH('Form 1.5 23-IEPR Incr'!D$9, '23-IEPR TPP 2425 LF'!$A$22:$E$22, 0))</f>
        <v>1076.5385430120755</v>
      </c>
      <c r="E17" s="3">
        <f>INDEX('23-IEPR TPP 2425 LF'!$A$22:$E$36, MATCH('Form 1.5 23-IEPR Incr'!$B17, '23-IEPR TPP 2425 LF'!$A$22:$A$36, 0), MATCH('Form 1.5 23-IEPR Incr'!E$9, '23-IEPR TPP 2425 LF'!$A$22:$E$22, 0))</f>
        <v>1095.7135297832829</v>
      </c>
      <c r="F17" s="3">
        <f>INDEX('23-IEPR TPP 2425 LF'!$A$22:$E$36, MATCH('Form 1.5 23-IEPR Incr'!$B17, '23-IEPR TPP 2425 LF'!$A$22:$A$36, 0), MATCH('Form 1.5 23-IEPR Incr'!F$9, '23-IEPR TPP 2425 LF'!$A$22:$E$22, 0))</f>
        <v>1110.3960910823789</v>
      </c>
    </row>
    <row r="18" spans="2:6" x14ac:dyDescent="0.2">
      <c r="B18" s="5">
        <v>2029</v>
      </c>
      <c r="C18" s="12">
        <f>INDEX('23-IEPR TPP 2425 LF'!$A$22:$E$36, MATCH('Form 1.5 23-IEPR Incr'!$B18, '23-IEPR TPP 2425 LF'!$A$22:$A$36, 0), MATCH('Form 1.5 23-IEPR Incr'!C$9, '23-IEPR TPP 2425 LF'!$A$22:$E$22, 0))</f>
        <v>1121.4893970094499</v>
      </c>
      <c r="D18" s="12">
        <f>INDEX('23-IEPR TPP 2425 LF'!$A$22:$E$36, MATCH('Form 1.5 23-IEPR Incr'!$B18, '23-IEPR TPP 2425 LF'!$A$22:$A$36, 0), MATCH('Form 1.5 23-IEPR Incr'!D$9, '23-IEPR TPP 2425 LF'!$A$22:$E$22, 0))</f>
        <v>1154.7509249232703</v>
      </c>
      <c r="E18" s="12">
        <f>INDEX('23-IEPR TPP 2425 LF'!$A$22:$E$36, MATCH('Form 1.5 23-IEPR Incr'!$B18, '23-IEPR TPP 2425 LF'!$A$22:$A$36, 0), MATCH('Form 1.5 23-IEPR Incr'!E$9, '23-IEPR TPP 2425 LF'!$A$22:$E$22, 0))</f>
        <v>1175.3190075554915</v>
      </c>
      <c r="F18" s="12">
        <f>INDEX('23-IEPR TPP 2425 LF'!$A$22:$E$36, MATCH('Form 1.5 23-IEPR Incr'!$B18, '23-IEPR TPP 2425 LF'!$A$22:$A$36, 0), MATCH('Form 1.5 23-IEPR Incr'!F$9, '23-IEPR TPP 2425 LF'!$A$22:$E$22, 0))</f>
        <v>1191.0682822567351</v>
      </c>
    </row>
    <row r="19" spans="2:6" x14ac:dyDescent="0.2">
      <c r="B19" s="5">
        <v>2030</v>
      </c>
      <c r="C19" s="3">
        <f>INDEX('23-IEPR TPP 2425 LF'!$A$22:$E$36, MATCH('Form 1.5 23-IEPR Incr'!$B19, '23-IEPR TPP 2425 LF'!$A$22:$A$36, 0), MATCH('Form 1.5 23-IEPR Incr'!C$9, '23-IEPR TPP 2425 LF'!$A$22:$E$22, 0))</f>
        <v>1182.9603272041375</v>
      </c>
      <c r="D19" s="3">
        <f>INDEX('23-IEPR TPP 2425 LF'!$A$22:$E$36, MATCH('Form 1.5 23-IEPR Incr'!$B19, '23-IEPR TPP 2425 LF'!$A$22:$A$36, 0), MATCH('Form 1.5 23-IEPR Incr'!D$9, '23-IEPR TPP 2425 LF'!$A$22:$E$22, 0))</f>
        <v>1218.0449816370415</v>
      </c>
      <c r="E19" s="3">
        <f>INDEX('23-IEPR TPP 2425 LF'!$A$22:$E$36, MATCH('Form 1.5 23-IEPR Incr'!$B19, '23-IEPR TPP 2425 LF'!$A$22:$A$36, 0), MATCH('Form 1.5 23-IEPR Incr'!E$9, '23-IEPR TPP 2425 LF'!$A$22:$E$22, 0))</f>
        <v>1239.740439325233</v>
      </c>
      <c r="F19" s="3">
        <f>INDEX('23-IEPR TPP 2425 LF'!$A$22:$E$36, MATCH('Form 1.5 23-IEPR Incr'!$B19, '23-IEPR TPP 2425 LF'!$A$22:$A$36, 0), MATCH('Form 1.5 23-IEPR Incr'!F$9, '23-IEPR TPP 2425 LF'!$A$22:$E$22, 0))</f>
        <v>1256.3529612121911</v>
      </c>
    </row>
    <row r="20" spans="2:6" x14ac:dyDescent="0.2">
      <c r="B20" s="5">
        <v>2031</v>
      </c>
      <c r="C20" s="3">
        <f>INDEX('23-IEPR TPP 2425 LF'!$A$22:$E$36, MATCH('Form 1.5 23-IEPR Incr'!$B20, '23-IEPR TPP 2425 LF'!$A$22:$A$36, 0), MATCH('Form 1.5 23-IEPR Incr'!C$9, '23-IEPR TPP 2425 LF'!$A$22:$E$22, 0))</f>
        <v>1232.7582055216385</v>
      </c>
      <c r="D20" s="3">
        <f>INDEX('23-IEPR TPP 2425 LF'!$A$22:$E$36, MATCH('Form 1.5 23-IEPR Incr'!$B20, '23-IEPR TPP 2425 LF'!$A$22:$A$36, 0), MATCH('Form 1.5 23-IEPR Incr'!D$9, '23-IEPR TPP 2425 LF'!$A$22:$E$22, 0))</f>
        <v>1269.3197829857575</v>
      </c>
      <c r="E20" s="3">
        <f>INDEX('23-IEPR TPP 2425 LF'!$A$22:$E$36, MATCH('Form 1.5 23-IEPR Incr'!$B20, '23-IEPR TPP 2425 LF'!$A$22:$A$36, 0), MATCH('Form 1.5 23-IEPR Incr'!E$9, '23-IEPR TPP 2425 LF'!$A$22:$E$22, 0))</f>
        <v>1291.9285323010254</v>
      </c>
      <c r="F20" s="3">
        <f>INDEX('23-IEPR TPP 2425 LF'!$A$22:$E$36, MATCH('Form 1.5 23-IEPR Incr'!$B20, '23-IEPR TPP 2425 LF'!$A$22:$A$36, 0), MATCH('Form 1.5 23-IEPR Incr'!F$9, '23-IEPR TPP 2425 LF'!$A$22:$E$22, 0))</f>
        <v>1309.2403746338591</v>
      </c>
    </row>
    <row r="21" spans="2:6" x14ac:dyDescent="0.2">
      <c r="B21" s="5">
        <v>2032</v>
      </c>
      <c r="C21" s="3">
        <f>INDEX('23-IEPR TPP 2425 LF'!$A$22:$E$36, MATCH('Form 1.5 23-IEPR Incr'!$B21, '23-IEPR TPP 2425 LF'!$A$22:$A$36, 0), MATCH('Form 1.5 23-IEPR Incr'!C$9, '23-IEPR TPP 2425 LF'!$A$22:$E$22, 0))</f>
        <v>1280.7255367874138</v>
      </c>
      <c r="D21" s="3">
        <f>INDEX('23-IEPR TPP 2425 LF'!$A$22:$E$36, MATCH('Form 1.5 23-IEPR Incr'!$B21, '23-IEPR TPP 2425 LF'!$A$22:$A$36, 0), MATCH('Form 1.5 23-IEPR Incr'!D$9, '23-IEPR TPP 2425 LF'!$A$22:$E$22, 0))</f>
        <v>1318.7097462729346</v>
      </c>
      <c r="E21" s="3">
        <f>INDEX('23-IEPR TPP 2425 LF'!$A$22:$E$36, MATCH('Form 1.5 23-IEPR Incr'!$B21, '23-IEPR TPP 2425 LF'!$A$22:$A$36, 0), MATCH('Form 1.5 23-IEPR Incr'!E$9, '23-IEPR TPP 2425 LF'!$A$22:$E$22, 0))</f>
        <v>1342.1982150360657</v>
      </c>
      <c r="F21" s="3">
        <f>INDEX('23-IEPR TPP 2425 LF'!$A$22:$E$36, MATCH('Form 1.5 23-IEPR Incr'!$B21, '23-IEPR TPP 2425 LF'!$A$22:$A$36, 0), MATCH('Form 1.5 23-IEPR Incr'!F$9, '23-IEPR TPP 2425 LF'!$A$22:$E$22, 0))</f>
        <v>1360.183671117549</v>
      </c>
    </row>
    <row r="22" spans="2:6" x14ac:dyDescent="0.2">
      <c r="B22" s="244" t="s">
        <v>264</v>
      </c>
    </row>
  </sheetData>
  <customSheetViews>
    <customSheetView guid="{64245E33-E577-4C25-9B98-21C112E84FF6}" scale="75" showPageBreaks="1" showGridLines="0" fitToPage="1" printArea="1">
      <selection activeCell="G21" sqref="G21"/>
      <pageMargins left="0" right="0" top="0" bottom="0" header="0" footer="0"/>
      <pageSetup orientation="landscape" r:id="rId1"/>
      <headerFooter alignWithMargins="0">
        <oddFooter>&amp;R&amp;A</oddFooter>
      </headerFooter>
    </customSheetView>
    <customSheetView guid="{2C54E754-4594-47E3-AFE9-B28C28B63E5C}" scale="75" showGridLines="0" fitToPage="1">
      <selection activeCell="G21" sqref="G21"/>
      <pageMargins left="0" right="0" top="0" bottom="0" header="0" footer="0"/>
      <pageSetup orientation="landscape" r:id="rId2"/>
      <headerFooter alignWithMargins="0">
        <oddFooter>&amp;R&amp;A</oddFooter>
      </headerFooter>
    </customSheetView>
    <customSheetView guid="{DC437496-B10F-474B-8F6E-F19B4DA7C026}" scale="75" showPageBreaks="1" showGridLines="0" fitToPage="1" printArea="1">
      <selection activeCell="F54" sqref="F54"/>
      <pageMargins left="0" right="0" top="0" bottom="0" header="0" footer="0"/>
      <pageSetup orientation="landscape" r:id="rId3"/>
      <headerFooter alignWithMargins="0">
        <oddFooter>&amp;R&amp;A</oddFooter>
      </headerFooter>
    </customSheetView>
    <customSheetView guid="{C3E70234-FA18-40E7-B25F-218A5F7D2EA2}" scale="75" showGridLines="0" fitToPage="1">
      <selection activeCell="F54" sqref="F54"/>
      <pageMargins left="0" right="0" top="0" bottom="0" header="0" footer="0"/>
      <pageSetup orientation="landscape" r:id="rId4"/>
      <headerFooter alignWithMargins="0">
        <oddFooter>&amp;R&amp;A</oddFooter>
      </headerFooter>
    </customSheetView>
  </customSheetViews>
  <mergeCells count="7">
    <mergeCell ref="C8:F8"/>
    <mergeCell ref="B1:F1"/>
    <mergeCell ref="B6:F6"/>
    <mergeCell ref="B2:F2"/>
    <mergeCell ref="B3:F3"/>
    <mergeCell ref="B5:F5"/>
    <mergeCell ref="B7:F7"/>
  </mergeCells>
  <phoneticPr fontId="0" type="noConversion"/>
  <printOptions horizontalCentered="1" gridLinesSet="0"/>
  <pageMargins left="0.25" right="0.25" top="0.5" bottom="0.5" header="0.5" footer="0.5"/>
  <pageSetup orientation="landscape" r:id="rId5"/>
  <headerFooter alignWithMargins="0">
    <oddFooter>&amp;R&amp;A</oddFooter>
  </headerFooter>
  <legacyDrawing r:id="rId6"/>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B1:I23"/>
  <sheetViews>
    <sheetView showGridLines="0" zoomScale="160" zoomScaleNormal="160" workbookViewId="0"/>
  </sheetViews>
  <sheetFormatPr defaultColWidth="8.6640625" defaultRowHeight="10" x14ac:dyDescent="0.2"/>
  <cols>
    <col min="1" max="1" width="1.6640625" customWidth="1"/>
    <col min="2" max="2" width="12" customWidth="1"/>
    <col min="3" max="6" width="15.6640625" customWidth="1"/>
  </cols>
  <sheetData>
    <row r="1" spans="2:9" s="15" customFormat="1" ht="14" x14ac:dyDescent="0.3">
      <c r="B1" s="419" t="s">
        <v>57</v>
      </c>
      <c r="C1" s="419"/>
      <c r="D1" s="419"/>
      <c r="E1" s="419"/>
      <c r="F1" s="419"/>
    </row>
    <row r="2" spans="2:9" s="7" customFormat="1" ht="13" x14ac:dyDescent="0.3">
      <c r="B2" s="412" t="str">
        <f>+'FormsList&amp;FilerInfo'!B2</f>
        <v>Utility Name</v>
      </c>
      <c r="C2" s="413"/>
      <c r="D2" s="413"/>
      <c r="E2" s="413"/>
      <c r="F2" s="413"/>
    </row>
    <row r="3" spans="2:9" s="7" customFormat="1" ht="13" x14ac:dyDescent="0.3">
      <c r="B3" s="413"/>
      <c r="C3" s="413"/>
      <c r="D3" s="413"/>
      <c r="E3" s="413"/>
      <c r="F3" s="413"/>
    </row>
    <row r="4" spans="2:9" s="7" customFormat="1" ht="15.5" x14ac:dyDescent="0.35">
      <c r="B4" s="16" t="s">
        <v>58</v>
      </c>
      <c r="C4" s="9"/>
      <c r="D4" s="9"/>
      <c r="E4" s="9"/>
      <c r="F4" s="9"/>
    </row>
    <row r="5" spans="2:9" s="7" customFormat="1" ht="12.75" customHeight="1" x14ac:dyDescent="0.3">
      <c r="B5" s="413" t="s">
        <v>59</v>
      </c>
      <c r="C5" s="413"/>
      <c r="D5" s="413"/>
      <c r="E5" s="413"/>
      <c r="F5" s="413"/>
    </row>
    <row r="6" spans="2:9" ht="13.5" customHeight="1" x14ac:dyDescent="0.3">
      <c r="B6" s="413"/>
      <c r="C6" s="413"/>
      <c r="D6" s="413"/>
      <c r="E6" s="413"/>
      <c r="F6" s="413"/>
      <c r="G6" s="330" t="s">
        <v>280</v>
      </c>
      <c r="H6" s="341"/>
      <c r="I6" s="341"/>
    </row>
    <row r="7" spans="2:9" ht="12.5" x14ac:dyDescent="0.25">
      <c r="B7" s="420" t="s">
        <v>60</v>
      </c>
      <c r="C7" s="421"/>
      <c r="D7" s="421"/>
      <c r="E7" s="421"/>
      <c r="F7" s="421"/>
    </row>
    <row r="8" spans="2:9" ht="13.5" customHeight="1" x14ac:dyDescent="0.2">
      <c r="B8" s="5"/>
      <c r="C8" s="416" t="s">
        <v>61</v>
      </c>
      <c r="D8" s="417"/>
      <c r="E8" s="417"/>
      <c r="F8" s="418"/>
    </row>
    <row r="9" spans="2:9" ht="20" x14ac:dyDescent="0.2">
      <c r="B9" s="4" t="s">
        <v>263</v>
      </c>
      <c r="C9" s="13" t="s">
        <v>62</v>
      </c>
      <c r="D9" s="13" t="s">
        <v>63</v>
      </c>
      <c r="E9" s="13" t="s">
        <v>64</v>
      </c>
      <c r="F9" s="13" t="s">
        <v>65</v>
      </c>
    </row>
    <row r="10" spans="2:9" x14ac:dyDescent="0.2">
      <c r="B10" s="5">
        <v>2021</v>
      </c>
      <c r="C10" s="126">
        <f>INDEX('22-IEPR TPP 2324 LF'!$A$22:$E$36, MATCH('Form 1.5 22-IEPR Flat'!$B10, '22-IEPR TPP 2324 LF'!$A$22:$A$36, 0), MATCH('Form 1.5 22-IEPR Flat'!C$9, '22-IEPR TPP 2324 LF'!$A$22:$E$22, 0))</f>
        <v>594.79999999999995</v>
      </c>
      <c r="D10" s="126">
        <f>INDEX('22-IEPR TPP 2324 LF'!$A$22:$E$36, MATCH('Form 1.5 22-IEPR Flat'!$B10, '22-IEPR TPP 2324 LF'!$A$22:$A$36, 0), MATCH('Form 1.5 22-IEPR Flat'!D$9, '22-IEPR TPP 2324 LF'!$A$22:$E$22, 0))</f>
        <v>594.79999999999995</v>
      </c>
      <c r="E10" s="126">
        <f>INDEX('22-IEPR TPP 2324 LF'!$A$22:$E$36, MATCH('Form 1.5 22-IEPR Flat'!$B10, '22-IEPR TPP 2324 LF'!$A$22:$A$36, 0), MATCH('Form 1.5 22-IEPR Flat'!E$9, '22-IEPR TPP 2324 LF'!$A$22:$E$22, 0))</f>
        <v>594.79999999999995</v>
      </c>
      <c r="F10" s="126">
        <f>INDEX('22-IEPR TPP 2324 LF'!$A$22:$E$36, MATCH('Form 1.5 22-IEPR Flat'!$B10, '22-IEPR TPP 2324 LF'!$A$22:$A$36, 0), MATCH('Form 1.5 22-IEPR Flat'!F$9, '22-IEPR TPP 2324 LF'!$A$22:$E$22, 0))</f>
        <v>594.79999999999995</v>
      </c>
    </row>
    <row r="11" spans="2:9" x14ac:dyDescent="0.2">
      <c r="B11" s="5">
        <v>2022</v>
      </c>
      <c r="C11" s="126">
        <f>INDEX('22-IEPR TPP 2324 LF'!$A$22:$E$36, MATCH('Form 1.5 22-IEPR Flat'!$B11, '22-IEPR TPP 2324 LF'!$A$22:$A$36, 0), MATCH('Form 1.5 22-IEPR Flat'!C$9, '22-IEPR TPP 2324 LF'!$A$22:$E$22, 0))</f>
        <v>693.9</v>
      </c>
      <c r="D11" s="126">
        <f>INDEX('22-IEPR TPP 2324 LF'!$A$22:$E$36, MATCH('Form 1.5 22-IEPR Flat'!$B11, '22-IEPR TPP 2324 LF'!$A$22:$A$36, 0), MATCH('Form 1.5 22-IEPR Flat'!D$9, '22-IEPR TPP 2324 LF'!$A$22:$E$22, 0))</f>
        <v>693.9</v>
      </c>
      <c r="E11" s="126">
        <f>INDEX('22-IEPR TPP 2324 LF'!$A$22:$E$36, MATCH('Form 1.5 22-IEPR Flat'!$B11, '22-IEPR TPP 2324 LF'!$A$22:$A$36, 0), MATCH('Form 1.5 22-IEPR Flat'!E$9, '22-IEPR TPP 2324 LF'!$A$22:$E$22, 0))</f>
        <v>693.9</v>
      </c>
      <c r="F11" s="126">
        <f>INDEX('22-IEPR TPP 2324 LF'!$A$22:$E$36, MATCH('Form 1.5 22-IEPR Flat'!$B11, '22-IEPR TPP 2324 LF'!$A$22:$A$36, 0), MATCH('Form 1.5 22-IEPR Flat'!F$9, '22-IEPR TPP 2324 LF'!$A$22:$E$22, 0))</f>
        <v>693.9</v>
      </c>
    </row>
    <row r="12" spans="2:9" x14ac:dyDescent="0.2">
      <c r="B12" s="5">
        <v>2023</v>
      </c>
      <c r="C12" s="12">
        <f>INDEX('22-IEPR TPP 2324 LF'!$A$22:$E$36, MATCH('Form 1.5 22-IEPR Flat'!$B12, '22-IEPR TPP 2324 LF'!$A$22:$A$36, 0), MATCH('Form 1.5 22-IEPR Flat'!C$9, '22-IEPR TPP 2324 LF'!$A$22:$E$22, 0))</f>
        <v>716.23454662281358</v>
      </c>
      <c r="D12" s="12">
        <f>INDEX('22-IEPR TPP 2324 LF'!$A$22:$E$36, MATCH('Form 1.5 22-IEPR Flat'!$B12, '22-IEPR TPP 2324 LF'!$A$22:$A$36, 0), MATCH('Form 1.5 22-IEPR Flat'!D$9, '22-IEPR TPP 2324 LF'!$A$22:$E$22, 0))</f>
        <v>737.47688331263282</v>
      </c>
      <c r="E12" s="12">
        <f>INDEX('22-IEPR TPP 2324 LF'!$A$22:$E$36, MATCH('Form 1.5 22-IEPR Flat'!$B12, '22-IEPR TPP 2324 LF'!$A$22:$A$36, 0), MATCH('Form 1.5 22-IEPR Flat'!E$9, '22-IEPR TPP 2324 LF'!$A$22:$E$22, 0))</f>
        <v>750.61260388054234</v>
      </c>
      <c r="F12" s="12">
        <f>INDEX('22-IEPR TPP 2324 LF'!$A$22:$E$36, MATCH('Form 1.5 22-IEPR Flat'!$B12, '22-IEPR TPP 2324 LF'!$A$22:$A$36, 0), MATCH('Form 1.5 22-IEPR Flat'!F$9, '22-IEPR TPP 2324 LF'!$A$22:$E$22, 0))</f>
        <v>760.67081277254169</v>
      </c>
    </row>
    <row r="13" spans="2:9" x14ac:dyDescent="0.2">
      <c r="B13" s="5">
        <v>2024</v>
      </c>
      <c r="C13" s="12">
        <f>INDEX('22-IEPR TPP 2324 LF'!$A$22:$E$36, MATCH('Form 1.5 22-IEPR Flat'!$B13, '22-IEPR TPP 2324 LF'!$A$22:$A$36, 0), MATCH('Form 1.5 22-IEPR Flat'!C$9, '22-IEPR TPP 2324 LF'!$A$22:$E$22, 0))</f>
        <v>781.25843898055746</v>
      </c>
      <c r="D13" s="12">
        <f>INDEX('22-IEPR TPP 2324 LF'!$A$22:$E$36, MATCH('Form 1.5 22-IEPR Flat'!$B13, '22-IEPR TPP 2324 LF'!$A$22:$A$36, 0), MATCH('Form 1.5 22-IEPR Flat'!D$9, '22-IEPR TPP 2324 LF'!$A$22:$E$22, 0))</f>
        <v>804.42927719387728</v>
      </c>
      <c r="E13" s="12">
        <f>INDEX('22-IEPR TPP 2324 LF'!$A$22:$E$36, MATCH('Form 1.5 22-IEPR Flat'!$B13, '22-IEPR TPP 2324 LF'!$A$22:$A$36, 0), MATCH('Form 1.5 22-IEPR Flat'!E$9, '22-IEPR TPP 2324 LF'!$A$22:$E$22, 0))</f>
        <v>818.75753403956969</v>
      </c>
      <c r="F13" s="12">
        <f>INDEX('22-IEPR TPP 2324 LF'!$A$22:$E$36, MATCH('Form 1.5 22-IEPR Flat'!$B13, '22-IEPR TPP 2324 LF'!$A$22:$A$36, 0), MATCH('Form 1.5 22-IEPR Flat'!F$9, '22-IEPR TPP 2324 LF'!$A$22:$E$22, 0))</f>
        <v>829.72888499570001</v>
      </c>
    </row>
    <row r="14" spans="2:9" x14ac:dyDescent="0.2">
      <c r="B14" s="5">
        <v>2025</v>
      </c>
      <c r="C14" s="12">
        <f>INDEX('22-IEPR TPP 2324 LF'!$A$22:$E$36, MATCH('Form 1.5 22-IEPR Flat'!$B14, '22-IEPR TPP 2324 LF'!$A$22:$A$36, 0), MATCH('Form 1.5 22-IEPR Flat'!C$9, '22-IEPR TPP 2324 LF'!$A$22:$E$22, 0))</f>
        <v>846.56940247094553</v>
      </c>
      <c r="D14" s="12">
        <f>INDEX('22-IEPR TPP 2324 LF'!$A$22:$E$36, MATCH('Form 1.5 22-IEPR Flat'!$B14, '22-IEPR TPP 2324 LF'!$A$22:$A$36, 0), MATCH('Form 1.5 22-IEPR Flat'!D$9, '22-IEPR TPP 2324 LF'!$A$22:$E$22, 0))</f>
        <v>871.67725626462379</v>
      </c>
      <c r="E14" s="12">
        <f>INDEX('22-IEPR TPP 2324 LF'!$A$22:$E$36, MATCH('Form 1.5 22-IEPR Flat'!$B14, '22-IEPR TPP 2324 LF'!$A$22:$A$36, 0), MATCH('Form 1.5 22-IEPR Flat'!E$9, '22-IEPR TPP 2324 LF'!$A$22:$E$22, 0))</f>
        <v>887.20331426424809</v>
      </c>
      <c r="F14" s="12">
        <f>INDEX('22-IEPR TPP 2324 LF'!$A$22:$E$36, MATCH('Form 1.5 22-IEPR Flat'!$B14, '22-IEPR TPP 2324 LF'!$A$22:$A$36, 0), MATCH('Form 1.5 22-IEPR Flat'!F$9, '22-IEPR TPP 2324 LF'!$A$22:$E$22, 0))</f>
        <v>899.09183867538911</v>
      </c>
    </row>
    <row r="15" spans="2:9" x14ac:dyDescent="0.2">
      <c r="B15" s="5">
        <v>2026</v>
      </c>
      <c r="C15" s="3">
        <f>INDEX('22-IEPR TPP 2324 LF'!$A$22:$E$36, MATCH('Form 1.5 22-IEPR Flat'!$B15, '22-IEPR TPP 2324 LF'!$A$22:$A$36, 0), MATCH('Form 1.5 22-IEPR Flat'!C$9, '22-IEPR TPP 2324 LF'!$A$22:$E$22, 0))</f>
        <v>916.0847500762892</v>
      </c>
      <c r="D15" s="3">
        <f>INDEX('22-IEPR TPP 2324 LF'!$A$22:$E$36, MATCH('Form 1.5 22-IEPR Flat'!$B15, '22-IEPR TPP 2324 LF'!$A$22:$A$36, 0), MATCH('Form 1.5 22-IEPR Flat'!D$9, '22-IEPR TPP 2324 LF'!$A$22:$E$22, 0))</f>
        <v>943.25431455664864</v>
      </c>
      <c r="E15" s="3">
        <f>INDEX('22-IEPR TPP 2324 LF'!$A$22:$E$36, MATCH('Form 1.5 22-IEPR Flat'!$B15, '22-IEPR TPP 2324 LF'!$A$22:$A$36, 0), MATCH('Form 1.5 22-IEPR Flat'!E$9, '22-IEPR TPP 2324 LF'!$A$22:$E$22, 0))</f>
        <v>960.0552819914999</v>
      </c>
      <c r="F15" s="3">
        <f>INDEX('22-IEPR TPP 2324 LF'!$A$22:$E$36, MATCH('Form 1.5 22-IEPR Flat'!$B15, '22-IEPR TPP 2324 LF'!$A$22:$A$36, 0), MATCH('Form 1.5 22-IEPR Flat'!F$9, '22-IEPR TPP 2324 LF'!$A$22:$E$22, 0))</f>
        <v>972.92002277018605</v>
      </c>
    </row>
    <row r="16" spans="2:9" x14ac:dyDescent="0.2">
      <c r="B16" s="5">
        <v>2027</v>
      </c>
      <c r="C16" s="12">
        <f>INDEX('22-IEPR TPP 2324 LF'!$A$22:$E$36, MATCH('Form 1.5 22-IEPR Flat'!$B16, '22-IEPR TPP 2324 LF'!$A$22:$A$36, 0), MATCH('Form 1.5 22-IEPR Flat'!C$9, '22-IEPR TPP 2324 LF'!$A$22:$E$22, 0))</f>
        <v>979.64915660341921</v>
      </c>
      <c r="D16" s="12">
        <f>INDEX('22-IEPR TPP 2324 LF'!$A$22:$E$36, MATCH('Form 1.5 22-IEPR Flat'!$B16, '22-IEPR TPP 2324 LF'!$A$22:$A$36, 0), MATCH('Form 1.5 22-IEPR Flat'!D$9, '22-IEPR TPP 2324 LF'!$A$22:$E$22, 0))</f>
        <v>1008.7039366619779</v>
      </c>
      <c r="E16" s="12">
        <f>INDEX('22-IEPR TPP 2324 LF'!$A$22:$E$36, MATCH('Form 1.5 22-IEPR Flat'!$B16, '22-IEPR TPP 2324 LF'!$A$22:$A$36, 0), MATCH('Form 1.5 22-IEPR Flat'!E$9, '22-IEPR TPP 2324 LF'!$A$22:$E$22, 0))</f>
        <v>1026.6706734473057</v>
      </c>
      <c r="F16" s="12">
        <f>INDEX('22-IEPR TPP 2324 LF'!$A$22:$E$36, MATCH('Form 1.5 22-IEPR Flat'!$B16, '22-IEPR TPP 2324 LF'!$A$22:$A$36, 0), MATCH('Form 1.5 22-IEPR Flat'!F$9, '22-IEPR TPP 2324 LF'!$A$22:$E$22, 0))</f>
        <v>1040.4280604714997</v>
      </c>
    </row>
    <row r="17" spans="2:6" x14ac:dyDescent="0.2">
      <c r="B17" s="5">
        <v>2028</v>
      </c>
      <c r="C17" s="3">
        <f>INDEX('22-IEPR TPP 2324 LF'!$A$22:$E$36, MATCH('Form 1.5 22-IEPR Flat'!$B17, '22-IEPR TPP 2324 LF'!$A$22:$A$36, 0), MATCH('Form 1.5 22-IEPR Flat'!C$9, '22-IEPR TPP 2324 LF'!$A$22:$E$22, 0))</f>
        <v>1040.5403383192088</v>
      </c>
      <c r="D17" s="3">
        <f>INDEX('22-IEPR TPP 2324 LF'!$A$22:$E$36, MATCH('Form 1.5 22-IEPR Flat'!$B17, '22-IEPR TPP 2324 LF'!$A$22:$A$36, 0), MATCH('Form 1.5 22-IEPR Flat'!D$9, '22-IEPR TPP 2324 LF'!$A$22:$E$22, 0))</f>
        <v>1071.4010505120757</v>
      </c>
      <c r="E17" s="3">
        <f>INDEX('22-IEPR TPP 2324 LF'!$A$22:$E$36, MATCH('Form 1.5 22-IEPR Flat'!$B17, '22-IEPR TPP 2324 LF'!$A$22:$A$36, 0), MATCH('Form 1.5 22-IEPR Flat'!E$9, '22-IEPR TPP 2324 LF'!$A$22:$E$22, 0))</f>
        <v>1090.4845297832831</v>
      </c>
      <c r="F17" s="3">
        <f>INDEX('22-IEPR TPP 2324 LF'!$A$22:$E$36, MATCH('Form 1.5 22-IEPR Flat'!$B17, '22-IEPR TPP 2324 LF'!$A$22:$A$36, 0), MATCH('Form 1.5 22-IEPR Flat'!F$9, '22-IEPR TPP 2324 LF'!$A$22:$E$22, 0))</f>
        <v>1105.0970224823791</v>
      </c>
    </row>
    <row r="18" spans="2:6" x14ac:dyDescent="0.2">
      <c r="B18" s="5">
        <v>2029</v>
      </c>
      <c r="C18" s="12">
        <f>INDEX('22-IEPR TPP 2324 LF'!$A$22:$E$36, MATCH('Form 1.5 22-IEPR Flat'!$B18, '22-IEPR TPP 2324 LF'!$A$22:$A$36, 0), MATCH('Form 1.5 22-IEPR Flat'!C$9, '22-IEPR TPP 2324 LF'!$A$22:$E$22, 0))</f>
        <v>1104.5829341814676</v>
      </c>
      <c r="D18" s="12">
        <f>INDEX('22-IEPR TPP 2324 LF'!$A$22:$E$36, MATCH('Form 1.5 22-IEPR Flat'!$B18, '22-IEPR TPP 2324 LF'!$A$22:$A$36, 0), MATCH('Form 1.5 22-IEPR Flat'!D$9, '22-IEPR TPP 2324 LF'!$A$22:$E$22, 0))</f>
        <v>1137.3430442604192</v>
      </c>
      <c r="E18" s="12">
        <f>INDEX('22-IEPR TPP 2324 LF'!$A$22:$E$36, MATCH('Form 1.5 22-IEPR Flat'!$B18, '22-IEPR TPP 2324 LF'!$A$22:$A$36, 0), MATCH('Form 1.5 22-IEPR Flat'!E$9, '22-IEPR TPP 2324 LF'!$A$22:$E$22, 0))</f>
        <v>1157.6010628604774</v>
      </c>
      <c r="F18" s="12">
        <f>INDEX('22-IEPR TPP 2324 LF'!$A$22:$E$36, MATCH('Form 1.5 22-IEPR Flat'!$B18, '22-IEPR TPP 2324 LF'!$A$22:$A$36, 0), MATCH('Form 1.5 22-IEPR Flat'!F$9, '22-IEPR TPP 2324 LF'!$A$22:$E$22, 0))</f>
        <v>1173.1129171028078</v>
      </c>
    </row>
    <row r="19" spans="2:6" x14ac:dyDescent="0.2">
      <c r="B19" s="5">
        <v>2030</v>
      </c>
      <c r="C19" s="3">
        <f>INDEX('22-IEPR TPP 2324 LF'!$A$22:$E$36, MATCH('Form 1.5 22-IEPR Flat'!$B19, '22-IEPR TPP 2324 LF'!$A$22:$A$36, 0), MATCH('Form 1.5 22-IEPR Flat'!C$9, '22-IEPR TPP 2324 LF'!$A$22:$E$22, 0))</f>
        <v>1156.6927333883368</v>
      </c>
      <c r="D19" s="3">
        <f>INDEX('22-IEPR TPP 2324 LF'!$A$22:$E$36, MATCH('Form 1.5 22-IEPR Flat'!$B19, '22-IEPR TPP 2324 LF'!$A$22:$A$36, 0), MATCH('Form 1.5 22-IEPR Flat'!D$9, '22-IEPR TPP 2324 LF'!$A$22:$E$22, 0))</f>
        <v>1190.9983342633</v>
      </c>
      <c r="E19" s="3">
        <f>INDEX('22-IEPR TPP 2324 LF'!$A$22:$E$36, MATCH('Form 1.5 22-IEPR Flat'!$B19, '22-IEPR TPP 2324 LF'!$A$22:$A$36, 0), MATCH('Form 1.5 22-IEPR Flat'!E$9, '22-IEPR TPP 2324 LF'!$A$22:$E$22, 0))</f>
        <v>1212.2120450517048</v>
      </c>
      <c r="F19" s="3">
        <f>INDEX('22-IEPR TPP 2324 LF'!$A$22:$E$36, MATCH('Form 1.5 22-IEPR Flat'!$B19, '22-IEPR TPP 2324 LF'!$A$22:$A$36, 0), MATCH('Form 1.5 22-IEPR Flat'!F$9, '22-IEPR TPP 2324 LF'!$A$22:$E$22, 0))</f>
        <v>1228.4556864553977</v>
      </c>
    </row>
    <row r="20" spans="2:6" x14ac:dyDescent="0.2">
      <c r="B20" s="5">
        <v>2031</v>
      </c>
      <c r="C20" s="3">
        <f>INDEX('22-IEPR TPP 2324 LF'!$A$22:$E$36, MATCH('Form 1.5 22-IEPR Flat'!$B20, '22-IEPR TPP 2324 LF'!$A$22:$A$36, 0), MATCH('Form 1.5 22-IEPR Flat'!C$9, '22-IEPR TPP 2324 LF'!$A$22:$E$22, 0))</f>
        <v>1197.1294807180197</v>
      </c>
      <c r="D20" s="3">
        <f>INDEX('22-IEPR TPP 2324 LF'!$A$22:$E$36, MATCH('Form 1.5 22-IEPR Flat'!$B20, '22-IEPR TPP 2324 LF'!$A$22:$A$36, 0), MATCH('Form 1.5 22-IEPR Flat'!D$9, '22-IEPR TPP 2324 LF'!$A$22:$E$22, 0))</f>
        <v>1232.634368901126</v>
      </c>
      <c r="E20" s="3">
        <f>INDEX('22-IEPR TPP 2324 LF'!$A$22:$E$36, MATCH('Form 1.5 22-IEPR Flat'!$B20, '22-IEPR TPP 2324 LF'!$A$22:$A$36, 0), MATCH('Form 1.5 22-IEPR Flat'!E$9, '22-IEPR TPP 2324 LF'!$A$22:$E$22, 0))</f>
        <v>1254.5896884489832</v>
      </c>
      <c r="F20" s="3">
        <f>INDEX('22-IEPR TPP 2324 LF'!$A$22:$E$36, MATCH('Form 1.5 22-IEPR Flat'!$B20, '22-IEPR TPP 2324 LF'!$A$22:$A$36, 0), MATCH('Form 1.5 22-IEPR Flat'!F$9, '22-IEPR TPP 2324 LF'!$A$22:$E$22, 0))</f>
        <v>1271.4011902741997</v>
      </c>
    </row>
    <row r="21" spans="2:6" x14ac:dyDescent="0.2">
      <c r="B21" s="5">
        <v>2032</v>
      </c>
      <c r="C21" s="3">
        <f>INDEX('22-IEPR TPP 2324 LF'!$A$22:$E$36, MATCH('Form 1.5 22-IEPR Flat'!$B21, '22-IEPR TPP 2324 LF'!$A$22:$A$36, 0), MATCH('Form 1.5 22-IEPR Flat'!C$9, '22-IEPR TPP 2324 LF'!$A$22:$E$22, 0))</f>
        <v>1235.735680995977</v>
      </c>
      <c r="D21" s="3">
        <f>INDEX('22-IEPR TPP 2324 LF'!$A$22:$E$36, MATCH('Form 1.5 22-IEPR Flat'!$B21, '22-IEPR TPP 2324 LF'!$A$22:$A$36, 0), MATCH('Form 1.5 22-IEPR Flat'!D$9, '22-IEPR TPP 2324 LF'!$A$22:$E$22, 0))</f>
        <v>1272.3855654774127</v>
      </c>
      <c r="E21" s="3">
        <f>INDEX('22-IEPR TPP 2324 LF'!$A$22:$E$36, MATCH('Form 1.5 22-IEPR Flat'!$B21, '22-IEPR TPP 2324 LF'!$A$22:$A$36, 0), MATCH('Form 1.5 22-IEPR Flat'!E$9, '22-IEPR TPP 2324 LF'!$A$22:$E$22, 0))</f>
        <v>1295.0489216055091</v>
      </c>
      <c r="F21" s="3">
        <f>INDEX('22-IEPR TPP 2324 LF'!$A$22:$E$36, MATCH('Form 1.5 22-IEPR Flat'!$B21, '22-IEPR TPP 2324 LF'!$A$22:$A$36, 0), MATCH('Form 1.5 22-IEPR Flat'!F$9, '22-IEPR TPP 2324 LF'!$A$22:$E$22, 0))</f>
        <v>1312.402577155023</v>
      </c>
    </row>
    <row r="22" spans="2:6" x14ac:dyDescent="0.2">
      <c r="B22" s="244" t="s">
        <v>264</v>
      </c>
    </row>
    <row r="23" spans="2:6" x14ac:dyDescent="0.2">
      <c r="B23" s="244"/>
    </row>
  </sheetData>
  <mergeCells count="7">
    <mergeCell ref="C8:F8"/>
    <mergeCell ref="B1:F1"/>
    <mergeCell ref="B2:F2"/>
    <mergeCell ref="B3:F3"/>
    <mergeCell ref="B5:F5"/>
    <mergeCell ref="B6:F6"/>
    <mergeCell ref="B7:F7"/>
  </mergeCells>
  <printOptions horizontalCentered="1" gridLinesSet="0"/>
  <pageMargins left="0.25" right="0.25" top="0.5" bottom="0.5" header="0.5" footer="0.5"/>
  <pageSetup orientation="landscape" r:id="rId1"/>
  <headerFooter alignWithMargins="0">
    <oddFooter>&amp;R&amp;A</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C2:X70"/>
  <sheetViews>
    <sheetView zoomScale="85" zoomScaleNormal="85" workbookViewId="0">
      <selection sqref="A1:H1"/>
    </sheetView>
  </sheetViews>
  <sheetFormatPr defaultColWidth="8.6640625" defaultRowHeight="14.5" x14ac:dyDescent="0.35"/>
  <cols>
    <col min="1" max="1" width="8.6640625" style="246"/>
    <col min="2" max="2" width="10.44140625" style="246" bestFit="1" customWidth="1"/>
    <col min="3" max="3" width="33.77734375" style="246" customWidth="1"/>
    <col min="4" max="4" width="21.109375" style="246" bestFit="1" customWidth="1"/>
    <col min="5" max="5" width="24.109375" style="246" bestFit="1" customWidth="1"/>
    <col min="6" max="6" width="13.44140625" style="246" bestFit="1" customWidth="1"/>
    <col min="7" max="7" width="10.109375" style="246" bestFit="1" customWidth="1"/>
    <col min="8" max="8" width="8.6640625" style="246"/>
    <col min="9" max="9" width="23.77734375" style="246" bestFit="1" customWidth="1"/>
    <col min="10" max="10" width="15.44140625" style="246" customWidth="1"/>
    <col min="11" max="11" width="15.44140625" style="271" customWidth="1"/>
    <col min="12" max="23" width="11.77734375" style="246" customWidth="1"/>
    <col min="24" max="24" width="22.109375" style="296" bestFit="1" customWidth="1"/>
    <col min="25" max="16384" width="8.6640625" style="246"/>
  </cols>
  <sheetData>
    <row r="2" spans="3:24" x14ac:dyDescent="0.35">
      <c r="G2" s="246" t="s">
        <v>230</v>
      </c>
    </row>
    <row r="3" spans="3:24" x14ac:dyDescent="0.35">
      <c r="C3" s="246" t="s">
        <v>231</v>
      </c>
      <c r="J3" s="246" t="s">
        <v>236</v>
      </c>
      <c r="K3" s="271">
        <v>2022</v>
      </c>
      <c r="L3" s="246">
        <v>2023</v>
      </c>
      <c r="M3" s="246">
        <f>L3+1</f>
        <v>2024</v>
      </c>
      <c r="N3" s="246">
        <f t="shared" ref="N3:X3" si="0">M3+1</f>
        <v>2025</v>
      </c>
      <c r="O3" s="246">
        <f t="shared" si="0"/>
        <v>2026</v>
      </c>
      <c r="P3" s="246">
        <f t="shared" si="0"/>
        <v>2027</v>
      </c>
      <c r="Q3" s="246">
        <f t="shared" si="0"/>
        <v>2028</v>
      </c>
      <c r="R3" s="246">
        <f t="shared" si="0"/>
        <v>2029</v>
      </c>
      <c r="S3" s="246">
        <f t="shared" si="0"/>
        <v>2030</v>
      </c>
      <c r="T3" s="246">
        <f t="shared" si="0"/>
        <v>2031</v>
      </c>
      <c r="U3" s="246">
        <f t="shared" si="0"/>
        <v>2032</v>
      </c>
      <c r="V3" s="246">
        <f t="shared" si="0"/>
        <v>2033</v>
      </c>
      <c r="W3" s="246">
        <f t="shared" si="0"/>
        <v>2034</v>
      </c>
      <c r="X3" s="296">
        <f t="shared" si="0"/>
        <v>2035</v>
      </c>
    </row>
    <row r="4" spans="3:24" ht="17.5" x14ac:dyDescent="0.35">
      <c r="C4" s="247" t="s">
        <v>98</v>
      </c>
      <c r="D4" s="248">
        <v>50889</v>
      </c>
      <c r="E4" s="249">
        <v>261797930</v>
      </c>
      <c r="F4" s="250">
        <v>5.8999999999999997E-2</v>
      </c>
      <c r="G4" s="251">
        <f>E4/SUM($E$4:$E$8)</f>
        <v>5.9308696280272494E-2</v>
      </c>
      <c r="I4" s="246" t="s">
        <v>237</v>
      </c>
      <c r="J4" s="246" t="s">
        <v>98</v>
      </c>
      <c r="K4" s="272">
        <f>G4</f>
        <v>5.9308696280272494E-2</v>
      </c>
    </row>
    <row r="5" spans="3:24" ht="17.5" x14ac:dyDescent="0.35">
      <c r="C5" s="247" t="s">
        <v>99</v>
      </c>
      <c r="D5" s="248">
        <v>6747</v>
      </c>
      <c r="E5" s="249">
        <v>94775944</v>
      </c>
      <c r="F5" s="250">
        <v>2.1000000000000001E-2</v>
      </c>
      <c r="G5" s="251">
        <f t="shared" ref="G5:G7" si="1">E5/SUM($E$4:$E$8)</f>
        <v>2.1470901918025531E-2</v>
      </c>
      <c r="J5" s="246" t="s">
        <v>99</v>
      </c>
      <c r="K5" s="272">
        <f>G5</f>
        <v>2.1470901918025531E-2</v>
      </c>
    </row>
    <row r="6" spans="3:24" ht="17.5" x14ac:dyDescent="0.35">
      <c r="C6" s="247" t="s">
        <v>100</v>
      </c>
      <c r="D6" s="248">
        <v>1719</v>
      </c>
      <c r="E6" s="249">
        <v>4041352503</v>
      </c>
      <c r="F6" s="250">
        <v>0.91600000000000004</v>
      </c>
      <c r="G6" s="251">
        <f t="shared" si="1"/>
        <v>0.91554332825300044</v>
      </c>
      <c r="I6" s="246" t="s">
        <v>238</v>
      </c>
      <c r="J6" s="246" t="s">
        <v>100</v>
      </c>
      <c r="K6" s="272">
        <f t="shared" ref="K6:K7" si="2">G6</f>
        <v>0.91554332825300044</v>
      </c>
    </row>
    <row r="7" spans="3:24" ht="17.5" x14ac:dyDescent="0.35">
      <c r="C7" s="247" t="s">
        <v>232</v>
      </c>
      <c r="D7" s="247">
        <v>211</v>
      </c>
      <c r="E7" s="249">
        <v>16231182</v>
      </c>
      <c r="F7" s="250">
        <v>4.0000000000000001E-3</v>
      </c>
      <c r="G7" s="251">
        <f t="shared" si="1"/>
        <v>3.6770735487015723E-3</v>
      </c>
      <c r="J7" s="246" t="s">
        <v>232</v>
      </c>
      <c r="K7" s="272">
        <f t="shared" si="2"/>
        <v>3.6770735487015723E-3</v>
      </c>
    </row>
    <row r="8" spans="3:24" ht="17.5" x14ac:dyDescent="0.35">
      <c r="C8" s="247" t="s">
        <v>233</v>
      </c>
      <c r="D8" s="247">
        <v>237</v>
      </c>
      <c r="E8" s="252" t="s">
        <v>234</v>
      </c>
      <c r="F8" s="252" t="s">
        <v>234</v>
      </c>
      <c r="J8" s="246" t="s">
        <v>239</v>
      </c>
      <c r="K8" s="272">
        <f>SUM(K4:K7)</f>
        <v>1</v>
      </c>
    </row>
    <row r="9" spans="3:24" x14ac:dyDescent="0.35">
      <c r="C9" s="253" t="s">
        <v>235</v>
      </c>
      <c r="L9" s="246" t="s">
        <v>240</v>
      </c>
      <c r="M9" s="246" t="s">
        <v>241</v>
      </c>
    </row>
    <row r="10" spans="3:24" x14ac:dyDescent="0.35">
      <c r="J10" s="246" t="s">
        <v>242</v>
      </c>
      <c r="L10" s="246" t="s">
        <v>243</v>
      </c>
      <c r="M10" s="254">
        <f>M11-L11</f>
        <v>65.023892357743875</v>
      </c>
      <c r="N10" s="246">
        <f t="shared" ref="N10:X10" si="3">N11-M11</f>
        <v>65.310963490388076</v>
      </c>
      <c r="O10" s="246">
        <f t="shared" si="3"/>
        <v>69.515347605343663</v>
      </c>
      <c r="P10" s="246">
        <f t="shared" si="3"/>
        <v>63.564406527130018</v>
      </c>
      <c r="Q10" s="246">
        <f t="shared" si="3"/>
        <v>65.880693515789289</v>
      </c>
      <c r="R10" s="246">
        <f t="shared" si="3"/>
        <v>75.959546890241427</v>
      </c>
      <c r="S10" s="246">
        <f t="shared" si="3"/>
        <v>61.470930194687526</v>
      </c>
      <c r="T10" s="246">
        <f t="shared" si="3"/>
        <v>49.797878317501045</v>
      </c>
      <c r="U10" s="246">
        <f t="shared" si="3"/>
        <v>47.967331265775329</v>
      </c>
      <c r="V10" s="246">
        <f t="shared" si="3"/>
        <v>43.01715105991434</v>
      </c>
      <c r="W10" s="246">
        <f t="shared" si="3"/>
        <v>28.157713832971012</v>
      </c>
      <c r="X10" s="296">
        <f t="shared" si="3"/>
        <v>-1351.9004016802992</v>
      </c>
    </row>
    <row r="11" spans="3:24" x14ac:dyDescent="0.35">
      <c r="K11" s="307" t="s">
        <v>268</v>
      </c>
      <c r="L11" s="256">
        <f>VLOOKUP(L$12, '23-IEPR TPP 2425 LF'!$A$23:$B$36, 2, FALSE)</f>
        <v>716.23454662281358</v>
      </c>
      <c r="M11" s="256">
        <f>VLOOKUP(M$12, '23-IEPR TPP 2425 LF'!$A$23:$B$36, 2, FALSE)</f>
        <v>781.25843898055746</v>
      </c>
      <c r="N11" s="256">
        <f>VLOOKUP(N$12, '23-IEPR TPP 2425 LF'!$A$23:$B$36, 2, FALSE)</f>
        <v>846.56940247094553</v>
      </c>
      <c r="O11" s="256">
        <f>VLOOKUP(O$12, '23-IEPR TPP 2425 LF'!$A$23:$B$36, 2, FALSE)</f>
        <v>916.0847500762892</v>
      </c>
      <c r="P11" s="256">
        <f>VLOOKUP(P$12, '23-IEPR TPP 2425 LF'!$A$23:$B$36, 2, FALSE)</f>
        <v>979.64915660341921</v>
      </c>
      <c r="Q11" s="256">
        <f>VLOOKUP(Q$12, '23-IEPR TPP 2425 LF'!$A$23:$B$36, 2, FALSE)</f>
        <v>1045.5298501192085</v>
      </c>
      <c r="R11" s="256">
        <f>VLOOKUP(R$12, '23-IEPR TPP 2425 LF'!$A$23:$B$36, 2, FALSE)</f>
        <v>1121.4893970094499</v>
      </c>
      <c r="S11" s="256">
        <f>VLOOKUP(S$12, '23-IEPR TPP 2425 LF'!$A$23:$B$36, 2, FALSE)</f>
        <v>1182.9603272041375</v>
      </c>
      <c r="T11" s="256">
        <f>VLOOKUP(T$12, '23-IEPR TPP 2425 LF'!$A$23:$B$36, 2, FALSE)</f>
        <v>1232.7582055216385</v>
      </c>
      <c r="U11" s="256">
        <f>VLOOKUP(U$12, '23-IEPR TPP 2425 LF'!$A$23:$B$36, 2, FALSE)</f>
        <v>1280.7255367874138</v>
      </c>
      <c r="V11" s="256">
        <f>VLOOKUP(V$12, '23-IEPR TPP 2425 LF'!$A$23:$B$36, 2, FALSE)</f>
        <v>1323.7426878473282</v>
      </c>
      <c r="W11" s="256">
        <f>VLOOKUP(W$12, '23-IEPR TPP 2425 LF'!$A$23:$B$36, 2, FALSE)</f>
        <v>1351.9004016802992</v>
      </c>
      <c r="X11" s="297"/>
    </row>
    <row r="12" spans="3:24" x14ac:dyDescent="0.35">
      <c r="J12" s="246" t="s">
        <v>236</v>
      </c>
      <c r="K12" s="271">
        <v>2022</v>
      </c>
      <c r="L12" s="246">
        <v>2023</v>
      </c>
      <c r="M12" s="246">
        <v>2024</v>
      </c>
      <c r="N12" s="246">
        <v>2025</v>
      </c>
      <c r="O12" s="246">
        <v>2026</v>
      </c>
      <c r="P12" s="246">
        <v>2027</v>
      </c>
      <c r="Q12" s="246">
        <v>2028</v>
      </c>
      <c r="R12" s="246">
        <v>2029</v>
      </c>
      <c r="S12" s="246">
        <v>2030</v>
      </c>
      <c r="T12" s="246">
        <v>2031</v>
      </c>
      <c r="U12" s="246">
        <v>2032</v>
      </c>
      <c r="V12" s="246">
        <v>2033</v>
      </c>
      <c r="W12" s="246">
        <v>2034</v>
      </c>
      <c r="X12" s="296">
        <v>2035</v>
      </c>
    </row>
    <row r="13" spans="3:24" x14ac:dyDescent="0.35">
      <c r="J13" s="246" t="s">
        <v>98</v>
      </c>
      <c r="K13" s="273">
        <v>5.9308696280272494E-2</v>
      </c>
      <c r="L13" s="257">
        <f>$K13*L$11</f>
        <v>42.47893719109112</v>
      </c>
      <c r="M13" s="254">
        <f>L13+M29</f>
        <v>44.889937191091121</v>
      </c>
      <c r="N13" s="254">
        <f>M13+N29</f>
        <v>49.297603857757785</v>
      </c>
      <c r="O13" s="246">
        <f t="shared" ref="O13:X13" si="4">N13+O29</f>
        <v>55.715270524424454</v>
      </c>
      <c r="P13" s="246">
        <f t="shared" si="4"/>
        <v>64.711937191091124</v>
      </c>
      <c r="Q13" s="246">
        <f t="shared" si="4"/>
        <v>70.121937191091121</v>
      </c>
      <c r="R13" s="246">
        <f t="shared" si="4"/>
        <v>71.871937191091121</v>
      </c>
      <c r="S13" s="246">
        <f t="shared" si="4"/>
        <v>72.48193719109112</v>
      </c>
      <c r="T13" s="246">
        <f t="shared" si="4"/>
        <v>72.48193719109112</v>
      </c>
      <c r="U13" s="246">
        <f t="shared" si="4"/>
        <v>72.48193719109112</v>
      </c>
      <c r="V13" s="246">
        <f t="shared" si="4"/>
        <v>72.48193719109112</v>
      </c>
      <c r="W13" s="246">
        <f t="shared" si="4"/>
        <v>72.48193719109112</v>
      </c>
      <c r="X13" s="296">
        <f t="shared" si="4"/>
        <v>72.48193719109112</v>
      </c>
    </row>
    <row r="14" spans="3:24" x14ac:dyDescent="0.35">
      <c r="J14" s="246" t="s">
        <v>99</v>
      </c>
      <c r="K14" s="273">
        <v>2.1470901918025531E-2</v>
      </c>
      <c r="L14" s="257">
        <f t="shared" ref="L14" si="5">$K14*L$11</f>
        <v>15.378201700839915</v>
      </c>
      <c r="M14" s="254">
        <f t="shared" ref="M14:X16" si="6">L14+M30</f>
        <v>20.036651700839915</v>
      </c>
      <c r="N14" s="246">
        <f t="shared" si="6"/>
        <v>24.295101700839915</v>
      </c>
      <c r="O14" s="246">
        <f t="shared" si="6"/>
        <v>29.084059000839915</v>
      </c>
      <c r="P14" s="246">
        <f t="shared" si="6"/>
        <v>35.637993800839915</v>
      </c>
      <c r="Q14" s="246">
        <f t="shared" si="6"/>
        <v>42.191928600839915</v>
      </c>
      <c r="R14" s="246">
        <f t="shared" si="6"/>
        <v>47.536906100839914</v>
      </c>
      <c r="S14" s="246">
        <f t="shared" si="6"/>
        <v>51.781883600839912</v>
      </c>
      <c r="T14" s="246">
        <f t="shared" si="6"/>
        <v>51.781883600839912</v>
      </c>
      <c r="U14" s="246">
        <f t="shared" si="6"/>
        <v>51.781883600839912</v>
      </c>
      <c r="V14" s="246">
        <f t="shared" si="6"/>
        <v>51.781883600839912</v>
      </c>
      <c r="W14" s="246">
        <f t="shared" si="6"/>
        <v>51.781883600839912</v>
      </c>
      <c r="X14" s="296">
        <f t="shared" si="6"/>
        <v>51.781883600839912</v>
      </c>
    </row>
    <row r="15" spans="3:24" x14ac:dyDescent="0.35">
      <c r="J15" s="246" t="s">
        <v>100</v>
      </c>
      <c r="K15" s="273">
        <v>0.91554332825300044</v>
      </c>
      <c r="L15" s="257">
        <f>$K15*L$11</f>
        <v>655.74376062482952</v>
      </c>
      <c r="M15" s="254">
        <f t="shared" si="6"/>
        <v>659.95996062482948</v>
      </c>
      <c r="N15" s="246">
        <f t="shared" si="6"/>
        <v>668.89476062482947</v>
      </c>
      <c r="O15" s="246">
        <f t="shared" si="6"/>
        <v>687.54926062482946</v>
      </c>
      <c r="P15" s="246">
        <f t="shared" si="6"/>
        <v>689.25576062482946</v>
      </c>
      <c r="Q15" s="246">
        <f t="shared" si="6"/>
        <v>683.49776062482943</v>
      </c>
      <c r="R15" s="246">
        <f t="shared" si="6"/>
        <v>697.93256062482942</v>
      </c>
      <c r="S15" s="246">
        <f t="shared" si="6"/>
        <v>701.84776062482945</v>
      </c>
      <c r="T15" s="246">
        <f t="shared" si="6"/>
        <v>712.22276062482945</v>
      </c>
      <c r="U15" s="246">
        <f t="shared" si="6"/>
        <v>712.22276062482945</v>
      </c>
      <c r="V15" s="246">
        <f t="shared" si="6"/>
        <v>712.22276062482945</v>
      </c>
      <c r="W15" s="258">
        <f>V15+W31</f>
        <v>712.22276062482945</v>
      </c>
      <c r="X15" s="296">
        <f t="shared" si="6"/>
        <v>712.22276062482945</v>
      </c>
    </row>
    <row r="16" spans="3:24" x14ac:dyDescent="0.35">
      <c r="J16" s="246" t="s">
        <v>232</v>
      </c>
      <c r="K16" s="273">
        <v>3.6770735487015723E-3</v>
      </c>
      <c r="L16" s="257">
        <f>$K16*L$11</f>
        <v>2.6336471060530111</v>
      </c>
      <c r="M16" s="257">
        <f t="shared" si="6"/>
        <v>2.6336471060530111</v>
      </c>
      <c r="N16" s="257">
        <f t="shared" si="6"/>
        <v>2.6336471060530111</v>
      </c>
      <c r="O16" s="257">
        <f t="shared" si="6"/>
        <v>2.6336471060530111</v>
      </c>
      <c r="P16" s="257">
        <f t="shared" si="6"/>
        <v>2.6336471060530111</v>
      </c>
      <c r="Q16" s="257">
        <f t="shared" si="6"/>
        <v>2.6336471060530111</v>
      </c>
      <c r="R16" s="257">
        <f t="shared" si="6"/>
        <v>2.6336471060530111</v>
      </c>
      <c r="S16" s="257">
        <f t="shared" si="6"/>
        <v>2.6336471060530111</v>
      </c>
      <c r="T16" s="257">
        <f t="shared" si="6"/>
        <v>2.6336471060530111</v>
      </c>
      <c r="U16" s="257">
        <f t="shared" si="6"/>
        <v>2.6336471060530111</v>
      </c>
      <c r="V16" s="257">
        <f t="shared" si="6"/>
        <v>2.6336471060530111</v>
      </c>
      <c r="W16" s="257">
        <f t="shared" si="6"/>
        <v>2.6336471060530111</v>
      </c>
      <c r="X16" s="298">
        <f t="shared" si="6"/>
        <v>2.6336471060530111</v>
      </c>
    </row>
    <row r="17" spans="9:24" x14ac:dyDescent="0.35">
      <c r="J17" s="246" t="s">
        <v>239</v>
      </c>
      <c r="K17" s="273">
        <v>1</v>
      </c>
      <c r="L17" s="257">
        <f>SUM(L13:L16)</f>
        <v>716.23454662281358</v>
      </c>
      <c r="M17" s="254">
        <f>SUM(M13:M16)</f>
        <v>727.5201966228135</v>
      </c>
      <c r="N17" s="246">
        <f t="shared" ref="N17:X17" si="7">SUM(N13:N16)</f>
        <v>745.12111328948015</v>
      </c>
      <c r="O17" s="246">
        <f t="shared" si="7"/>
        <v>774.98223725614685</v>
      </c>
      <c r="P17" s="246">
        <f t="shared" si="7"/>
        <v>792.2393387228135</v>
      </c>
      <c r="Q17" s="246">
        <f t="shared" si="7"/>
        <v>798.44527352281341</v>
      </c>
      <c r="R17" s="246">
        <f t="shared" si="7"/>
        <v>819.97505102281343</v>
      </c>
      <c r="S17" s="246">
        <f t="shared" si="7"/>
        <v>828.74522852281348</v>
      </c>
      <c r="T17" s="246">
        <f t="shared" si="7"/>
        <v>839.12022852281348</v>
      </c>
      <c r="U17" s="246">
        <f t="shared" si="7"/>
        <v>839.12022852281348</v>
      </c>
      <c r="V17" s="246">
        <f t="shared" si="7"/>
        <v>839.12022852281348</v>
      </c>
      <c r="W17" s="246">
        <f t="shared" si="7"/>
        <v>839.12022852281348</v>
      </c>
      <c r="X17" s="296">
        <f t="shared" si="7"/>
        <v>839.12022852281348</v>
      </c>
    </row>
    <row r="18" spans="9:24" x14ac:dyDescent="0.35">
      <c r="K18" s="273"/>
      <c r="L18" s="254"/>
      <c r="M18" s="254">
        <f>M11-M17</f>
        <v>53.738242357743957</v>
      </c>
      <c r="N18" s="246">
        <f t="shared" ref="N18:X18" si="8">N11-N17</f>
        <v>101.44828918146538</v>
      </c>
      <c r="O18" s="246">
        <f t="shared" si="8"/>
        <v>141.10251282014235</v>
      </c>
      <c r="P18" s="246">
        <f t="shared" si="8"/>
        <v>187.40981788060571</v>
      </c>
      <c r="Q18" s="246">
        <f t="shared" si="8"/>
        <v>247.0845765963951</v>
      </c>
      <c r="R18" s="246">
        <f t="shared" si="8"/>
        <v>301.5143459866365</v>
      </c>
      <c r="S18" s="246">
        <f t="shared" si="8"/>
        <v>354.21509868132398</v>
      </c>
      <c r="T18" s="246">
        <f t="shared" si="8"/>
        <v>393.63797699882502</v>
      </c>
      <c r="U18" s="246">
        <f t="shared" si="8"/>
        <v>441.60530826460035</v>
      </c>
      <c r="V18" s="246">
        <f t="shared" si="8"/>
        <v>484.62245932451469</v>
      </c>
      <c r="W18" s="246">
        <f t="shared" si="8"/>
        <v>512.78017315748571</v>
      </c>
      <c r="X18" s="296">
        <f t="shared" si="8"/>
        <v>-839.12022852281348</v>
      </c>
    </row>
    <row r="19" spans="9:24" x14ac:dyDescent="0.35">
      <c r="J19" s="246" t="s">
        <v>244</v>
      </c>
      <c r="M19" s="254"/>
    </row>
    <row r="20" spans="9:24" x14ac:dyDescent="0.35">
      <c r="J20" s="246" t="s">
        <v>245</v>
      </c>
    </row>
    <row r="21" spans="9:24" x14ac:dyDescent="0.35">
      <c r="J21" s="246" t="s">
        <v>236</v>
      </c>
      <c r="K21" s="271">
        <v>2022</v>
      </c>
      <c r="L21" s="246">
        <v>2023</v>
      </c>
      <c r="M21" s="246">
        <v>2024</v>
      </c>
      <c r="N21" s="246">
        <v>2025</v>
      </c>
      <c r="O21" s="246">
        <v>2026</v>
      </c>
      <c r="P21" s="246">
        <v>2027</v>
      </c>
      <c r="Q21" s="246">
        <v>2028</v>
      </c>
      <c r="R21" s="246">
        <v>2029</v>
      </c>
      <c r="S21" s="246">
        <v>2030</v>
      </c>
      <c r="T21" s="246">
        <v>2031</v>
      </c>
      <c r="U21" s="246">
        <v>2032</v>
      </c>
      <c r="V21" s="246">
        <v>2033</v>
      </c>
      <c r="W21" s="246">
        <v>2034</v>
      </c>
      <c r="X21" s="296">
        <v>2035</v>
      </c>
    </row>
    <row r="22" spans="9:24" x14ac:dyDescent="0.35">
      <c r="I22" s="246" t="s">
        <v>246</v>
      </c>
      <c r="J22" s="246" t="s">
        <v>98</v>
      </c>
      <c r="K22" s="274">
        <f>SUM('[9]23-IEPR Distribution Loads'!AN6:AN7)</f>
        <v>0</v>
      </c>
      <c r="L22" s="258">
        <f>SUM('[9]23-IEPR Distribution Loads'!AO6:AO7)</f>
        <v>1.8</v>
      </c>
      <c r="M22" s="258">
        <f>SUM('[9]23-IEPR Distribution Loads'!AP6:AP7)</f>
        <v>4.2110000000000003</v>
      </c>
      <c r="N22" s="258">
        <f>SUM('[9]23-IEPR Distribution Loads'!AQ6:AQ7)</f>
        <v>8.618666666666666</v>
      </c>
      <c r="O22" s="258">
        <f>SUM('[9]23-IEPR Distribution Loads'!AR6:AR7)</f>
        <v>15.036333333333333</v>
      </c>
      <c r="P22" s="258">
        <f>SUM('[9]23-IEPR Distribution Loads'!AS6:AS7)</f>
        <v>24.033000000000001</v>
      </c>
      <c r="Q22" s="258">
        <f>SUM('[9]23-IEPR Distribution Loads'!AT6:AT7)</f>
        <v>29.443000000000005</v>
      </c>
      <c r="R22" s="258">
        <f>SUM('[9]23-IEPR Distribution Loads'!AU6:AU7)</f>
        <v>31.193000000000005</v>
      </c>
      <c r="S22" s="258">
        <f>SUM('[9]23-IEPR Distribution Loads'!AV6:AV7)</f>
        <v>31.803000000000004</v>
      </c>
      <c r="T22" s="258">
        <f>SUM('[9]23-IEPR Distribution Loads'!AW6:AW7)</f>
        <v>31.803000000000004</v>
      </c>
      <c r="U22" s="258">
        <f>T22</f>
        <v>31.803000000000004</v>
      </c>
      <c r="V22" s="258">
        <f t="shared" ref="V22:X22" si="9">U22</f>
        <v>31.803000000000004</v>
      </c>
      <c r="W22" s="258">
        <f t="shared" si="9"/>
        <v>31.803000000000004</v>
      </c>
      <c r="X22" s="299">
        <f t="shared" si="9"/>
        <v>31.803000000000004</v>
      </c>
    </row>
    <row r="23" spans="9:24" x14ac:dyDescent="0.35">
      <c r="J23" s="246" t="s">
        <v>99</v>
      </c>
      <c r="K23" s="274">
        <f>'[9]23-IEPR Distribution Loads'!AN5</f>
        <v>1</v>
      </c>
      <c r="L23" s="258">
        <f>'[9]23-IEPR Distribution Loads'!AO5</f>
        <v>5.1584500000000002</v>
      </c>
      <c r="M23" s="258">
        <f>'[9]23-IEPR Distribution Loads'!AP5</f>
        <v>9.8169000000000004</v>
      </c>
      <c r="N23" s="258">
        <f>'[9]23-IEPR Distribution Loads'!AQ5</f>
        <v>14.07535</v>
      </c>
      <c r="O23" s="258">
        <f>'[9]23-IEPR Distribution Loads'!AR5</f>
        <v>18.8643073</v>
      </c>
      <c r="P23" s="258">
        <f>'[9]23-IEPR Distribution Loads'!AS5</f>
        <v>25.418242100000001</v>
      </c>
      <c r="Q23" s="258">
        <f>'[9]23-IEPR Distribution Loads'!AT5</f>
        <v>31.972176900000001</v>
      </c>
      <c r="R23" s="258">
        <f>'[9]23-IEPR Distribution Loads'!AU5</f>
        <v>37.3171544</v>
      </c>
      <c r="S23" s="258">
        <f>'[9]23-IEPR Distribution Loads'!AV5</f>
        <v>41.562131899999997</v>
      </c>
      <c r="T23" s="258">
        <f>'[9]23-IEPR Distribution Loads'!AW5</f>
        <v>41.562131899999997</v>
      </c>
      <c r="U23" s="258">
        <f t="shared" ref="U23:X25" si="10">T23</f>
        <v>41.562131899999997</v>
      </c>
      <c r="V23" s="258">
        <f t="shared" si="10"/>
        <v>41.562131899999997</v>
      </c>
      <c r="W23" s="258">
        <f t="shared" si="10"/>
        <v>41.562131899999997</v>
      </c>
      <c r="X23" s="299">
        <f t="shared" si="10"/>
        <v>41.562131899999997</v>
      </c>
    </row>
    <row r="24" spans="9:24" x14ac:dyDescent="0.35">
      <c r="J24" s="246" t="s">
        <v>100</v>
      </c>
      <c r="K24" s="274">
        <f>'[9]23-IEPR Distribution Loads'!AN4</f>
        <v>21.2</v>
      </c>
      <c r="L24" s="258">
        <f>'[9]23-IEPR Distribution Loads'!AO4</f>
        <v>30.88</v>
      </c>
      <c r="M24" s="258">
        <f>'[9]23-IEPR Distribution Loads'!AP4</f>
        <v>35.096199999999996</v>
      </c>
      <c r="N24" s="258">
        <f>'[9]23-IEPR Distribution Loads'!AQ4</f>
        <v>44.030999999999992</v>
      </c>
      <c r="O24" s="258">
        <f>'[9]23-IEPR Distribution Loads'!AR4</f>
        <v>62.68549999999999</v>
      </c>
      <c r="P24" s="258">
        <f>'[9]23-IEPR Distribution Loads'!AS4</f>
        <v>64.391999999999996</v>
      </c>
      <c r="Q24" s="258">
        <f>'[9]23-IEPR Distribution Loads'!AT4</f>
        <v>58.633999999999993</v>
      </c>
      <c r="R24" s="258">
        <f>'[9]23-IEPR Distribution Loads'!AU4</f>
        <v>73.068799999999996</v>
      </c>
      <c r="S24" s="258">
        <f>'[9]23-IEPR Distribution Loads'!AV4</f>
        <v>76.983999999999995</v>
      </c>
      <c r="T24" s="258">
        <f>'[9]23-IEPR Distribution Loads'!AW4</f>
        <v>87.358999999999995</v>
      </c>
      <c r="U24" s="258">
        <f t="shared" si="10"/>
        <v>87.358999999999995</v>
      </c>
      <c r="V24" s="258">
        <f t="shared" si="10"/>
        <v>87.358999999999995</v>
      </c>
      <c r="W24" s="258">
        <f t="shared" si="10"/>
        <v>87.358999999999995</v>
      </c>
      <c r="X24" s="299">
        <f t="shared" si="10"/>
        <v>87.358999999999995</v>
      </c>
    </row>
    <row r="25" spans="9:24" x14ac:dyDescent="0.35">
      <c r="J25" s="246" t="s">
        <v>232</v>
      </c>
      <c r="K25" s="274">
        <v>0</v>
      </c>
      <c r="L25" s="258">
        <v>0</v>
      </c>
      <c r="M25" s="258">
        <v>0</v>
      </c>
      <c r="N25" s="258">
        <v>0</v>
      </c>
      <c r="O25" s="258">
        <v>0</v>
      </c>
      <c r="P25" s="258">
        <v>0</v>
      </c>
      <c r="Q25" s="258">
        <v>0</v>
      </c>
      <c r="R25" s="258">
        <v>0</v>
      </c>
      <c r="S25" s="258">
        <v>0</v>
      </c>
      <c r="T25" s="258">
        <v>0</v>
      </c>
      <c r="U25" s="258">
        <f t="shared" si="10"/>
        <v>0</v>
      </c>
      <c r="V25" s="258">
        <f t="shared" si="10"/>
        <v>0</v>
      </c>
      <c r="W25" s="258">
        <f t="shared" si="10"/>
        <v>0</v>
      </c>
      <c r="X25" s="299">
        <f t="shared" si="10"/>
        <v>0</v>
      </c>
    </row>
    <row r="26" spans="9:24" x14ac:dyDescent="0.35">
      <c r="J26" s="246" t="s">
        <v>239</v>
      </c>
      <c r="K26" s="274">
        <f>SUM(K22:K25)</f>
        <v>22.2</v>
      </c>
      <c r="L26" s="258">
        <f t="shared" ref="L26:X26" si="11">SUM(L22:L25)</f>
        <v>37.838450000000002</v>
      </c>
      <c r="M26" s="258">
        <f t="shared" si="11"/>
        <v>49.124099999999999</v>
      </c>
      <c r="N26" s="258">
        <f t="shared" si="11"/>
        <v>66.725016666666662</v>
      </c>
      <c r="O26" s="258">
        <f t="shared" si="11"/>
        <v>96.586140633333315</v>
      </c>
      <c r="P26" s="258">
        <f t="shared" si="11"/>
        <v>113.8432421</v>
      </c>
      <c r="Q26" s="258">
        <f t="shared" si="11"/>
        <v>120.04917689999999</v>
      </c>
      <c r="R26" s="258">
        <f t="shared" si="11"/>
        <v>141.57895439999999</v>
      </c>
      <c r="S26" s="258">
        <f t="shared" si="11"/>
        <v>150.34913189999997</v>
      </c>
      <c r="T26" s="258">
        <f t="shared" si="11"/>
        <v>160.72413189999997</v>
      </c>
      <c r="U26" s="258">
        <f t="shared" si="11"/>
        <v>160.72413189999997</v>
      </c>
      <c r="V26" s="258">
        <f t="shared" si="11"/>
        <v>160.72413189999997</v>
      </c>
      <c r="W26" s="258">
        <f t="shared" si="11"/>
        <v>160.72413189999997</v>
      </c>
      <c r="X26" s="299">
        <f t="shared" si="11"/>
        <v>160.72413189999997</v>
      </c>
    </row>
    <row r="27" spans="9:24" x14ac:dyDescent="0.35">
      <c r="J27" s="246" t="s">
        <v>247</v>
      </c>
      <c r="M27" s="254"/>
      <c r="O27" s="258"/>
      <c r="X27" s="300"/>
    </row>
    <row r="28" spans="9:24" x14ac:dyDescent="0.35">
      <c r="J28" s="246" t="s">
        <v>236</v>
      </c>
      <c r="K28" s="271">
        <v>2022</v>
      </c>
      <c r="L28" s="246">
        <v>2023</v>
      </c>
      <c r="M28" s="246">
        <v>2024</v>
      </c>
      <c r="N28" s="246">
        <v>2025</v>
      </c>
      <c r="O28" s="246">
        <v>2026</v>
      </c>
      <c r="P28" s="246">
        <v>2027</v>
      </c>
      <c r="Q28" s="246">
        <v>2028</v>
      </c>
      <c r="R28" s="246">
        <v>2029</v>
      </c>
      <c r="S28" s="246">
        <v>2030</v>
      </c>
      <c r="T28" s="246">
        <v>2031</v>
      </c>
      <c r="U28" s="246">
        <v>2032</v>
      </c>
      <c r="V28" s="246">
        <v>2033</v>
      </c>
      <c r="W28" s="246">
        <v>2034</v>
      </c>
      <c r="X28" s="296">
        <v>2035</v>
      </c>
    </row>
    <row r="29" spans="9:24" x14ac:dyDescent="0.35">
      <c r="J29" s="246" t="s">
        <v>98</v>
      </c>
      <c r="K29" s="274">
        <f>K22</f>
        <v>0</v>
      </c>
      <c r="L29" s="258">
        <f>L22-K22</f>
        <v>1.8</v>
      </c>
      <c r="M29" s="258">
        <f t="shared" ref="M29:X30" si="12">M22-L22</f>
        <v>2.4110000000000005</v>
      </c>
      <c r="N29" s="258">
        <f t="shared" si="12"/>
        <v>4.4076666666666657</v>
      </c>
      <c r="O29" s="258">
        <f t="shared" si="12"/>
        <v>6.4176666666666673</v>
      </c>
      <c r="P29" s="258">
        <f t="shared" si="12"/>
        <v>8.9966666666666679</v>
      </c>
      <c r="Q29" s="258">
        <f t="shared" si="12"/>
        <v>5.4100000000000037</v>
      </c>
      <c r="R29" s="258">
        <f t="shared" si="12"/>
        <v>1.75</v>
      </c>
      <c r="S29" s="258">
        <f t="shared" si="12"/>
        <v>0.60999999999999943</v>
      </c>
      <c r="T29" s="258">
        <f t="shared" si="12"/>
        <v>0</v>
      </c>
      <c r="U29" s="258">
        <f t="shared" si="12"/>
        <v>0</v>
      </c>
      <c r="V29" s="258">
        <f t="shared" si="12"/>
        <v>0</v>
      </c>
      <c r="W29" s="258">
        <f t="shared" si="12"/>
        <v>0</v>
      </c>
      <c r="X29" s="299">
        <f t="shared" si="12"/>
        <v>0</v>
      </c>
    </row>
    <row r="30" spans="9:24" x14ac:dyDescent="0.35">
      <c r="J30" s="246" t="s">
        <v>99</v>
      </c>
      <c r="K30" s="274">
        <f t="shared" ref="K30:K33" si="13">K23</f>
        <v>1</v>
      </c>
      <c r="L30" s="258">
        <f>L23-K23</f>
        <v>4.1584500000000002</v>
      </c>
      <c r="M30" s="258">
        <f t="shared" si="12"/>
        <v>4.6584500000000002</v>
      </c>
      <c r="N30" s="258">
        <f t="shared" si="12"/>
        <v>4.2584499999999998</v>
      </c>
      <c r="O30" s="258">
        <f t="shared" si="12"/>
        <v>4.7889572999999999</v>
      </c>
      <c r="P30" s="258">
        <f t="shared" si="12"/>
        <v>6.5539348000000004</v>
      </c>
      <c r="Q30" s="258">
        <f t="shared" si="12"/>
        <v>6.5539348000000004</v>
      </c>
      <c r="R30" s="258">
        <f t="shared" si="12"/>
        <v>5.3449774999999988</v>
      </c>
      <c r="S30" s="258">
        <f t="shared" si="12"/>
        <v>4.2449774999999974</v>
      </c>
      <c r="T30" s="258">
        <f t="shared" si="12"/>
        <v>0</v>
      </c>
      <c r="U30" s="258">
        <f t="shared" si="12"/>
        <v>0</v>
      </c>
      <c r="V30" s="258">
        <f t="shared" si="12"/>
        <v>0</v>
      </c>
      <c r="W30" s="258">
        <f t="shared" si="12"/>
        <v>0</v>
      </c>
      <c r="X30" s="299">
        <f t="shared" si="12"/>
        <v>0</v>
      </c>
    </row>
    <row r="31" spans="9:24" x14ac:dyDescent="0.35">
      <c r="J31" s="246" t="s">
        <v>100</v>
      </c>
      <c r="K31" s="274">
        <f t="shared" si="13"/>
        <v>21.2</v>
      </c>
      <c r="L31" s="258">
        <f t="shared" ref="L31:X32" si="14">L24-K24</f>
        <v>9.68</v>
      </c>
      <c r="M31" s="258">
        <f t="shared" si="14"/>
        <v>4.2161999999999971</v>
      </c>
      <c r="N31" s="258">
        <f t="shared" si="14"/>
        <v>8.9347999999999956</v>
      </c>
      <c r="O31" s="258">
        <f t="shared" si="14"/>
        <v>18.654499999999999</v>
      </c>
      <c r="P31" s="258">
        <f t="shared" si="14"/>
        <v>1.7065000000000055</v>
      </c>
      <c r="Q31" s="258">
        <f t="shared" si="14"/>
        <v>-5.7580000000000027</v>
      </c>
      <c r="R31" s="258">
        <f t="shared" si="14"/>
        <v>14.434800000000003</v>
      </c>
      <c r="S31" s="258">
        <f t="shared" si="14"/>
        <v>3.9151999999999987</v>
      </c>
      <c r="T31" s="258">
        <f t="shared" si="14"/>
        <v>10.375</v>
      </c>
      <c r="U31" s="258">
        <f t="shared" si="14"/>
        <v>0</v>
      </c>
      <c r="V31" s="258">
        <f t="shared" si="14"/>
        <v>0</v>
      </c>
      <c r="W31" s="258">
        <f t="shared" si="14"/>
        <v>0</v>
      </c>
      <c r="X31" s="299">
        <f t="shared" si="14"/>
        <v>0</v>
      </c>
    </row>
    <row r="32" spans="9:24" x14ac:dyDescent="0.35">
      <c r="J32" s="246" t="s">
        <v>232</v>
      </c>
      <c r="K32" s="274">
        <f t="shared" si="13"/>
        <v>0</v>
      </c>
      <c r="L32" s="258">
        <f t="shared" si="14"/>
        <v>0</v>
      </c>
      <c r="M32" s="258">
        <f t="shared" si="14"/>
        <v>0</v>
      </c>
      <c r="N32" s="258">
        <f t="shared" si="14"/>
        <v>0</v>
      </c>
      <c r="O32" s="258">
        <f t="shared" si="14"/>
        <v>0</v>
      </c>
      <c r="P32" s="258">
        <f t="shared" si="14"/>
        <v>0</v>
      </c>
      <c r="Q32" s="258">
        <f t="shared" si="14"/>
        <v>0</v>
      </c>
      <c r="R32" s="258">
        <f t="shared" si="14"/>
        <v>0</v>
      </c>
      <c r="S32" s="258">
        <f t="shared" si="14"/>
        <v>0</v>
      </c>
      <c r="T32" s="258">
        <f t="shared" si="14"/>
        <v>0</v>
      </c>
      <c r="U32" s="258">
        <f t="shared" si="14"/>
        <v>0</v>
      </c>
      <c r="V32" s="258">
        <f t="shared" si="14"/>
        <v>0</v>
      </c>
      <c r="W32" s="258">
        <f t="shared" si="14"/>
        <v>0</v>
      </c>
      <c r="X32" s="299">
        <f t="shared" si="14"/>
        <v>0</v>
      </c>
    </row>
    <row r="33" spans="9:24" x14ac:dyDescent="0.35">
      <c r="J33" s="246" t="s">
        <v>239</v>
      </c>
      <c r="K33" s="274">
        <f t="shared" si="13"/>
        <v>22.2</v>
      </c>
      <c r="L33" s="258">
        <f>SUM(L29:L32)</f>
        <v>15.638449999999999</v>
      </c>
      <c r="M33" s="259">
        <f>SUM(M29:M32)</f>
        <v>11.285649999999997</v>
      </c>
      <c r="N33" s="259">
        <f t="shared" ref="N33:X33" si="15">SUM(N29:N32)</f>
        <v>17.600916666666663</v>
      </c>
      <c r="O33" s="259">
        <f t="shared" si="15"/>
        <v>29.861123966666668</v>
      </c>
      <c r="P33" s="259">
        <f t="shared" si="15"/>
        <v>17.257101466666676</v>
      </c>
      <c r="Q33" s="259">
        <f t="shared" si="15"/>
        <v>6.2059348000000014</v>
      </c>
      <c r="R33" s="259">
        <f t="shared" si="15"/>
        <v>21.529777500000002</v>
      </c>
      <c r="S33" s="259">
        <f t="shared" si="15"/>
        <v>8.7701774999999955</v>
      </c>
      <c r="T33" s="259">
        <f t="shared" si="15"/>
        <v>10.375</v>
      </c>
      <c r="U33" s="259">
        <f t="shared" si="15"/>
        <v>0</v>
      </c>
      <c r="V33" s="259">
        <f t="shared" si="15"/>
        <v>0</v>
      </c>
      <c r="W33" s="259">
        <f t="shared" si="15"/>
        <v>0</v>
      </c>
      <c r="X33" s="301">
        <f t="shared" si="15"/>
        <v>0</v>
      </c>
    </row>
    <row r="34" spans="9:24" x14ac:dyDescent="0.35">
      <c r="X34" s="300">
        <f>SUM(K33:X33)</f>
        <v>160.72413189999997</v>
      </c>
    </row>
    <row r="36" spans="9:24" x14ac:dyDescent="0.35">
      <c r="J36" s="246" t="s">
        <v>248</v>
      </c>
    </row>
    <row r="37" spans="9:24" x14ac:dyDescent="0.35">
      <c r="J37" s="246" t="s">
        <v>236</v>
      </c>
      <c r="K37" s="271">
        <v>2022</v>
      </c>
      <c r="L37" s="246">
        <v>2023</v>
      </c>
      <c r="M37" s="246">
        <v>2024</v>
      </c>
      <c r="N37" s="246">
        <v>2025</v>
      </c>
      <c r="O37" s="246">
        <v>2026</v>
      </c>
      <c r="P37" s="246">
        <v>2027</v>
      </c>
      <c r="Q37" s="246">
        <v>2028</v>
      </c>
      <c r="R37" s="246">
        <v>2029</v>
      </c>
      <c r="S37" s="246">
        <v>2030</v>
      </c>
      <c r="T37" s="246">
        <v>2031</v>
      </c>
      <c r="U37" s="246">
        <v>2032</v>
      </c>
      <c r="V37" s="246">
        <v>2033</v>
      </c>
      <c r="W37" s="246">
        <v>2034</v>
      </c>
      <c r="X37" s="296">
        <v>2035</v>
      </c>
    </row>
    <row r="38" spans="9:24" x14ac:dyDescent="0.35">
      <c r="I38" s="260"/>
      <c r="J38" s="246" t="s">
        <v>98</v>
      </c>
      <c r="L38" s="261">
        <f>L13</f>
        <v>42.47893719109112</v>
      </c>
      <c r="M38" s="246">
        <f t="shared" ref="M38:X38" si="16">M13</f>
        <v>44.889937191091121</v>
      </c>
      <c r="N38" s="246">
        <f t="shared" si="16"/>
        <v>49.297603857757785</v>
      </c>
      <c r="O38" s="246">
        <f t="shared" si="16"/>
        <v>55.715270524424454</v>
      </c>
      <c r="P38" s="246">
        <f t="shared" si="16"/>
        <v>64.711937191091124</v>
      </c>
      <c r="Q38" s="246">
        <f t="shared" si="16"/>
        <v>70.121937191091121</v>
      </c>
      <c r="R38" s="246">
        <f t="shared" si="16"/>
        <v>71.871937191091121</v>
      </c>
      <c r="S38" s="246">
        <f t="shared" si="16"/>
        <v>72.48193719109112</v>
      </c>
      <c r="T38" s="246">
        <f t="shared" si="16"/>
        <v>72.48193719109112</v>
      </c>
      <c r="U38" s="246">
        <f t="shared" si="16"/>
        <v>72.48193719109112</v>
      </c>
      <c r="V38" s="246">
        <f t="shared" si="16"/>
        <v>72.48193719109112</v>
      </c>
      <c r="W38" s="246">
        <f t="shared" si="16"/>
        <v>72.48193719109112</v>
      </c>
      <c r="X38" s="296">
        <f t="shared" si="16"/>
        <v>72.48193719109112</v>
      </c>
    </row>
    <row r="39" spans="9:24" x14ac:dyDescent="0.35">
      <c r="I39" s="260"/>
      <c r="J39" s="246" t="s">
        <v>99</v>
      </c>
      <c r="L39" s="261">
        <f t="shared" ref="L39:X41" si="17">L14</f>
        <v>15.378201700839915</v>
      </c>
      <c r="M39" s="246">
        <f t="shared" si="17"/>
        <v>20.036651700839915</v>
      </c>
      <c r="N39" s="246">
        <f t="shared" si="17"/>
        <v>24.295101700839915</v>
      </c>
      <c r="O39" s="246">
        <f t="shared" si="17"/>
        <v>29.084059000839915</v>
      </c>
      <c r="P39" s="246">
        <f t="shared" si="17"/>
        <v>35.637993800839915</v>
      </c>
      <c r="Q39" s="246">
        <f t="shared" si="17"/>
        <v>42.191928600839915</v>
      </c>
      <c r="R39" s="246">
        <f t="shared" si="17"/>
        <v>47.536906100839914</v>
      </c>
      <c r="S39" s="246">
        <f t="shared" si="17"/>
        <v>51.781883600839912</v>
      </c>
      <c r="T39" s="246">
        <f t="shared" si="17"/>
        <v>51.781883600839912</v>
      </c>
      <c r="U39" s="246">
        <f t="shared" si="17"/>
        <v>51.781883600839912</v>
      </c>
      <c r="V39" s="246">
        <f t="shared" si="17"/>
        <v>51.781883600839912</v>
      </c>
      <c r="W39" s="246">
        <f t="shared" si="17"/>
        <v>51.781883600839912</v>
      </c>
      <c r="X39" s="296">
        <f t="shared" si="17"/>
        <v>51.781883600839912</v>
      </c>
    </row>
    <row r="40" spans="9:24" x14ac:dyDescent="0.35">
      <c r="I40" s="260"/>
      <c r="J40" s="246" t="s">
        <v>100</v>
      </c>
      <c r="L40" s="261">
        <f>L15+L18</f>
        <v>655.74376062482952</v>
      </c>
      <c r="M40" s="246">
        <f t="shared" ref="M40:X40" si="18">M15+M18</f>
        <v>713.69820298257343</v>
      </c>
      <c r="N40" s="246">
        <f t="shared" si="18"/>
        <v>770.34304980629486</v>
      </c>
      <c r="O40" s="246">
        <f t="shared" si="18"/>
        <v>828.65177344497181</v>
      </c>
      <c r="P40" s="246">
        <f t="shared" si="18"/>
        <v>876.66557850543518</v>
      </c>
      <c r="Q40" s="246">
        <f t="shared" si="18"/>
        <v>930.58233722122452</v>
      </c>
      <c r="R40" s="246">
        <f t="shared" si="18"/>
        <v>999.44690661146592</v>
      </c>
      <c r="S40" s="246">
        <f t="shared" si="18"/>
        <v>1056.0628593061533</v>
      </c>
      <c r="T40" s="246">
        <f t="shared" si="18"/>
        <v>1105.8607376236546</v>
      </c>
      <c r="U40" s="246">
        <f t="shared" si="18"/>
        <v>1153.8280688894297</v>
      </c>
      <c r="V40" s="246">
        <f t="shared" si="18"/>
        <v>1196.845219949344</v>
      </c>
      <c r="W40" s="246">
        <f>W15+W18</f>
        <v>1225.0029337823153</v>
      </c>
      <c r="X40" s="296">
        <f t="shared" si="18"/>
        <v>-126.89746789798403</v>
      </c>
    </row>
    <row r="41" spans="9:24" x14ac:dyDescent="0.35">
      <c r="I41" s="260"/>
      <c r="J41" s="246" t="s">
        <v>232</v>
      </c>
      <c r="L41" s="261">
        <f t="shared" si="17"/>
        <v>2.6336471060530111</v>
      </c>
      <c r="M41" s="246">
        <f t="shared" si="17"/>
        <v>2.6336471060530111</v>
      </c>
      <c r="N41" s="246">
        <f t="shared" si="17"/>
        <v>2.6336471060530111</v>
      </c>
      <c r="O41" s="246">
        <f t="shared" si="17"/>
        <v>2.6336471060530111</v>
      </c>
      <c r="P41" s="246">
        <f t="shared" si="17"/>
        <v>2.6336471060530111</v>
      </c>
      <c r="Q41" s="246">
        <f t="shared" si="17"/>
        <v>2.6336471060530111</v>
      </c>
      <c r="R41" s="246">
        <f t="shared" si="17"/>
        <v>2.6336471060530111</v>
      </c>
      <c r="S41" s="246">
        <f t="shared" si="17"/>
        <v>2.6336471060530111</v>
      </c>
      <c r="T41" s="246">
        <f t="shared" si="17"/>
        <v>2.6336471060530111</v>
      </c>
      <c r="U41" s="246">
        <f t="shared" si="17"/>
        <v>2.6336471060530111</v>
      </c>
      <c r="V41" s="246">
        <f t="shared" si="17"/>
        <v>2.6336471060530111</v>
      </c>
      <c r="W41" s="246">
        <f t="shared" si="17"/>
        <v>2.6336471060530111</v>
      </c>
      <c r="X41" s="296">
        <f t="shared" si="17"/>
        <v>2.6336471060530111</v>
      </c>
    </row>
    <row r="42" spans="9:24" x14ac:dyDescent="0.35">
      <c r="I42" s="260"/>
      <c r="J42" s="246" t="s">
        <v>239</v>
      </c>
      <c r="K42" s="271">
        <f>SUM(K38:K41)</f>
        <v>0</v>
      </c>
      <c r="L42" s="246">
        <f t="shared" ref="L42:V42" si="19">SUM(L38:L41)</f>
        <v>716.23454662281358</v>
      </c>
      <c r="M42" s="246">
        <f t="shared" si="19"/>
        <v>781.25843898055746</v>
      </c>
      <c r="N42" s="246">
        <f t="shared" si="19"/>
        <v>846.56940247094553</v>
      </c>
      <c r="O42" s="246">
        <f t="shared" si="19"/>
        <v>916.0847500762892</v>
      </c>
      <c r="P42" s="246">
        <f t="shared" si="19"/>
        <v>979.64915660341921</v>
      </c>
      <c r="Q42" s="246">
        <f t="shared" si="19"/>
        <v>1045.5298501192087</v>
      </c>
      <c r="R42" s="246">
        <f t="shared" si="19"/>
        <v>1121.4893970094502</v>
      </c>
      <c r="S42" s="246">
        <f t="shared" si="19"/>
        <v>1182.9603272041375</v>
      </c>
      <c r="T42" s="246">
        <f t="shared" si="19"/>
        <v>1232.7582055216387</v>
      </c>
      <c r="U42" s="246">
        <f t="shared" si="19"/>
        <v>1280.7255367874138</v>
      </c>
      <c r="V42" s="246">
        <f t="shared" si="19"/>
        <v>1323.7426878473282</v>
      </c>
      <c r="W42" s="246">
        <f>SUM(W38:W41)</f>
        <v>1351.9004016802994</v>
      </c>
      <c r="X42" s="296">
        <f t="shared" ref="X42" si="20">SUM(X38:X41)</f>
        <v>2.0872192862952943E-14</v>
      </c>
    </row>
    <row r="43" spans="9:24" x14ac:dyDescent="0.35">
      <c r="L43" s="246" t="b">
        <f>L42=L11</f>
        <v>1</v>
      </c>
      <c r="M43" s="246" t="b">
        <f t="shared" ref="M43:X43" si="21">M42=M11</f>
        <v>1</v>
      </c>
      <c r="N43" s="246" t="b">
        <f t="shared" si="21"/>
        <v>1</v>
      </c>
      <c r="O43" s="246" t="b">
        <f t="shared" si="21"/>
        <v>1</v>
      </c>
      <c r="P43" s="246" t="b">
        <f t="shared" si="21"/>
        <v>1</v>
      </c>
      <c r="Q43" s="246" t="b">
        <f t="shared" si="21"/>
        <v>1</v>
      </c>
      <c r="R43" s="246" t="b">
        <f t="shared" si="21"/>
        <v>1</v>
      </c>
      <c r="S43" s="246" t="b">
        <f t="shared" si="21"/>
        <v>1</v>
      </c>
      <c r="T43" s="246" t="b">
        <f t="shared" si="21"/>
        <v>1</v>
      </c>
      <c r="U43" s="246" t="b">
        <f t="shared" si="21"/>
        <v>1</v>
      </c>
      <c r="V43" s="246" t="b">
        <f t="shared" si="21"/>
        <v>1</v>
      </c>
      <c r="W43" s="246" t="b">
        <f t="shared" si="21"/>
        <v>1</v>
      </c>
      <c r="X43" s="296" t="b">
        <f t="shared" si="21"/>
        <v>0</v>
      </c>
    </row>
    <row r="44" spans="9:24" ht="15" thickBot="1" x14ac:dyDescent="0.4">
      <c r="J44" s="262"/>
    </row>
    <row r="45" spans="9:24" x14ac:dyDescent="0.35">
      <c r="J45" s="422" t="s">
        <v>236</v>
      </c>
      <c r="K45" s="275">
        <v>2022</v>
      </c>
      <c r="L45" s="424" t="s">
        <v>249</v>
      </c>
      <c r="M45" s="424"/>
      <c r="N45" s="424"/>
      <c r="O45" s="424"/>
      <c r="P45" s="424"/>
      <c r="Q45" s="424"/>
      <c r="R45" s="424"/>
      <c r="S45" s="424"/>
      <c r="T45" s="424"/>
      <c r="U45" s="424"/>
      <c r="V45" s="424"/>
      <c r="W45" s="424"/>
      <c r="X45" s="425"/>
    </row>
    <row r="46" spans="9:24" x14ac:dyDescent="0.35">
      <c r="J46" s="423"/>
      <c r="K46" s="276"/>
      <c r="L46" s="263">
        <v>2023</v>
      </c>
      <c r="M46" s="263">
        <v>2024</v>
      </c>
      <c r="N46" s="263">
        <v>2025</v>
      </c>
      <c r="O46" s="263">
        <v>2026</v>
      </c>
      <c r="P46" s="263">
        <v>2027</v>
      </c>
      <c r="Q46" s="263">
        <v>2028</v>
      </c>
      <c r="R46" s="263">
        <v>2029</v>
      </c>
      <c r="S46" s="263">
        <v>2030</v>
      </c>
      <c r="T46" s="263">
        <v>2031</v>
      </c>
      <c r="U46" s="263">
        <v>2032</v>
      </c>
      <c r="V46" s="263">
        <v>2033</v>
      </c>
      <c r="W46" s="263">
        <v>2034</v>
      </c>
      <c r="X46" s="302">
        <v>2035</v>
      </c>
    </row>
    <row r="47" spans="9:24" x14ac:dyDescent="0.35">
      <c r="J47" s="264" t="s">
        <v>98</v>
      </c>
      <c r="K47" s="277">
        <f>K4</f>
        <v>5.9308696280272494E-2</v>
      </c>
      <c r="L47" s="265">
        <f t="shared" ref="L47:X50" si="22">L38/L$42</f>
        <v>5.9308696280272494E-2</v>
      </c>
      <c r="M47" s="265">
        <f t="shared" si="22"/>
        <v>5.7458498943917663E-2</v>
      </c>
      <c r="N47" s="265">
        <f t="shared" si="22"/>
        <v>5.8232206023356353E-2</v>
      </c>
      <c r="O47" s="265">
        <f t="shared" si="22"/>
        <v>6.0818904058586969E-2</v>
      </c>
      <c r="P47" s="265">
        <f t="shared" si="22"/>
        <v>6.6056237332410381E-2</v>
      </c>
      <c r="Q47" s="265">
        <f t="shared" si="22"/>
        <v>6.7068326344863316E-2</v>
      </c>
      <c r="R47" s="265">
        <f t="shared" si="22"/>
        <v>6.4086149528246941E-2</v>
      </c>
      <c r="S47" s="265">
        <f t="shared" si="22"/>
        <v>6.1271655121688015E-2</v>
      </c>
      <c r="T47" s="265">
        <f t="shared" si="22"/>
        <v>5.8796556264186908E-2</v>
      </c>
      <c r="U47" s="265">
        <f t="shared" si="22"/>
        <v>5.6594434255528014E-2</v>
      </c>
      <c r="V47" s="265">
        <f t="shared" si="22"/>
        <v>5.4755306946368348E-2</v>
      </c>
      <c r="W47" s="265">
        <f t="shared" si="22"/>
        <v>5.3614849955663985E-2</v>
      </c>
      <c r="X47" s="303">
        <f t="shared" si="22"/>
        <v>3472655588562656</v>
      </c>
    </row>
    <row r="48" spans="9:24" x14ac:dyDescent="0.35">
      <c r="J48" s="264" t="s">
        <v>99</v>
      </c>
      <c r="K48" s="277">
        <f>K5</f>
        <v>2.1470901918025531E-2</v>
      </c>
      <c r="L48" s="265">
        <f t="shared" si="22"/>
        <v>2.1470901918025531E-2</v>
      </c>
      <c r="M48" s="265">
        <f t="shared" si="22"/>
        <v>2.5646637144790638E-2</v>
      </c>
      <c r="N48" s="265">
        <f t="shared" si="22"/>
        <v>2.8698298839915523E-2</v>
      </c>
      <c r="O48" s="265">
        <f t="shared" si="22"/>
        <v>3.1748218708386823E-2</v>
      </c>
      <c r="P48" s="265">
        <f t="shared" si="22"/>
        <v>3.6378323362622832E-2</v>
      </c>
      <c r="Q48" s="265">
        <f t="shared" si="22"/>
        <v>4.0354590159266422E-2</v>
      </c>
      <c r="R48" s="265">
        <f t="shared" si="22"/>
        <v>4.2387298736484932E-2</v>
      </c>
      <c r="S48" s="265">
        <f t="shared" si="22"/>
        <v>4.3773136266728054E-2</v>
      </c>
      <c r="T48" s="265">
        <f t="shared" si="22"/>
        <v>4.200489874567781E-2</v>
      </c>
      <c r="U48" s="265">
        <f t="shared" si="22"/>
        <v>4.0431678851918708E-2</v>
      </c>
      <c r="V48" s="265">
        <f t="shared" si="22"/>
        <v>3.9117786316196897E-2</v>
      </c>
      <c r="W48" s="265">
        <f t="shared" si="22"/>
        <v>3.8303031448529305E-2</v>
      </c>
      <c r="X48" s="303">
        <f t="shared" si="22"/>
        <v>2480902890311543</v>
      </c>
    </row>
    <row r="49" spans="10:24" x14ac:dyDescent="0.35">
      <c r="J49" s="264" t="s">
        <v>100</v>
      </c>
      <c r="K49" s="277">
        <f>K6</f>
        <v>0.91554332825300044</v>
      </c>
      <c r="L49" s="265">
        <f t="shared" si="22"/>
        <v>0.91554332825300033</v>
      </c>
      <c r="M49" s="265">
        <f t="shared" si="22"/>
        <v>0.91352383202907672</v>
      </c>
      <c r="N49" s="265">
        <f t="shared" si="22"/>
        <v>0.90995853093418788</v>
      </c>
      <c r="O49" s="265">
        <f t="shared" si="22"/>
        <v>0.90455798262765952</v>
      </c>
      <c r="P49" s="265">
        <f t="shared" si="22"/>
        <v>0.89487708185750647</v>
      </c>
      <c r="Q49" s="265">
        <f t="shared" si="22"/>
        <v>0.89005812422775099</v>
      </c>
      <c r="R49" s="265">
        <f t="shared" si="22"/>
        <v>0.8911782039817574</v>
      </c>
      <c r="S49" s="265">
        <f t="shared" si="22"/>
        <v>0.89272888956648322</v>
      </c>
      <c r="T49" s="265">
        <f t="shared" si="22"/>
        <v>0.89706215920559396</v>
      </c>
      <c r="U49" s="265">
        <f t="shared" si="22"/>
        <v>0.90091751569481848</v>
      </c>
      <c r="V49" s="265">
        <f t="shared" si="22"/>
        <v>0.90413736063438055</v>
      </c>
      <c r="W49" s="265">
        <f t="shared" si="22"/>
        <v>0.90613401124797277</v>
      </c>
      <c r="X49" s="303">
        <f t="shared" si="22"/>
        <v>-6079738182336387</v>
      </c>
    </row>
    <row r="50" spans="10:24" x14ac:dyDescent="0.35">
      <c r="J50" s="312" t="s">
        <v>232</v>
      </c>
      <c r="K50" s="313">
        <f>K7</f>
        <v>3.6770735487015723E-3</v>
      </c>
      <c r="L50" s="314">
        <f t="shared" si="22"/>
        <v>3.6770735487015728E-3</v>
      </c>
      <c r="M50" s="314">
        <f t="shared" si="22"/>
        <v>3.371031882215038E-3</v>
      </c>
      <c r="N50" s="314">
        <f t="shared" si="22"/>
        <v>3.1109642025402618E-3</v>
      </c>
      <c r="O50" s="314">
        <f t="shared" si="22"/>
        <v>2.8748946053666845E-3</v>
      </c>
      <c r="P50" s="314">
        <f t="shared" si="22"/>
        <v>2.6883574474603077E-3</v>
      </c>
      <c r="Q50" s="314">
        <f t="shared" si="22"/>
        <v>2.5189592681191544E-3</v>
      </c>
      <c r="R50" s="314">
        <f t="shared" si="22"/>
        <v>2.3483477535105211E-3</v>
      </c>
      <c r="S50" s="314">
        <f t="shared" si="22"/>
        <v>2.2263190451006021E-3</v>
      </c>
      <c r="T50" s="314">
        <f t="shared" si="22"/>
        <v>2.1363857845412512E-3</v>
      </c>
      <c r="U50" s="314">
        <f t="shared" si="22"/>
        <v>2.056371197734747E-3</v>
      </c>
      <c r="V50" s="314">
        <f t="shared" si="22"/>
        <v>1.9895461030540996E-3</v>
      </c>
      <c r="W50" s="314">
        <f t="shared" si="22"/>
        <v>1.9481073478339139E-3</v>
      </c>
      <c r="X50" s="315">
        <f t="shared" si="22"/>
        <v>126179703462188.58</v>
      </c>
    </row>
    <row r="51" spans="10:24" ht="15" thickBot="1" x14ac:dyDescent="0.4">
      <c r="J51" s="266" t="s">
        <v>239</v>
      </c>
      <c r="K51" s="278">
        <f>SUM(K47:K50)</f>
        <v>1</v>
      </c>
      <c r="L51" s="267">
        <f t="shared" ref="L51:X51" si="23">SUM(L47:L50)</f>
        <v>1</v>
      </c>
      <c r="M51" s="267">
        <f t="shared" si="23"/>
        <v>1</v>
      </c>
      <c r="N51" s="267">
        <f t="shared" si="23"/>
        <v>1</v>
      </c>
      <c r="O51" s="267">
        <f t="shared" si="23"/>
        <v>1</v>
      </c>
      <c r="P51" s="267">
        <f t="shared" si="23"/>
        <v>1</v>
      </c>
      <c r="Q51" s="267">
        <f t="shared" si="23"/>
        <v>0.99999999999999989</v>
      </c>
      <c r="R51" s="267">
        <f t="shared" si="23"/>
        <v>0.99999999999999989</v>
      </c>
      <c r="S51" s="267">
        <f t="shared" si="23"/>
        <v>0.99999999999999989</v>
      </c>
      <c r="T51" s="267">
        <f t="shared" si="23"/>
        <v>0.99999999999999989</v>
      </c>
      <c r="U51" s="267">
        <f t="shared" si="23"/>
        <v>0.99999999999999989</v>
      </c>
      <c r="V51" s="267">
        <f t="shared" si="23"/>
        <v>0.99999999999999989</v>
      </c>
      <c r="W51" s="267">
        <f t="shared" si="23"/>
        <v>1</v>
      </c>
      <c r="X51" s="304">
        <f t="shared" si="23"/>
        <v>0.578125</v>
      </c>
    </row>
    <row r="53" spans="10:24" x14ac:dyDescent="0.35">
      <c r="J53" s="268" t="s">
        <v>250</v>
      </c>
      <c r="L53" s="263">
        <v>2023</v>
      </c>
      <c r="M53" s="263">
        <v>2024</v>
      </c>
      <c r="N53" s="263">
        <v>2025</v>
      </c>
      <c r="O53" s="263">
        <v>2026</v>
      </c>
      <c r="P53" s="263">
        <v>2027</v>
      </c>
      <c r="Q53" s="263">
        <v>2028</v>
      </c>
      <c r="R53" s="263">
        <v>2029</v>
      </c>
      <c r="S53" s="263">
        <v>2030</v>
      </c>
      <c r="T53" s="263">
        <v>2031</v>
      </c>
      <c r="U53" s="263">
        <v>2032</v>
      </c>
      <c r="V53" s="263">
        <v>2033</v>
      </c>
      <c r="W53" s="263">
        <v>2034</v>
      </c>
      <c r="X53" s="302">
        <v>2035</v>
      </c>
    </row>
    <row r="54" spans="10:24" x14ac:dyDescent="0.35">
      <c r="J54" s="246" t="s">
        <v>98</v>
      </c>
      <c r="L54" s="255">
        <f>L47*L$42</f>
        <v>42.47893719109112</v>
      </c>
      <c r="M54" s="255">
        <f t="shared" ref="M54:X54" si="24">M47*M$42</f>
        <v>44.889937191091121</v>
      </c>
      <c r="N54" s="255">
        <f t="shared" si="24"/>
        <v>49.297603857757785</v>
      </c>
      <c r="O54" s="255">
        <f t="shared" si="24"/>
        <v>55.715270524424454</v>
      </c>
      <c r="P54" s="255">
        <f t="shared" si="24"/>
        <v>64.711937191091124</v>
      </c>
      <c r="Q54" s="255">
        <f t="shared" si="24"/>
        <v>70.121937191091121</v>
      </c>
      <c r="R54" s="255">
        <f t="shared" si="24"/>
        <v>71.871937191091121</v>
      </c>
      <c r="S54" s="255">
        <f t="shared" si="24"/>
        <v>72.48193719109112</v>
      </c>
      <c r="T54" s="255">
        <f t="shared" si="24"/>
        <v>72.48193719109112</v>
      </c>
      <c r="U54" s="255">
        <f t="shared" si="24"/>
        <v>72.48193719109112</v>
      </c>
      <c r="V54" s="255">
        <f>V47*V$42</f>
        <v>72.48193719109112</v>
      </c>
      <c r="W54" s="255">
        <f>W47*W$42</f>
        <v>72.48193719109112</v>
      </c>
      <c r="X54" s="297">
        <f t="shared" si="24"/>
        <v>72.48193719109112</v>
      </c>
    </row>
    <row r="55" spans="10:24" x14ac:dyDescent="0.35">
      <c r="J55" s="246" t="s">
        <v>99</v>
      </c>
      <c r="L55" s="255">
        <f t="shared" ref="L55:X57" si="25">L48*L$42</f>
        <v>15.378201700839915</v>
      </c>
      <c r="M55" s="255">
        <f t="shared" si="25"/>
        <v>20.036651700839915</v>
      </c>
      <c r="N55" s="255">
        <f t="shared" si="25"/>
        <v>24.295101700839915</v>
      </c>
      <c r="O55" s="255">
        <f t="shared" si="25"/>
        <v>29.084059000839911</v>
      </c>
      <c r="P55" s="255">
        <f t="shared" si="25"/>
        <v>35.637993800839915</v>
      </c>
      <c r="Q55" s="255">
        <f t="shared" si="25"/>
        <v>42.191928600839915</v>
      </c>
      <c r="R55" s="255">
        <f t="shared" si="25"/>
        <v>47.536906100839914</v>
      </c>
      <c r="S55" s="255">
        <f t="shared" si="25"/>
        <v>51.781883600839912</v>
      </c>
      <c r="T55" s="255">
        <f t="shared" si="25"/>
        <v>51.781883600839912</v>
      </c>
      <c r="U55" s="255">
        <f t="shared" si="25"/>
        <v>51.781883600839912</v>
      </c>
      <c r="V55" s="255">
        <f t="shared" si="25"/>
        <v>51.781883600839912</v>
      </c>
      <c r="W55" s="255">
        <f>W48*W$42</f>
        <v>51.781883600839912</v>
      </c>
      <c r="X55" s="297">
        <f t="shared" si="25"/>
        <v>51.781883600839919</v>
      </c>
    </row>
    <row r="56" spans="10:24" x14ac:dyDescent="0.35">
      <c r="J56" s="246" t="s">
        <v>100</v>
      </c>
      <c r="L56" s="255">
        <f t="shared" si="25"/>
        <v>655.74376062482952</v>
      </c>
      <c r="M56" s="255">
        <f t="shared" si="25"/>
        <v>713.69820298257343</v>
      </c>
      <c r="N56" s="255">
        <f t="shared" si="25"/>
        <v>770.34304980629486</v>
      </c>
      <c r="O56" s="255">
        <f t="shared" si="25"/>
        <v>828.65177344497181</v>
      </c>
      <c r="P56" s="255">
        <f t="shared" si="25"/>
        <v>876.66557850543518</v>
      </c>
      <c r="Q56" s="255">
        <f t="shared" si="25"/>
        <v>930.58233722122452</v>
      </c>
      <c r="R56" s="255">
        <f t="shared" si="25"/>
        <v>999.44690661146592</v>
      </c>
      <c r="S56" s="255">
        <f t="shared" si="25"/>
        <v>1056.0628593061533</v>
      </c>
      <c r="T56" s="255">
        <f t="shared" si="25"/>
        <v>1105.8607376236546</v>
      </c>
      <c r="U56" s="255">
        <f t="shared" si="25"/>
        <v>1153.8280688894297</v>
      </c>
      <c r="V56" s="255">
        <f t="shared" si="25"/>
        <v>1196.845219949344</v>
      </c>
      <c r="W56" s="255">
        <f>W49*W$42</f>
        <v>1225.0029337823153</v>
      </c>
      <c r="X56" s="297">
        <f t="shared" si="25"/>
        <v>-126.89746789798403</v>
      </c>
    </row>
    <row r="57" spans="10:24" x14ac:dyDescent="0.35">
      <c r="J57" s="308" t="s">
        <v>232</v>
      </c>
      <c r="K57" s="309"/>
      <c r="L57" s="310">
        <f t="shared" si="25"/>
        <v>2.6336471060530111</v>
      </c>
      <c r="M57" s="310">
        <f t="shared" si="25"/>
        <v>2.6336471060530111</v>
      </c>
      <c r="N57" s="310">
        <f t="shared" si="25"/>
        <v>2.6336471060530111</v>
      </c>
      <c r="O57" s="310">
        <f t="shared" si="25"/>
        <v>2.6336471060530111</v>
      </c>
      <c r="P57" s="310">
        <f t="shared" si="25"/>
        <v>2.6336471060530111</v>
      </c>
      <c r="Q57" s="310">
        <f t="shared" si="25"/>
        <v>2.6336471060530111</v>
      </c>
      <c r="R57" s="310">
        <f t="shared" si="25"/>
        <v>2.6336471060530111</v>
      </c>
      <c r="S57" s="310">
        <f t="shared" si="25"/>
        <v>2.6336471060530111</v>
      </c>
      <c r="T57" s="310">
        <f t="shared" si="25"/>
        <v>2.6336471060530111</v>
      </c>
      <c r="U57" s="310">
        <f t="shared" si="25"/>
        <v>2.6336471060530111</v>
      </c>
      <c r="V57" s="310">
        <f t="shared" si="25"/>
        <v>2.6336471060530111</v>
      </c>
      <c r="W57" s="310">
        <f t="shared" si="25"/>
        <v>2.6336471060530111</v>
      </c>
      <c r="X57" s="311">
        <f t="shared" si="25"/>
        <v>2.6336471060530111</v>
      </c>
    </row>
    <row r="58" spans="10:24" x14ac:dyDescent="0.35">
      <c r="J58" s="262" t="s">
        <v>239</v>
      </c>
      <c r="K58" s="279"/>
      <c r="L58" s="269">
        <f>SUM(L54:L57)</f>
        <v>716.23454662281358</v>
      </c>
      <c r="M58" s="269">
        <f t="shared" ref="M58:X58" si="26">SUM(M54:M57)</f>
        <v>781.25843898055746</v>
      </c>
      <c r="N58" s="269">
        <f t="shared" si="26"/>
        <v>846.56940247094553</v>
      </c>
      <c r="O58" s="269">
        <f t="shared" si="26"/>
        <v>916.0847500762892</v>
      </c>
      <c r="P58" s="269">
        <f t="shared" si="26"/>
        <v>979.64915660341921</v>
      </c>
      <c r="Q58" s="269">
        <f t="shared" si="26"/>
        <v>1045.5298501192087</v>
      </c>
      <c r="R58" s="269">
        <f t="shared" si="26"/>
        <v>1121.4893970094502</v>
      </c>
      <c r="S58" s="269">
        <f t="shared" si="26"/>
        <v>1182.9603272041375</v>
      </c>
      <c r="T58" s="269">
        <f t="shared" si="26"/>
        <v>1232.7582055216387</v>
      </c>
      <c r="U58" s="269">
        <f t="shared" si="26"/>
        <v>1280.7255367874138</v>
      </c>
      <c r="V58" s="269">
        <f t="shared" si="26"/>
        <v>1323.7426878473282</v>
      </c>
      <c r="W58" s="269">
        <f>SUM(W54:W57)</f>
        <v>1351.9004016802994</v>
      </c>
      <c r="X58" s="305">
        <f t="shared" si="26"/>
        <v>2.0872192862952943E-14</v>
      </c>
    </row>
    <row r="59" spans="10:24" x14ac:dyDescent="0.35">
      <c r="L59" s="246" t="b">
        <f>L58=L42</f>
        <v>1</v>
      </c>
      <c r="M59" s="246" t="b">
        <f t="shared" ref="M59:X59" si="27">M58=M42</f>
        <v>1</v>
      </c>
      <c r="N59" s="246" t="b">
        <f t="shared" si="27"/>
        <v>1</v>
      </c>
      <c r="O59" s="246" t="b">
        <f t="shared" si="27"/>
        <v>1</v>
      </c>
      <c r="P59" s="246" t="b">
        <f t="shared" si="27"/>
        <v>1</v>
      </c>
      <c r="Q59" s="246" t="b">
        <f t="shared" si="27"/>
        <v>1</v>
      </c>
      <c r="R59" s="246" t="b">
        <f t="shared" si="27"/>
        <v>1</v>
      </c>
      <c r="S59" s="246" t="b">
        <f t="shared" si="27"/>
        <v>1</v>
      </c>
      <c r="T59" s="246" t="b">
        <f t="shared" si="27"/>
        <v>1</v>
      </c>
      <c r="U59" s="246" t="b">
        <f t="shared" si="27"/>
        <v>1</v>
      </c>
      <c r="V59" s="246" t="b">
        <f t="shared" si="27"/>
        <v>1</v>
      </c>
      <c r="W59" s="246" t="b">
        <f t="shared" si="27"/>
        <v>1</v>
      </c>
      <c r="X59" s="296" t="b">
        <f t="shared" si="27"/>
        <v>1</v>
      </c>
    </row>
    <row r="60" spans="10:24" x14ac:dyDescent="0.35">
      <c r="J60" s="246" t="s">
        <v>98</v>
      </c>
      <c r="M60" s="270">
        <f>M54/L54</f>
        <v>1.0567575405466041</v>
      </c>
      <c r="N60" s="270">
        <f t="shared" ref="N60:X61" si="28">N54/M54</f>
        <v>1.098188301041807</v>
      </c>
      <c r="O60" s="270">
        <f t="shared" si="28"/>
        <v>1.1301821217352483</v>
      </c>
      <c r="P60" s="270">
        <f t="shared" si="28"/>
        <v>1.1614757782199534</v>
      </c>
      <c r="Q60" s="270">
        <f t="shared" si="28"/>
        <v>1.0836012679395539</v>
      </c>
      <c r="R60" s="270">
        <f t="shared" si="28"/>
        <v>1.0249565267318703</v>
      </c>
      <c r="S60" s="270">
        <f t="shared" si="28"/>
        <v>1.0084873181917742</v>
      </c>
      <c r="T60" s="270">
        <f t="shared" si="28"/>
        <v>1</v>
      </c>
      <c r="U60" s="270">
        <f t="shared" si="28"/>
        <v>1</v>
      </c>
      <c r="V60" s="270">
        <f t="shared" si="28"/>
        <v>1</v>
      </c>
      <c r="W60" s="270">
        <f t="shared" si="28"/>
        <v>1</v>
      </c>
      <c r="X60" s="306">
        <f t="shared" si="28"/>
        <v>1</v>
      </c>
    </row>
    <row r="61" spans="10:24" x14ac:dyDescent="0.35">
      <c r="J61" s="246" t="s">
        <v>99</v>
      </c>
      <c r="M61" s="270">
        <f>M55/L55</f>
        <v>1.3029255364588936</v>
      </c>
      <c r="N61" s="270">
        <f t="shared" si="28"/>
        <v>1.2125330151754592</v>
      </c>
      <c r="O61" s="270">
        <f t="shared" si="28"/>
        <v>1.1971161660061886</v>
      </c>
      <c r="P61" s="270">
        <f t="shared" si="28"/>
        <v>1.2253445710521607</v>
      </c>
      <c r="Q61" s="270">
        <f t="shared" si="28"/>
        <v>1.1839030231787497</v>
      </c>
      <c r="R61" s="270">
        <f t="shared" si="28"/>
        <v>1.1266824645672537</v>
      </c>
      <c r="S61" s="270">
        <f t="shared" si="28"/>
        <v>1.0892985650137841</v>
      </c>
      <c r="T61" s="270">
        <f t="shared" si="28"/>
        <v>1</v>
      </c>
      <c r="U61" s="270">
        <f t="shared" si="28"/>
        <v>1</v>
      </c>
      <c r="V61" s="270">
        <f t="shared" si="28"/>
        <v>1</v>
      </c>
      <c r="W61" s="270">
        <f t="shared" si="28"/>
        <v>1</v>
      </c>
      <c r="X61" s="306">
        <f t="shared" si="28"/>
        <v>1.0000000000000002</v>
      </c>
    </row>
    <row r="62" spans="10:24" x14ac:dyDescent="0.35">
      <c r="J62" s="246" t="s">
        <v>100</v>
      </c>
      <c r="M62" s="270">
        <f t="shared" ref="M62:X63" si="29">M56/L56</f>
        <v>1.0883797084131182</v>
      </c>
      <c r="N62" s="270">
        <f t="shared" si="29"/>
        <v>1.0793680670443058</v>
      </c>
      <c r="O62" s="270">
        <f t="shared" si="29"/>
        <v>1.0756918929213923</v>
      </c>
      <c r="P62" s="270">
        <f t="shared" si="29"/>
        <v>1.0579420772381316</v>
      </c>
      <c r="Q62" s="270">
        <f t="shared" si="29"/>
        <v>1.0615020824790546</v>
      </c>
      <c r="R62" s="270">
        <f t="shared" si="29"/>
        <v>1.0740015865719901</v>
      </c>
      <c r="S62" s="270">
        <f t="shared" si="29"/>
        <v>1.0566472839329091</v>
      </c>
      <c r="T62" s="270">
        <f t="shared" si="29"/>
        <v>1.0471542748413851</v>
      </c>
      <c r="U62" s="270">
        <f t="shared" si="29"/>
        <v>1.0433755622510392</v>
      </c>
      <c r="V62" s="270">
        <f t="shared" si="29"/>
        <v>1.0372821152646414</v>
      </c>
      <c r="W62" s="270">
        <f t="shared" si="29"/>
        <v>1.0235266126008866</v>
      </c>
      <c r="X62" s="306">
        <f t="shared" si="29"/>
        <v>-0.10358952162357342</v>
      </c>
    </row>
    <row r="63" spans="10:24" x14ac:dyDescent="0.35">
      <c r="J63" s="246" t="s">
        <v>232</v>
      </c>
      <c r="M63" s="270">
        <f t="shared" si="29"/>
        <v>1</v>
      </c>
      <c r="N63" s="270">
        <f t="shared" si="29"/>
        <v>1</v>
      </c>
      <c r="O63" s="270">
        <f t="shared" si="29"/>
        <v>1</v>
      </c>
      <c r="P63" s="270">
        <f t="shared" si="29"/>
        <v>1</v>
      </c>
      <c r="Q63" s="270">
        <f t="shared" si="29"/>
        <v>1</v>
      </c>
      <c r="R63" s="270">
        <f t="shared" si="29"/>
        <v>1</v>
      </c>
      <c r="S63" s="270">
        <f t="shared" si="29"/>
        <v>1</v>
      </c>
      <c r="T63" s="270">
        <f t="shared" si="29"/>
        <v>1</v>
      </c>
      <c r="U63" s="270">
        <f t="shared" si="29"/>
        <v>1</v>
      </c>
      <c r="V63" s="270">
        <f t="shared" si="29"/>
        <v>1</v>
      </c>
      <c r="W63" s="270">
        <f t="shared" si="29"/>
        <v>1</v>
      </c>
      <c r="X63" s="306">
        <f t="shared" si="29"/>
        <v>1</v>
      </c>
    </row>
    <row r="65" spans="9:23" x14ac:dyDescent="0.35">
      <c r="I65" s="308" t="s">
        <v>269</v>
      </c>
    </row>
    <row r="66" spans="9:23" x14ac:dyDescent="0.35">
      <c r="L66" s="263">
        <v>2023</v>
      </c>
      <c r="M66" s="263">
        <v>2024</v>
      </c>
      <c r="N66" s="263">
        <v>2025</v>
      </c>
      <c r="O66" s="263">
        <v>2026</v>
      </c>
      <c r="P66" s="263">
        <v>2027</v>
      </c>
      <c r="Q66" s="263">
        <v>2028</v>
      </c>
      <c r="R66" s="263">
        <v>2029</v>
      </c>
      <c r="S66" s="263">
        <v>2030</v>
      </c>
      <c r="T66" s="263">
        <v>2031</v>
      </c>
      <c r="U66" s="263">
        <v>2032</v>
      </c>
      <c r="V66" s="263">
        <v>2033</v>
      </c>
      <c r="W66" s="263">
        <v>2034</v>
      </c>
    </row>
    <row r="67" spans="9:23" x14ac:dyDescent="0.35">
      <c r="J67" s="264" t="s">
        <v>98</v>
      </c>
      <c r="L67" s="265">
        <f>L47/SUM(L$47:L$49)</f>
        <v>5.9527583583284714E-2</v>
      </c>
      <c r="M67" s="265">
        <f t="shared" ref="M67:W67" si="30">M47/SUM(M$47:M$49)</f>
        <v>5.7652848534427731E-2</v>
      </c>
      <c r="N67" s="265">
        <f t="shared" si="30"/>
        <v>5.8413929667481587E-2</v>
      </c>
      <c r="O67" s="265">
        <f t="shared" si="30"/>
        <v>6.0994256116454516E-2</v>
      </c>
      <c r="P67" s="265">
        <f t="shared" si="30"/>
        <v>6.6234298802874403E-2</v>
      </c>
      <c r="Q67" s="265">
        <f t="shared" si="30"/>
        <v>6.7237695360759284E-2</v>
      </c>
      <c r="R67" s="265">
        <f t="shared" si="30"/>
        <v>6.4237000343696324E-2</v>
      </c>
      <c r="S67" s="265">
        <f t="shared" si="30"/>
        <v>6.1408369744779402E-2</v>
      </c>
      <c r="T67" s="265">
        <f t="shared" si="30"/>
        <v>5.8922437321671454E-2</v>
      </c>
      <c r="U67" s="265">
        <f t="shared" si="30"/>
        <v>5.6711053231987482E-2</v>
      </c>
      <c r="V67" s="265">
        <f t="shared" si="30"/>
        <v>5.4864462323580394E-2</v>
      </c>
      <c r="W67" s="265">
        <f t="shared" si="30"/>
        <v>5.3719501310889699E-2</v>
      </c>
    </row>
    <row r="68" spans="9:23" x14ac:dyDescent="0.35">
      <c r="J68" s="264" t="s">
        <v>99</v>
      </c>
      <c r="L68" s="265">
        <f t="shared" ref="L68:W68" si="31">L48/SUM(L$47:L$49)</f>
        <v>2.1550143380219666E-2</v>
      </c>
      <c r="M68" s="265">
        <f t="shared" si="31"/>
        <v>2.5733385206759943E-2</v>
      </c>
      <c r="N68" s="265">
        <f t="shared" si="31"/>
        <v>2.8787856831987688E-2</v>
      </c>
      <c r="O68" s="265">
        <f t="shared" si="31"/>
        <v>3.1839754647258425E-2</v>
      </c>
      <c r="P68" s="265">
        <f t="shared" si="31"/>
        <v>3.6476384923688862E-2</v>
      </c>
      <c r="Q68" s="265">
        <f t="shared" si="31"/>
        <v>4.0456498430944704E-2</v>
      </c>
      <c r="R68" s="265">
        <f t="shared" si="31"/>
        <v>4.2487073159291802E-2</v>
      </c>
      <c r="S68" s="265">
        <f t="shared" si="31"/>
        <v>4.3870806679161801E-2</v>
      </c>
      <c r="T68" s="265">
        <f t="shared" si="31"/>
        <v>4.2094829541112135E-2</v>
      </c>
      <c r="U68" s="265">
        <f t="shared" si="31"/>
        <v>4.0514992716016357E-2</v>
      </c>
      <c r="V68" s="265">
        <f t="shared" si="31"/>
        <v>3.9195768103884199E-2</v>
      </c>
      <c r="W68" s="265">
        <f t="shared" si="31"/>
        <v>3.8377795513963725E-2</v>
      </c>
    </row>
    <row r="69" spans="9:23" x14ac:dyDescent="0.35">
      <c r="J69" s="264" t="s">
        <v>100</v>
      </c>
      <c r="L69" s="265">
        <f t="shared" ref="L69:W69" si="32">L49/SUM(L$47:L$49)</f>
        <v>0.91892227303649554</v>
      </c>
      <c r="M69" s="265">
        <f t="shared" si="32"/>
        <v>0.9166137662588123</v>
      </c>
      <c r="N69" s="265">
        <f t="shared" si="32"/>
        <v>0.9127982135005307</v>
      </c>
      <c r="O69" s="265">
        <f t="shared" si="32"/>
        <v>0.90716598923628711</v>
      </c>
      <c r="P69" s="265">
        <f t="shared" si="32"/>
        <v>0.89728931627343678</v>
      </c>
      <c r="Q69" s="265">
        <f t="shared" si="32"/>
        <v>0.89230580620829603</v>
      </c>
      <c r="R69" s="265">
        <f t="shared" si="32"/>
        <v>0.89327592649701182</v>
      </c>
      <c r="S69" s="265">
        <f t="shared" si="32"/>
        <v>0.89472082357605887</v>
      </c>
      <c r="T69" s="265">
        <f t="shared" si="32"/>
        <v>0.89898273313721644</v>
      </c>
      <c r="U69" s="265">
        <f t="shared" si="32"/>
        <v>0.90277395405199623</v>
      </c>
      <c r="V69" s="265">
        <f t="shared" si="32"/>
        <v>0.90593976957253541</v>
      </c>
      <c r="W69" s="265">
        <f t="shared" si="32"/>
        <v>0.90790270317514654</v>
      </c>
    </row>
    <row r="70" spans="9:23" x14ac:dyDescent="0.35">
      <c r="J70" s="262" t="s">
        <v>271</v>
      </c>
      <c r="K70" s="279"/>
      <c r="L70" s="317">
        <f>SUM(L67:L69)</f>
        <v>0.99999999999999989</v>
      </c>
      <c r="M70" s="317">
        <f t="shared" ref="M70:W70" si="33">SUM(M67:M69)</f>
        <v>1</v>
      </c>
      <c r="N70" s="317">
        <f t="shared" si="33"/>
        <v>1</v>
      </c>
      <c r="O70" s="317">
        <f t="shared" si="33"/>
        <v>1</v>
      </c>
      <c r="P70" s="317">
        <f t="shared" si="33"/>
        <v>1</v>
      </c>
      <c r="Q70" s="317">
        <f t="shared" si="33"/>
        <v>1</v>
      </c>
      <c r="R70" s="317">
        <f t="shared" si="33"/>
        <v>1</v>
      </c>
      <c r="S70" s="317">
        <f t="shared" si="33"/>
        <v>1</v>
      </c>
      <c r="T70" s="317">
        <f t="shared" si="33"/>
        <v>1</v>
      </c>
      <c r="U70" s="317">
        <f t="shared" si="33"/>
        <v>1</v>
      </c>
      <c r="V70" s="317">
        <f t="shared" si="33"/>
        <v>1</v>
      </c>
      <c r="W70" s="317">
        <f t="shared" si="33"/>
        <v>1</v>
      </c>
    </row>
  </sheetData>
  <mergeCells count="2">
    <mergeCell ref="J45:J46"/>
    <mergeCell ref="L45:X45"/>
  </mergeCells>
  <hyperlinks>
    <hyperlink ref="C9" r:id="rId1" display="https://www.siliconvalleypower.com/svp-and-community/about-svp/utility-fact-sheet"/>
  </hyperlinks>
  <pageMargins left="0.7" right="0.7" top="0.75" bottom="0.75" header="0.3" footer="0.3"/>
  <pageSetup orientation="portrait" horizontalDpi="1200" verticalDpi="120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J36"/>
  <sheetViews>
    <sheetView zoomScale="130" zoomScaleNormal="130" workbookViewId="0">
      <selection sqref="A1:H1"/>
    </sheetView>
  </sheetViews>
  <sheetFormatPr defaultRowHeight="10" x14ac:dyDescent="0.2"/>
  <cols>
    <col min="1" max="1" width="11.77734375" customWidth="1"/>
    <col min="2" max="3" width="12.6640625" customWidth="1"/>
    <col min="4" max="5" width="12.6640625" style="231" customWidth="1"/>
    <col min="6" max="9" width="12.6640625" customWidth="1"/>
  </cols>
  <sheetData>
    <row r="1" spans="1:7" x14ac:dyDescent="0.2">
      <c r="A1" t="s">
        <v>204</v>
      </c>
    </row>
    <row r="2" spans="1:7" x14ac:dyDescent="0.2">
      <c r="A2" t="s">
        <v>205</v>
      </c>
    </row>
    <row r="3" spans="1:7" x14ac:dyDescent="0.2">
      <c r="A3" t="s">
        <v>217</v>
      </c>
    </row>
    <row r="4" spans="1:7" ht="30" x14ac:dyDescent="0.2">
      <c r="A4" s="226" t="s">
        <v>115</v>
      </c>
      <c r="B4" s="226" t="s">
        <v>209</v>
      </c>
      <c r="C4" s="226" t="s">
        <v>216</v>
      </c>
      <c r="D4" s="232" t="s">
        <v>218</v>
      </c>
      <c r="E4" s="232" t="s">
        <v>214</v>
      </c>
      <c r="F4" s="226" t="s">
        <v>206</v>
      </c>
      <c r="G4" s="226" t="s">
        <v>213</v>
      </c>
    </row>
    <row r="5" spans="1:7" s="227" customFormat="1" x14ac:dyDescent="0.2">
      <c r="A5" s="227">
        <v>2021</v>
      </c>
      <c r="B5" s="229">
        <v>594.79999999999995</v>
      </c>
      <c r="C5" s="233">
        <v>8760</v>
      </c>
      <c r="D5" s="233">
        <f>4133860446/1000/1000</f>
        <v>4133.8604459999997</v>
      </c>
      <c r="E5" s="234">
        <f>D5/(B5*8760/1000)</f>
        <v>0.79337908103103605</v>
      </c>
      <c r="F5" s="227" t="s">
        <v>207</v>
      </c>
      <c r="G5" s="228" t="s">
        <v>212</v>
      </c>
    </row>
    <row r="6" spans="1:7" s="227" customFormat="1" x14ac:dyDescent="0.2">
      <c r="A6" s="227">
        <v>2022</v>
      </c>
      <c r="B6" s="229">
        <v>693.9</v>
      </c>
      <c r="C6" s="233">
        <v>8760</v>
      </c>
      <c r="D6" s="233">
        <f>4516175662/1000/1000</f>
        <v>4516.1756619999996</v>
      </c>
      <c r="E6" s="234">
        <f>D6/(B6*8760/1000)</f>
        <v>0.74296752686983303</v>
      </c>
      <c r="F6" s="227" t="s">
        <v>207</v>
      </c>
      <c r="G6" s="228" t="s">
        <v>211</v>
      </c>
    </row>
    <row r="7" spans="1:7" x14ac:dyDescent="0.2">
      <c r="A7">
        <v>2023</v>
      </c>
      <c r="B7" s="230">
        <v>750.61260388054234</v>
      </c>
      <c r="C7" s="231">
        <v>8760</v>
      </c>
      <c r="D7" s="231">
        <f>(C7*B7*E7)/1000</f>
        <v>5222.1494135519661</v>
      </c>
      <c r="E7" s="235">
        <v>0.79419899788627712</v>
      </c>
    </row>
    <row r="8" spans="1:7" x14ac:dyDescent="0.2">
      <c r="A8">
        <v>2024</v>
      </c>
      <c r="B8" s="230">
        <v>818.75753403956969</v>
      </c>
      <c r="C8" s="231">
        <v>8784</v>
      </c>
      <c r="D8" s="231">
        <f t="shared" ref="D8:D18" si="0">(C8*B8*E8)/1000</f>
        <v>5799.1434992204267</v>
      </c>
      <c r="E8" s="235">
        <v>0.80633631400417349</v>
      </c>
    </row>
    <row r="9" spans="1:7" x14ac:dyDescent="0.2">
      <c r="A9">
        <v>2025</v>
      </c>
      <c r="B9" s="230">
        <v>887.20331426424809</v>
      </c>
      <c r="C9" s="231">
        <v>8760</v>
      </c>
      <c r="D9" s="231">
        <f t="shared" si="0"/>
        <v>6330.6562225234993</v>
      </c>
      <c r="E9" s="235">
        <v>0.81455697848955178</v>
      </c>
    </row>
    <row r="10" spans="1:7" x14ac:dyDescent="0.2">
      <c r="A10">
        <v>2026</v>
      </c>
      <c r="B10" s="230">
        <v>960.0552819914999</v>
      </c>
      <c r="C10" s="231">
        <v>8760</v>
      </c>
      <c r="D10" s="231">
        <f t="shared" si="0"/>
        <v>6902.163898899048</v>
      </c>
      <c r="E10" s="235">
        <v>0.82070092012259155</v>
      </c>
    </row>
    <row r="11" spans="1:7" x14ac:dyDescent="0.2">
      <c r="A11">
        <v>2027</v>
      </c>
      <c r="B11" s="230">
        <v>1026.6706734473057</v>
      </c>
      <c r="C11" s="231">
        <v>8760</v>
      </c>
      <c r="D11" s="231">
        <f t="shared" si="0"/>
        <v>7407.6132547019924</v>
      </c>
      <c r="E11" s="235">
        <v>0.82365063434667274</v>
      </c>
    </row>
    <row r="12" spans="1:7" x14ac:dyDescent="0.2">
      <c r="A12">
        <v>2028</v>
      </c>
      <c r="B12" s="230">
        <v>1095.7135297832829</v>
      </c>
      <c r="C12" s="231">
        <v>8784</v>
      </c>
      <c r="D12" s="231">
        <f t="shared" si="0"/>
        <v>7947.9542522337761</v>
      </c>
      <c r="E12" s="235">
        <v>0.82578313165994699</v>
      </c>
    </row>
    <row r="13" spans="1:7" x14ac:dyDescent="0.2">
      <c r="A13">
        <v>2029</v>
      </c>
      <c r="B13" s="230">
        <v>1175.3190075554915</v>
      </c>
      <c r="C13" s="231">
        <v>8760</v>
      </c>
      <c r="D13" s="231">
        <f t="shared" si="0"/>
        <v>8518.5615495877882</v>
      </c>
      <c r="E13" s="235">
        <v>0.82738263127430445</v>
      </c>
    </row>
    <row r="14" spans="1:7" x14ac:dyDescent="0.2">
      <c r="A14">
        <v>2030</v>
      </c>
      <c r="B14" s="230">
        <v>1239.740439325233</v>
      </c>
      <c r="C14" s="231">
        <v>8760</v>
      </c>
      <c r="D14" s="231">
        <f t="shared" si="0"/>
        <v>9002.431215306271</v>
      </c>
      <c r="E14" s="235">
        <v>0.82894351403684385</v>
      </c>
    </row>
    <row r="15" spans="1:7" x14ac:dyDescent="0.2">
      <c r="A15">
        <v>2031</v>
      </c>
      <c r="B15" s="230">
        <v>1291.9285323010254</v>
      </c>
      <c r="C15" s="231">
        <v>8760</v>
      </c>
      <c r="D15" s="231">
        <f t="shared" si="0"/>
        <v>9398.3646553788276</v>
      </c>
      <c r="E15" s="235">
        <v>0.83044274565543574</v>
      </c>
    </row>
    <row r="16" spans="1:7" x14ac:dyDescent="0.2">
      <c r="A16">
        <v>2032</v>
      </c>
      <c r="B16" s="230">
        <v>1342.1982150360657</v>
      </c>
      <c r="C16" s="231">
        <v>8784</v>
      </c>
      <c r="D16" s="231">
        <f t="shared" si="0"/>
        <v>9797.1043186748138</v>
      </c>
      <c r="E16" s="235">
        <v>0.83097651197218836</v>
      </c>
    </row>
    <row r="17" spans="1:10" x14ac:dyDescent="0.2">
      <c r="A17">
        <v>2033</v>
      </c>
      <c r="B17" s="230">
        <v>1387.2801172158124</v>
      </c>
      <c r="C17" s="231">
        <v>8760</v>
      </c>
      <c r="D17" s="231">
        <f t="shared" si="0"/>
        <v>10101.582623003551</v>
      </c>
      <c r="E17" s="235">
        <v>0.83122989145870063</v>
      </c>
    </row>
    <row r="18" spans="1:10" x14ac:dyDescent="0.2">
      <c r="A18">
        <v>2034</v>
      </c>
      <c r="B18" s="230">
        <v>1416.7893540979869</v>
      </c>
      <c r="C18" s="231">
        <v>8760</v>
      </c>
      <c r="D18" s="231">
        <f t="shared" si="0"/>
        <v>10316.456310594</v>
      </c>
      <c r="E18" s="235">
        <v>0.83122989145870063</v>
      </c>
    </row>
    <row r="20" spans="1:10" x14ac:dyDescent="0.2">
      <c r="A20" s="244" t="s">
        <v>215</v>
      </c>
      <c r="F20" s="244" t="s">
        <v>270</v>
      </c>
    </row>
    <row r="21" spans="1:10" x14ac:dyDescent="0.2">
      <c r="B21" t="s">
        <v>222</v>
      </c>
      <c r="C21" t="s">
        <v>222</v>
      </c>
      <c r="D21" s="231" t="s">
        <v>222</v>
      </c>
      <c r="E21" s="231" t="s">
        <v>222</v>
      </c>
      <c r="F21" t="s">
        <v>210</v>
      </c>
      <c r="G21" t="s">
        <v>210</v>
      </c>
      <c r="H21" t="s">
        <v>210</v>
      </c>
      <c r="I21" t="s">
        <v>210</v>
      </c>
    </row>
    <row r="22" spans="1:10" ht="20" x14ac:dyDescent="0.2">
      <c r="A22" s="226" t="s">
        <v>115</v>
      </c>
      <c r="B22" s="226" t="s">
        <v>62</v>
      </c>
      <c r="C22" s="226" t="s">
        <v>63</v>
      </c>
      <c r="D22" s="226" t="s">
        <v>64</v>
      </c>
      <c r="E22" s="226" t="s">
        <v>65</v>
      </c>
      <c r="F22" s="226" t="s">
        <v>62</v>
      </c>
      <c r="G22" s="226" t="s">
        <v>63</v>
      </c>
      <c r="H22" s="226" t="s">
        <v>64</v>
      </c>
      <c r="I22" s="226" t="s">
        <v>65</v>
      </c>
      <c r="J22" s="226" t="s">
        <v>206</v>
      </c>
    </row>
    <row r="23" spans="1:10" s="227" customFormat="1" x14ac:dyDescent="0.2">
      <c r="A23" s="227">
        <v>2021</v>
      </c>
      <c r="B23" s="236">
        <f>$B$5</f>
        <v>594.79999999999995</v>
      </c>
      <c r="C23" s="236">
        <f t="shared" ref="C23:E23" si="1">$B$5</f>
        <v>594.79999999999995</v>
      </c>
      <c r="D23" s="233">
        <f>$B$5</f>
        <v>594.79999999999995</v>
      </c>
      <c r="E23" s="236">
        <f t="shared" si="1"/>
        <v>594.79999999999995</v>
      </c>
      <c r="F23" s="236">
        <f>$D$5</f>
        <v>4133.8604459999997</v>
      </c>
      <c r="G23" s="236">
        <f t="shared" ref="G23:I23" si="2">$D$5</f>
        <v>4133.8604459999997</v>
      </c>
      <c r="H23" s="236">
        <f t="shared" si="2"/>
        <v>4133.8604459999997</v>
      </c>
      <c r="I23" s="236">
        <f t="shared" si="2"/>
        <v>4133.8604459999997</v>
      </c>
      <c r="J23" s="245" t="s">
        <v>227</v>
      </c>
    </row>
    <row r="24" spans="1:10" s="227" customFormat="1" x14ac:dyDescent="0.2">
      <c r="A24" s="227">
        <v>2022</v>
      </c>
      <c r="B24" s="236">
        <f>$B$6</f>
        <v>693.9</v>
      </c>
      <c r="C24" s="236">
        <f t="shared" ref="C24:E24" si="3">$B$6</f>
        <v>693.9</v>
      </c>
      <c r="D24" s="233">
        <f t="shared" si="3"/>
        <v>693.9</v>
      </c>
      <c r="E24" s="236">
        <f t="shared" si="3"/>
        <v>693.9</v>
      </c>
      <c r="F24" s="236">
        <f>$D$6</f>
        <v>4516.1756619999996</v>
      </c>
      <c r="G24" s="236">
        <f t="shared" ref="G24:I24" si="4">$D$6</f>
        <v>4516.1756619999996</v>
      </c>
      <c r="H24" s="236">
        <f t="shared" si="4"/>
        <v>4516.1756619999996</v>
      </c>
      <c r="I24" s="236">
        <f t="shared" si="4"/>
        <v>4516.1756619999996</v>
      </c>
      <c r="J24" s="245" t="s">
        <v>227</v>
      </c>
    </row>
    <row r="25" spans="1:10" x14ac:dyDescent="0.2">
      <c r="A25">
        <v>2023</v>
      </c>
      <c r="B25" s="231">
        <f>D25*(1+'Weather Scalars'!$D$4)</f>
        <v>716.23454662281358</v>
      </c>
      <c r="C25" s="231">
        <f>D25*(1+'Weather Scalars'!$D$5)</f>
        <v>737.47688331263282</v>
      </c>
      <c r="D25" s="231">
        <f t="shared" ref="D25:D36" si="5">B7</f>
        <v>750.61260388054234</v>
      </c>
      <c r="E25" s="231">
        <f>D25*(1+'Weather Scalars'!$D$7)</f>
        <v>760.67081277254169</v>
      </c>
      <c r="F25" s="231">
        <f>(B25*$E7*$C7)/1000</f>
        <v>4982.9749704112855</v>
      </c>
      <c r="G25" s="231">
        <f t="shared" ref="G25:I25" si="6">(C25*$E7*$C7)/1000</f>
        <v>5130.7617988148058</v>
      </c>
      <c r="H25" s="231">
        <f t="shared" si="6"/>
        <v>5222.1494135519661</v>
      </c>
      <c r="I25" s="231">
        <f t="shared" si="6"/>
        <v>5292.1262156935636</v>
      </c>
    </row>
    <row r="26" spans="1:10" x14ac:dyDescent="0.2">
      <c r="A26">
        <v>2024</v>
      </c>
      <c r="B26" s="231">
        <f>D26*(1+'Weather Scalars'!$D$4)</f>
        <v>781.25843898055746</v>
      </c>
      <c r="C26" s="231">
        <f>D26*(1+'Weather Scalars'!$D$5)</f>
        <v>804.42927719387728</v>
      </c>
      <c r="D26" s="231">
        <f t="shared" si="5"/>
        <v>818.75753403956969</v>
      </c>
      <c r="E26" s="231">
        <f>D26*(1+'Weather Scalars'!$D$7)</f>
        <v>829.72888499570001</v>
      </c>
      <c r="F26" s="231">
        <f t="shared" ref="F26:I26" si="7">(B26*$E8*$C8)/1000</f>
        <v>5533.5427269561314</v>
      </c>
      <c r="G26" s="231">
        <f t="shared" si="7"/>
        <v>5697.6584879840693</v>
      </c>
      <c r="H26" s="231">
        <f t="shared" si="7"/>
        <v>5799.1434992204258</v>
      </c>
      <c r="I26" s="231">
        <f t="shared" si="7"/>
        <v>5876.8520221099816</v>
      </c>
    </row>
    <row r="27" spans="1:10" x14ac:dyDescent="0.2">
      <c r="A27">
        <v>2025</v>
      </c>
      <c r="B27" s="231">
        <f>D27*(1+'Weather Scalars'!$D$4)</f>
        <v>846.56940247094553</v>
      </c>
      <c r="C27" s="231">
        <f>D27*(1+'Weather Scalars'!$D$5)</f>
        <v>871.67725626462379</v>
      </c>
      <c r="D27" s="231">
        <f t="shared" si="5"/>
        <v>887.20331426424809</v>
      </c>
      <c r="E27" s="231">
        <f>D27*(1+'Weather Scalars'!$D$7)</f>
        <v>899.09183867538911</v>
      </c>
      <c r="F27" s="231">
        <f t="shared" ref="F27:I27" si="8">(B27*$E9*$C9)/1000</f>
        <v>6040.7121675319222</v>
      </c>
      <c r="G27" s="231">
        <f t="shared" si="8"/>
        <v>6219.8697386293379</v>
      </c>
      <c r="H27" s="231">
        <f t="shared" si="8"/>
        <v>6330.6562225234993</v>
      </c>
      <c r="I27" s="231">
        <f t="shared" si="8"/>
        <v>6415.4870159053144</v>
      </c>
    </row>
    <row r="28" spans="1:10" x14ac:dyDescent="0.2">
      <c r="A28">
        <v>2026</v>
      </c>
      <c r="B28" s="231">
        <f>D28*(1+'Weather Scalars'!$D$4)</f>
        <v>916.0847500762892</v>
      </c>
      <c r="C28" s="231">
        <f>D28*(1+'Weather Scalars'!$D$5)</f>
        <v>943.25431455664864</v>
      </c>
      <c r="D28" s="231">
        <f t="shared" si="5"/>
        <v>960.0552819914999</v>
      </c>
      <c r="E28" s="231">
        <f>D28*(1+'Weather Scalars'!$D$7)</f>
        <v>972.92002277018605</v>
      </c>
      <c r="F28" s="231">
        <f t="shared" ref="F28:I28" si="9">(B28*$E10*$C10)/1000</f>
        <v>6586.0447923294714</v>
      </c>
      <c r="G28" s="231">
        <f t="shared" si="9"/>
        <v>6781.3760306683143</v>
      </c>
      <c r="H28" s="231">
        <f t="shared" si="9"/>
        <v>6902.163898899048</v>
      </c>
      <c r="I28" s="231">
        <f t="shared" si="9"/>
        <v>6994.6528951442951</v>
      </c>
    </row>
    <row r="29" spans="1:10" x14ac:dyDescent="0.2">
      <c r="A29">
        <v>2027</v>
      </c>
      <c r="B29" s="231">
        <f>D29*(1+'Weather Scalars'!$D$4)</f>
        <v>979.64915660341921</v>
      </c>
      <c r="C29" s="231">
        <f>D29*(1+'Weather Scalars'!$D$5)</f>
        <v>1008.7039366619779</v>
      </c>
      <c r="D29" s="231">
        <f t="shared" si="5"/>
        <v>1026.6706734473057</v>
      </c>
      <c r="E29" s="231">
        <f>D29*(1+'Weather Scalars'!$D$7)</f>
        <v>1040.4280604714997</v>
      </c>
      <c r="F29" s="231">
        <f t="shared" ref="F29:I29" si="10">(B29*$E11*$C11)/1000</f>
        <v>7068.3445676366418</v>
      </c>
      <c r="G29" s="231">
        <f t="shared" si="10"/>
        <v>7277.9800227447067</v>
      </c>
      <c r="H29" s="231">
        <f t="shared" si="10"/>
        <v>7407.6132547019915</v>
      </c>
      <c r="I29" s="231">
        <f t="shared" si="10"/>
        <v>7506.8752723149992</v>
      </c>
    </row>
    <row r="30" spans="1:10" x14ac:dyDescent="0.2">
      <c r="A30">
        <v>2028</v>
      </c>
      <c r="B30" s="231">
        <f>D30*(1+'Weather Scalars'!$D$4)</f>
        <v>1045.5298501192085</v>
      </c>
      <c r="C30" s="231">
        <f>D30*(1+'Weather Scalars'!$D$5)</f>
        <v>1076.5385430120755</v>
      </c>
      <c r="D30" s="231">
        <f t="shared" si="5"/>
        <v>1095.7135297832829</v>
      </c>
      <c r="E30" s="231">
        <f>D30*(1+'Weather Scalars'!$D$7)</f>
        <v>1110.3960910823789</v>
      </c>
      <c r="F30" s="231">
        <f t="shared" ref="F30:I30" si="11">(B30*$E12*$C12)/1000</f>
        <v>7583.9379474814696</v>
      </c>
      <c r="G30" s="231">
        <f t="shared" si="11"/>
        <v>7808.8650528196858</v>
      </c>
      <c r="H30" s="231">
        <f t="shared" si="11"/>
        <v>7947.954252233777</v>
      </c>
      <c r="I30" s="231">
        <f t="shared" si="11"/>
        <v>8054.4568392137098</v>
      </c>
    </row>
    <row r="31" spans="1:10" x14ac:dyDescent="0.2">
      <c r="A31">
        <v>2029</v>
      </c>
      <c r="B31" s="231">
        <f>D31*(1+'Weather Scalars'!$D$4)</f>
        <v>1121.4893970094499</v>
      </c>
      <c r="C31" s="231">
        <f>D31*(1+'Weather Scalars'!$D$5)</f>
        <v>1154.7509249232703</v>
      </c>
      <c r="D31" s="231">
        <f t="shared" si="5"/>
        <v>1175.3190075554915</v>
      </c>
      <c r="E31" s="231">
        <f>D31*(1+'Weather Scalars'!$D$7)</f>
        <v>1191.0682822567351</v>
      </c>
      <c r="F31" s="231">
        <f t="shared" ref="F31:I31" si="12">(B31*$E13*$C13)/1000</f>
        <v>8128.4114306166666</v>
      </c>
      <c r="G31" s="231">
        <f t="shared" si="12"/>
        <v>8369.486722470001</v>
      </c>
      <c r="H31" s="231">
        <f t="shared" si="12"/>
        <v>8518.5615495877882</v>
      </c>
      <c r="I31" s="231">
        <f t="shared" si="12"/>
        <v>8632.7102743522628</v>
      </c>
    </row>
    <row r="32" spans="1:10" x14ac:dyDescent="0.2">
      <c r="A32">
        <v>2030</v>
      </c>
      <c r="B32" s="231">
        <f>D32*(1+'Weather Scalars'!$D$4)</f>
        <v>1182.9603272041375</v>
      </c>
      <c r="C32" s="231">
        <f>D32*(1+'Weather Scalars'!$D$5)</f>
        <v>1218.0449816370415</v>
      </c>
      <c r="D32" s="231">
        <f t="shared" si="5"/>
        <v>1239.740439325233</v>
      </c>
      <c r="E32" s="231">
        <f>D32*(1+'Weather Scalars'!$D$7)</f>
        <v>1256.3529612121911</v>
      </c>
      <c r="F32" s="231">
        <f t="shared" ref="F32:I32" si="13">(B32*$E14*$C14)/1000</f>
        <v>8590.119865645247</v>
      </c>
      <c r="G32" s="231">
        <f t="shared" si="13"/>
        <v>8844.8886690384134</v>
      </c>
      <c r="H32" s="231">
        <f t="shared" si="13"/>
        <v>9002.431215306271</v>
      </c>
      <c r="I32" s="231">
        <f t="shared" si="13"/>
        <v>9123.0637935913746</v>
      </c>
    </row>
    <row r="33" spans="1:9" x14ac:dyDescent="0.2">
      <c r="A33">
        <v>2031</v>
      </c>
      <c r="B33" s="231">
        <f>D33*(1+'Weather Scalars'!$D$4)</f>
        <v>1232.7582055216385</v>
      </c>
      <c r="C33" s="231">
        <f>D33*(1+'Weather Scalars'!$D$5)</f>
        <v>1269.3197829857575</v>
      </c>
      <c r="D33" s="231">
        <f t="shared" si="5"/>
        <v>1291.9285323010254</v>
      </c>
      <c r="E33" s="231">
        <f>D33*(1+'Weather Scalars'!$D$7)</f>
        <v>1309.2403746338591</v>
      </c>
      <c r="F33" s="231">
        <f t="shared" ref="F33:I33" si="14">(B33*$E15*$C15)/1000</f>
        <v>8967.9195541624795</v>
      </c>
      <c r="G33" s="231">
        <f t="shared" si="14"/>
        <v>9233.8932739096999</v>
      </c>
      <c r="H33" s="231">
        <f t="shared" si="14"/>
        <v>9398.3646553788294</v>
      </c>
      <c r="I33" s="231">
        <f t="shared" si="14"/>
        <v>9524.3027417609046</v>
      </c>
    </row>
    <row r="34" spans="1:9" x14ac:dyDescent="0.2">
      <c r="A34">
        <v>2032</v>
      </c>
      <c r="B34" s="231">
        <f>D34*(1+'Weather Scalars'!$D$4)</f>
        <v>1280.7255367874138</v>
      </c>
      <c r="C34" s="231">
        <f>D34*(1+'Weather Scalars'!$D$5)</f>
        <v>1318.7097462729346</v>
      </c>
      <c r="D34" s="231">
        <f t="shared" si="5"/>
        <v>1342.1982150360657</v>
      </c>
      <c r="E34" s="231">
        <f>D34*(1+'Weather Scalars'!$D$7)</f>
        <v>1360.183671117549</v>
      </c>
      <c r="F34" s="231">
        <f t="shared" ref="F34:I34" si="15">(B34*$E16*$C16)/1000</f>
        <v>9348.3969408795074</v>
      </c>
      <c r="G34" s="231">
        <f t="shared" si="15"/>
        <v>9625.6549930980054</v>
      </c>
      <c r="H34" s="231">
        <f t="shared" si="15"/>
        <v>9797.1043186748157</v>
      </c>
      <c r="I34" s="231">
        <f t="shared" si="15"/>
        <v>9928.3855165450568</v>
      </c>
    </row>
    <row r="35" spans="1:9" x14ac:dyDescent="0.2">
      <c r="A35">
        <v>2033</v>
      </c>
      <c r="B35" s="231">
        <f>D35*(1+'Weather Scalars'!$D$4)</f>
        <v>1323.7426878473282</v>
      </c>
      <c r="C35" s="231">
        <f>D35*(1+'Weather Scalars'!$D$5)</f>
        <v>1363.0027151645359</v>
      </c>
      <c r="D35" s="231">
        <f t="shared" si="5"/>
        <v>1387.2801172158124</v>
      </c>
      <c r="E35" s="231">
        <f>D35*(1+'Weather Scalars'!$D$7)</f>
        <v>1405.8696707865045</v>
      </c>
      <c r="F35" s="231">
        <f t="shared" ref="F35:I35" si="16">(B35*$E17*$C17)/1000</f>
        <v>9638.9301388699896</v>
      </c>
      <c r="G35" s="231">
        <f t="shared" si="16"/>
        <v>9924.8049271009913</v>
      </c>
      <c r="H35" s="231">
        <f t="shared" si="16"/>
        <v>10101.582623003553</v>
      </c>
      <c r="I35" s="231">
        <f t="shared" si="16"/>
        <v>10236.9438301518</v>
      </c>
    </row>
    <row r="36" spans="1:9" x14ac:dyDescent="0.2">
      <c r="A36">
        <v>2034</v>
      </c>
      <c r="B36" s="231">
        <f>D36*(1+'Weather Scalars'!$D$4)</f>
        <v>1351.9004016802992</v>
      </c>
      <c r="C36" s="231">
        <f>D36*(1+'Weather Scalars'!$D$5)</f>
        <v>1391.9955404012721</v>
      </c>
      <c r="D36" s="231">
        <f t="shared" si="5"/>
        <v>1416.7893540979869</v>
      </c>
      <c r="E36" s="231">
        <f>D36*(1+'Weather Scalars'!$D$7)</f>
        <v>1435.7743314429001</v>
      </c>
      <c r="F36" s="231">
        <f t="shared" ref="F36:I36" si="17">(B36*$E18*$C18)/1000</f>
        <v>9843.9626115687952</v>
      </c>
      <c r="G36" s="231">
        <f t="shared" si="17"/>
        <v>10135.918325158604</v>
      </c>
      <c r="H36" s="231">
        <f t="shared" si="17"/>
        <v>10316.456310594</v>
      </c>
      <c r="I36" s="231">
        <f t="shared" si="17"/>
        <v>10454.696825155959</v>
      </c>
    </row>
  </sheetData>
  <hyperlinks>
    <hyperlink ref="G6" r:id="rId1" display="https://www.siliconvalleypower.com/home/showpublisheddocument/79910/638151194612430000"/>
    <hyperlink ref="G5" r:id="rId2" display="https://www.siliconvalleypower.com/home/showpublisheddocument/76639/6378122503785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8" ma:contentTypeDescription="Create a new document." ma:contentTypeScope="" ma:versionID="6dec7027aac35e799daf62b6b0eda6e1">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5715afd67595b48c3eb4d1cdfbee2149"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7_sp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apTit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7_sp8" ma:index="12" nillable="true" ma:displayName="Person or Group" ma:list="UserInfo" ma:internalName="_x0067_sp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apTitle" ma:index="23" nillable="true" ma:displayName="Map Title" ma:description="The title of the map(s)" ma:format="Dropdown" ma:internalName="MapTitl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7982f68-cc81-44ab-bf34-84c0dc62eae2}"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_x0067_sp8 xmlns="785685f2-c2e1-4352-89aa-3faca8eaba52">
      <UserInfo>
        <DisplayName/>
        <AccountId xsi:nil="true"/>
        <AccountType/>
      </UserInfo>
    </_x0067_sp8>
    <lcf76f155ced4ddcb4097134ff3c332f xmlns="785685f2-c2e1-4352-89aa-3faca8eaba52">
      <Terms xmlns="http://schemas.microsoft.com/office/infopath/2007/PartnerControls"/>
    </lcf76f155ced4ddcb4097134ff3c332f>
    <MapTitle xmlns="785685f2-c2e1-4352-89aa-3faca8eaba52" xsi:nil="true"/>
  </documentManagement>
</p:properties>
</file>

<file path=customXml/itemProps1.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2.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3.xml><?xml version="1.0" encoding="utf-8"?>
<ds:datastoreItem xmlns:ds="http://schemas.openxmlformats.org/officeDocument/2006/customXml" ds:itemID="{E572C15A-7245-46F7-9CC9-058EA93BDB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2D6B79A-526F-48F0-AD78-1FFBB0E7C01B}">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785685f2-c2e1-4352-89aa-3faca8eaba52"/>
    <ds:schemaRef ds:uri="5067c814-4b34-462c-a21d-c185ff6548d2"/>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16</vt:i4>
      </vt:variant>
    </vt:vector>
  </HeadingPairs>
  <TitlesOfParts>
    <vt:vector size="36" baseType="lpstr">
      <vt:lpstr>Cover</vt:lpstr>
      <vt:lpstr>FormsList&amp;FilerInfo</vt:lpstr>
      <vt:lpstr>Form 1.1b 23-IEPR Incr</vt:lpstr>
      <vt:lpstr>Form 1.2 23-IEPR Incr</vt:lpstr>
      <vt:lpstr>Form 1.3 23-IEPR Incr</vt:lpstr>
      <vt:lpstr>Form 1.5 23-IEPR Incr</vt:lpstr>
      <vt:lpstr>Form 1.5 22-IEPR Flat</vt:lpstr>
      <vt:lpstr>23-IEPR Customer Class Dist</vt:lpstr>
      <vt:lpstr>23-IEPR TPP 2425 LF</vt:lpstr>
      <vt:lpstr>22-IEPR TPP 2324 LF</vt:lpstr>
      <vt:lpstr>Weather Scalars</vt:lpstr>
      <vt:lpstr>System Losses</vt:lpstr>
      <vt:lpstr>Form 1.6a</vt:lpstr>
      <vt:lpstr>Form 2.1</vt:lpstr>
      <vt:lpstr>Form 2.2</vt:lpstr>
      <vt:lpstr>Form 2.3</vt:lpstr>
      <vt:lpstr>Form 3</vt:lpstr>
      <vt:lpstr>Form 4</vt:lpstr>
      <vt:lpstr>Form 8.1a</vt:lpstr>
      <vt:lpstr>Form 8.1b</vt:lpstr>
      <vt:lpstr>CoName</vt:lpstr>
      <vt:lpstr>filedate</vt:lpstr>
      <vt:lpstr>Cover!Print_Area</vt:lpstr>
      <vt:lpstr>'Form 1.1b 23-IEPR Incr'!Print_Area</vt:lpstr>
      <vt:lpstr>'Form 1.2 23-IEPR Incr'!Print_Area</vt:lpstr>
      <vt:lpstr>'Form 1.3 23-IEPR Incr'!Print_Area</vt:lpstr>
      <vt:lpstr>'Form 1.5 22-IEPR Flat'!Print_Area</vt:lpstr>
      <vt:lpstr>'Form 1.5 23-IEPR Incr'!Print_Area</vt:lpstr>
      <vt:lpstr>'Form 1.6a'!Print_Area</vt:lpstr>
      <vt:lpstr>'Form 3'!Print_Area</vt:lpstr>
      <vt:lpstr>'FormsList&amp;FilerInfo'!Print_Area</vt:lpstr>
      <vt:lpstr>'Form 1.6a'!Print_Titles</vt:lpstr>
      <vt:lpstr>'Form 2.1'!Print_Titles</vt:lpstr>
      <vt:lpstr>'Form 2.3'!Print_Titles</vt:lpstr>
      <vt:lpstr>'Form 3'!Print_Titles</vt:lpstr>
      <vt:lpstr>pv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Robert Valentukonis</cp:lastModifiedBy>
  <cp:revision/>
  <cp:lastPrinted>2022-12-05T22:54:07Z</cp:lastPrinted>
  <dcterms:created xsi:type="dcterms:W3CDTF">2004-04-26T18:12:37Z</dcterms:created>
  <dcterms:modified xsi:type="dcterms:W3CDTF">2023-07-31T18:48:40Z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0x01010061DC9A153AAEEE45BACE06E01F8272AC</vt:lpwstr>
  </property>
  <property fmtid="{D5CDD505-2E9C-101B-9397-08002B2CF9AE}" pid="14" name="MediaServiceImageTags">
    <vt:lpwstr/>
  </property>
</Properties>
</file>