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O:\UNIT_320\RateForecast\CED 2022\GHGPrices\"/>
    </mc:Choice>
  </mc:AlternateContent>
  <xr:revisionPtr revIDLastSave="0" documentId="13_ncr:1_{AE47D34D-8E99-4DE6-A5E0-A0D0FC3217C1}" xr6:coauthVersionLast="47" xr6:coauthVersionMax="47" xr10:uidLastSave="{00000000-0000-0000-0000-000000000000}"/>
  <bookViews>
    <workbookView xWindow="-108" yWindow="-108" windowWidth="23256" windowHeight="12576" xr2:uid="{AEA53398-E61A-4E9C-AA00-52C6E1EB705B}"/>
  </bookViews>
  <sheets>
    <sheet name="Cover" sheetId="1" r:id="rId1"/>
    <sheet name="GHG Price Calculations" sheetId="2" r:id="rId2"/>
    <sheet name="Auction Data" sheetId="3" r:id="rId3"/>
  </sheets>
  <externalReferences>
    <externalReference r:id="rId4"/>
  </externalReferences>
  <definedNames>
    <definedName name="DEFL">[1]Sheet4!$A$1:$D$82</definedName>
    <definedName name="_xlnm.Print_Area" localSheetId="2">'Auction Data'!$A$1:$I$59</definedName>
    <definedName name="_xlnm.Print_Area" localSheetId="1">'GHG Price Calculations'!$A$3:$S$65</definedName>
    <definedName name="_xlnm.Print_Titles" localSheetId="1">'GHG Price Calculations'!$A:$A,'GHG Price Calculations'!$5:$5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0" i="3" l="1"/>
  <c r="I45" i="3"/>
  <c r="I44" i="3"/>
  <c r="I43" i="3"/>
  <c r="I42" i="3"/>
  <c r="I41" i="3"/>
  <c r="I40" i="3"/>
  <c r="I39" i="3"/>
  <c r="I38" i="3"/>
  <c r="I37" i="3"/>
  <c r="I36" i="3"/>
  <c r="I35" i="3"/>
  <c r="I34" i="3"/>
  <c r="I33" i="3"/>
  <c r="I32" i="3"/>
  <c r="I31" i="3"/>
  <c r="I30" i="3"/>
  <c r="I29" i="3"/>
  <c r="A29" i="3"/>
  <c r="A33" i="3" s="1"/>
  <c r="A37" i="3" s="1"/>
  <c r="A41" i="3" s="1"/>
  <c r="I28" i="3"/>
  <c r="I27" i="3"/>
  <c r="A27" i="3"/>
  <c r="A28" i="3" s="1"/>
  <c r="I26" i="3"/>
  <c r="A26" i="3"/>
  <c r="I25" i="3"/>
  <c r="I24" i="3"/>
  <c r="I23" i="3"/>
  <c r="I22" i="3"/>
  <c r="I21" i="3"/>
  <c r="I20" i="3"/>
  <c r="I19" i="3"/>
  <c r="I18" i="3"/>
  <c r="I17" i="3"/>
  <c r="I16" i="3"/>
  <c r="I15" i="3"/>
  <c r="I14" i="3"/>
  <c r="I13" i="3"/>
  <c r="I12" i="3"/>
  <c r="I11" i="3"/>
  <c r="I10" i="3"/>
  <c r="I9" i="3"/>
  <c r="I8" i="3"/>
  <c r="I7" i="3"/>
  <c r="I6" i="3"/>
  <c r="I5" i="3"/>
  <c r="AM62" i="2"/>
  <c r="AL62" i="2"/>
  <c r="AK62" i="2"/>
  <c r="AJ62" i="2"/>
  <c r="AI62" i="2"/>
  <c r="AH62" i="2"/>
  <c r="AG62" i="2"/>
  <c r="AF62" i="2"/>
  <c r="AE62" i="2"/>
  <c r="AD62" i="2"/>
  <c r="AC62" i="2"/>
  <c r="AB62" i="2"/>
  <c r="AA62" i="2"/>
  <c r="Z62" i="2"/>
  <c r="Y62" i="2"/>
  <c r="X62" i="2"/>
  <c r="W62" i="2"/>
  <c r="V62" i="2"/>
  <c r="U62" i="2"/>
  <c r="T62" i="2"/>
  <c r="S62" i="2"/>
  <c r="R62" i="2"/>
  <c r="Q62" i="2"/>
  <c r="P62" i="2"/>
  <c r="O62" i="2"/>
  <c r="N62" i="2"/>
  <c r="M62" i="2"/>
  <c r="L62" i="2"/>
  <c r="K62" i="2"/>
  <c r="J62" i="2"/>
  <c r="C58" i="2"/>
  <c r="B58" i="2"/>
  <c r="D58" i="2" s="1"/>
  <c r="C55" i="2"/>
  <c r="A54" i="2"/>
  <c r="B50" i="2"/>
  <c r="D50" i="2" s="1"/>
  <c r="A50" i="2"/>
  <c r="A49" i="2"/>
  <c r="AM47" i="2"/>
  <c r="AL47" i="2"/>
  <c r="AK47" i="2"/>
  <c r="AJ47" i="2"/>
  <c r="AI47" i="2"/>
  <c r="AH47" i="2"/>
  <c r="AG47" i="2"/>
  <c r="AF47" i="2"/>
  <c r="AE47" i="2"/>
  <c r="AD47" i="2"/>
  <c r="AC47" i="2"/>
  <c r="G47" i="2"/>
  <c r="C47" i="2"/>
  <c r="C50" i="2" s="1"/>
  <c r="B47" i="2"/>
  <c r="D47" i="2" s="1"/>
  <c r="AM46" i="2"/>
  <c r="AL46" i="2"/>
  <c r="AK46" i="2"/>
  <c r="AJ46" i="2"/>
  <c r="AI46" i="2"/>
  <c r="AH46" i="2"/>
  <c r="AG46" i="2"/>
  <c r="AF46" i="2"/>
  <c r="AE46" i="2"/>
  <c r="AD46" i="2"/>
  <c r="AC46" i="2"/>
  <c r="C46" i="2"/>
  <c r="AM45" i="2"/>
  <c r="AL45" i="2"/>
  <c r="AK45" i="2"/>
  <c r="AJ45" i="2"/>
  <c r="AI45" i="2"/>
  <c r="AH45" i="2"/>
  <c r="AG45" i="2"/>
  <c r="AF45" i="2"/>
  <c r="AE45" i="2"/>
  <c r="AD45" i="2"/>
  <c r="AC45" i="2"/>
  <c r="X45" i="2"/>
  <c r="V45" i="2"/>
  <c r="U45" i="2"/>
  <c r="T45" i="2"/>
  <c r="S45" i="2"/>
  <c r="R45" i="2"/>
  <c r="Q45" i="2"/>
  <c r="P45" i="2"/>
  <c r="O45" i="2"/>
  <c r="N45" i="2"/>
  <c r="M45" i="2"/>
  <c r="L45" i="2"/>
  <c r="K45" i="2"/>
  <c r="J45" i="2"/>
  <c r="I45" i="2"/>
  <c r="H45" i="2"/>
  <c r="AM32" i="2"/>
  <c r="AL32" i="2"/>
  <c r="AK32" i="2"/>
  <c r="AJ32" i="2"/>
  <c r="AI32" i="2"/>
  <c r="AH32" i="2"/>
  <c r="AG32" i="2"/>
  <c r="AF32" i="2"/>
  <c r="AE32" i="2"/>
  <c r="AD32" i="2"/>
  <c r="AC32" i="2"/>
  <c r="AB32" i="2"/>
  <c r="AA32" i="2"/>
  <c r="Z32" i="2"/>
  <c r="Y32" i="2"/>
  <c r="X32" i="2"/>
  <c r="W32" i="2"/>
  <c r="V32" i="2"/>
  <c r="U32" i="2"/>
  <c r="T32" i="2"/>
  <c r="S32" i="2"/>
  <c r="R32" i="2"/>
  <c r="Q32" i="2"/>
  <c r="P32" i="2"/>
  <c r="O32" i="2"/>
  <c r="N32" i="2"/>
  <c r="M32" i="2"/>
  <c r="L32" i="2"/>
  <c r="K32" i="2"/>
  <c r="J32" i="2"/>
  <c r="I32" i="2"/>
  <c r="H32" i="2"/>
  <c r="G32" i="2"/>
  <c r="F32" i="2"/>
  <c r="E32" i="2"/>
  <c r="D32" i="2"/>
  <c r="C32" i="2"/>
  <c r="K30" i="2"/>
  <c r="J30" i="2"/>
  <c r="A30" i="2"/>
  <c r="K29" i="2"/>
  <c r="J29" i="2"/>
  <c r="E29" i="2"/>
  <c r="C29" i="2"/>
  <c r="B29" i="2"/>
  <c r="M28" i="2"/>
  <c r="L28" i="2"/>
  <c r="K28" i="2"/>
  <c r="J28" i="2"/>
  <c r="I28" i="2"/>
  <c r="H28" i="2"/>
  <c r="G28" i="2"/>
  <c r="F28" i="2"/>
  <c r="E28" i="2"/>
  <c r="D28" i="2"/>
  <c r="C28" i="2"/>
  <c r="B28" i="2"/>
  <c r="K24" i="2"/>
  <c r="J24" i="2"/>
  <c r="C24" i="2"/>
  <c r="B24" i="2"/>
  <c r="A23" i="2"/>
  <c r="AI22" i="2"/>
  <c r="AH22" i="2"/>
  <c r="AG22" i="2"/>
  <c r="AF22" i="2"/>
  <c r="AE22" i="2"/>
  <c r="AD22" i="2"/>
  <c r="AC22" i="2"/>
  <c r="AB22" i="2"/>
  <c r="AA22" i="2"/>
  <c r="Z22" i="2"/>
  <c r="Y22" i="2"/>
  <c r="X22" i="2"/>
  <c r="W22" i="2"/>
  <c r="V22" i="2"/>
  <c r="U22" i="2"/>
  <c r="T22" i="2"/>
  <c r="S22" i="2"/>
  <c r="R22" i="2"/>
  <c r="Q22" i="2"/>
  <c r="P22" i="2"/>
  <c r="O22" i="2"/>
  <c r="N22" i="2"/>
  <c r="AM18" i="2"/>
  <c r="AL18" i="2"/>
  <c r="AK18" i="2"/>
  <c r="AJ18" i="2"/>
  <c r="AI18" i="2"/>
  <c r="AH18" i="2"/>
  <c r="AG18" i="2"/>
  <c r="AF18" i="2"/>
  <c r="AE18" i="2"/>
  <c r="AD18" i="2"/>
  <c r="AC18" i="2"/>
  <c r="AB18" i="2"/>
  <c r="AA18" i="2"/>
  <c r="Z18" i="2"/>
  <c r="Y18" i="2"/>
  <c r="X18" i="2"/>
  <c r="W18" i="2"/>
  <c r="V18" i="2"/>
  <c r="U18" i="2"/>
  <c r="T18" i="2"/>
  <c r="S18" i="2"/>
  <c r="R18" i="2"/>
  <c r="Q18" i="2"/>
  <c r="P18" i="2"/>
  <c r="O18" i="2"/>
  <c r="N18" i="2"/>
  <c r="M18" i="2"/>
  <c r="L18" i="2"/>
  <c r="M12" i="2" s="1"/>
  <c r="K18" i="2"/>
  <c r="J18" i="2"/>
  <c r="I18" i="2"/>
  <c r="H18" i="2"/>
  <c r="G18" i="2"/>
  <c r="F18" i="2"/>
  <c r="E18" i="2"/>
  <c r="D18" i="2"/>
  <c r="C18" i="2"/>
  <c r="L16" i="2"/>
  <c r="L15" i="2"/>
  <c r="M14" i="2"/>
  <c r="L14" i="2"/>
  <c r="L30" i="2" s="1"/>
  <c r="N13" i="2"/>
  <c r="N29" i="2" s="1"/>
  <c r="M13" i="2"/>
  <c r="M29" i="2" s="1"/>
  <c r="L13" i="2"/>
  <c r="L29" i="2" s="1"/>
  <c r="E13" i="2"/>
  <c r="F13" i="2" s="1"/>
  <c r="F29" i="2" s="1"/>
  <c r="D13" i="2"/>
  <c r="D29" i="2" s="1"/>
  <c r="L7" i="2"/>
  <c r="L24" i="2" s="1"/>
  <c r="K7" i="2"/>
  <c r="J7" i="2"/>
  <c r="I7" i="2"/>
  <c r="I24" i="2" s="1"/>
  <c r="H7" i="2"/>
  <c r="H24" i="2" s="1"/>
  <c r="G7" i="2"/>
  <c r="G24" i="2" s="1"/>
  <c r="F7" i="2"/>
  <c r="F24" i="2" s="1"/>
  <c r="E7" i="2"/>
  <c r="E24" i="2" s="1"/>
  <c r="D7" i="2"/>
  <c r="D24" i="2" s="1"/>
  <c r="C7" i="2"/>
  <c r="B7" i="2"/>
  <c r="AJ5" i="2"/>
  <c r="Y45" i="2" s="1"/>
  <c r="AI5" i="2"/>
  <c r="AH5" i="2"/>
  <c r="W45" i="2" s="1"/>
  <c r="A32" i="3" l="1"/>
  <c r="A36" i="3" s="1"/>
  <c r="A40" i="3" s="1"/>
  <c r="A44" i="3" s="1"/>
  <c r="O13" i="2"/>
  <c r="N12" i="2"/>
  <c r="AK5" i="2"/>
  <c r="G13" i="2"/>
  <c r="M15" i="2"/>
  <c r="N15" i="2" s="1"/>
  <c r="O15" i="2" s="1"/>
  <c r="P15" i="2" s="1"/>
  <c r="Q15" i="2" s="1"/>
  <c r="R15" i="2" s="1"/>
  <c r="S15" i="2" s="1"/>
  <c r="M16" i="2"/>
  <c r="N16" i="2" s="1"/>
  <c r="O16" i="2" s="1"/>
  <c r="P16" i="2" s="1"/>
  <c r="Q16" i="2" s="1"/>
  <c r="R16" i="2" s="1"/>
  <c r="S16" i="2" s="1"/>
  <c r="T16" i="2" s="1"/>
  <c r="U16" i="2" s="1"/>
  <c r="V16" i="2" s="1"/>
  <c r="W16" i="2" s="1"/>
  <c r="X16" i="2" s="1"/>
  <c r="Y16" i="2" s="1"/>
  <c r="Z16" i="2" s="1"/>
  <c r="AA16" i="2" s="1"/>
  <c r="AB16" i="2" s="1"/>
  <c r="AC16" i="2" s="1"/>
  <c r="AD16" i="2" s="1"/>
  <c r="AE16" i="2" s="1"/>
  <c r="AF16" i="2" s="1"/>
  <c r="AG16" i="2" s="1"/>
  <c r="AH16" i="2" s="1"/>
  <c r="AI16" i="2" s="1"/>
  <c r="AJ16" i="2" s="1"/>
  <c r="AK16" i="2" s="1"/>
  <c r="AL16" i="2" s="1"/>
  <c r="AM16" i="2" s="1"/>
  <c r="AJ22" i="2"/>
  <c r="M7" i="2"/>
  <c r="M24" i="2" s="1"/>
  <c r="N14" i="2"/>
  <c r="M30" i="2"/>
  <c r="E51" i="3"/>
  <c r="G59" i="3"/>
  <c r="A30" i="3"/>
  <c r="A34" i="3" s="1"/>
  <c r="A38" i="3" s="1"/>
  <c r="A42" i="3" s="1"/>
  <c r="A31" i="3"/>
  <c r="A35" i="3" s="1"/>
  <c r="A39" i="3" s="1"/>
  <c r="A43" i="3" s="1"/>
  <c r="F58" i="3"/>
  <c r="F50" i="3"/>
  <c r="F61" i="3"/>
  <c r="G61" i="3"/>
  <c r="H61" i="3" s="1"/>
  <c r="F60" i="3" l="1"/>
  <c r="O14" i="2"/>
  <c r="N30" i="2"/>
  <c r="N28" i="2"/>
  <c r="O12" i="2"/>
  <c r="N7" i="2"/>
  <c r="N24" i="2" s="1"/>
  <c r="H59" i="3"/>
  <c r="G49" i="3"/>
  <c r="P13" i="2"/>
  <c r="O29" i="2"/>
  <c r="G58" i="3"/>
  <c r="H58" i="3" s="1"/>
  <c r="E52" i="3"/>
  <c r="G51" i="3"/>
  <c r="F51" i="3"/>
  <c r="H47" i="2"/>
  <c r="T15" i="2"/>
  <c r="F49" i="3"/>
  <c r="G50" i="3"/>
  <c r="H50" i="3" s="1"/>
  <c r="C11" i="2" s="1"/>
  <c r="H13" i="2"/>
  <c r="G29" i="2"/>
  <c r="G60" i="3"/>
  <c r="F59" i="3"/>
  <c r="AK22" i="2"/>
  <c r="Z45" i="2"/>
  <c r="AL5" i="2"/>
  <c r="P29" i="2" l="1"/>
  <c r="Q13" i="2"/>
  <c r="I47" i="2"/>
  <c r="U15" i="2"/>
  <c r="G52" i="3"/>
  <c r="H52" i="3" s="1"/>
  <c r="E11" i="2" s="1"/>
  <c r="F52" i="3"/>
  <c r="E53" i="3"/>
  <c r="H60" i="3"/>
  <c r="O7" i="2"/>
  <c r="O24" i="2" s="1"/>
  <c r="P12" i="2"/>
  <c r="O28" i="2"/>
  <c r="AA45" i="2"/>
  <c r="AM5" i="2"/>
  <c r="AL22" i="2"/>
  <c r="H51" i="3"/>
  <c r="D11" i="2" s="1"/>
  <c r="I13" i="2"/>
  <c r="I29" i="2" s="1"/>
  <c r="H29" i="2"/>
  <c r="H49" i="3"/>
  <c r="B11" i="2" s="1"/>
  <c r="C6" i="2"/>
  <c r="C23" i="2"/>
  <c r="O30" i="2"/>
  <c r="P14" i="2"/>
  <c r="E6" i="2" l="1"/>
  <c r="E23" i="2"/>
  <c r="P30" i="2"/>
  <c r="Q14" i="2"/>
  <c r="D6" i="2"/>
  <c r="D23" i="2"/>
  <c r="E54" i="3"/>
  <c r="G53" i="3"/>
  <c r="H53" i="3" s="1"/>
  <c r="F11" i="2" s="1"/>
  <c r="F53" i="3"/>
  <c r="AM22" i="2"/>
  <c r="AB45" i="2"/>
  <c r="J47" i="2"/>
  <c r="V15" i="2"/>
  <c r="B23" i="2"/>
  <c r="B6" i="2"/>
  <c r="P28" i="2"/>
  <c r="P7" i="2"/>
  <c r="P24" i="2" s="1"/>
  <c r="Q12" i="2"/>
  <c r="R13" i="2"/>
  <c r="Q29" i="2"/>
  <c r="F23" i="2" l="1"/>
  <c r="F6" i="2"/>
  <c r="S13" i="2"/>
  <c r="R29" i="2"/>
  <c r="Q28" i="2"/>
  <c r="R12" i="2"/>
  <c r="Q7" i="2"/>
  <c r="Q24" i="2" s="1"/>
  <c r="G54" i="3"/>
  <c r="H54" i="3" s="1"/>
  <c r="G11" i="2" s="1"/>
  <c r="F54" i="3"/>
  <c r="E55" i="3"/>
  <c r="Q30" i="2"/>
  <c r="R14" i="2"/>
  <c r="K47" i="2"/>
  <c r="W15" i="2"/>
  <c r="G6" i="2" l="1"/>
  <c r="G23" i="2"/>
  <c r="L47" i="2"/>
  <c r="X15" i="2"/>
  <c r="R7" i="2"/>
  <c r="R24" i="2" s="1"/>
  <c r="R28" i="2"/>
  <c r="S12" i="2"/>
  <c r="R30" i="2"/>
  <c r="S14" i="2"/>
  <c r="S29" i="2"/>
  <c r="T13" i="2"/>
  <c r="E56" i="3"/>
  <c r="G55" i="3"/>
  <c r="F55" i="3"/>
  <c r="T29" i="2" l="1"/>
  <c r="U13" i="2"/>
  <c r="S7" i="2"/>
  <c r="S24" i="2" s="1"/>
  <c r="T12" i="2"/>
  <c r="S28" i="2"/>
  <c r="M47" i="2"/>
  <c r="Y15" i="2"/>
  <c r="H55" i="3"/>
  <c r="H11" i="2" s="1"/>
  <c r="G56" i="3"/>
  <c r="F56" i="3"/>
  <c r="E57" i="3"/>
  <c r="S30" i="2"/>
  <c r="H46" i="2"/>
  <c r="T14" i="2"/>
  <c r="H23" i="2" l="1"/>
  <c r="H6" i="2"/>
  <c r="N47" i="2"/>
  <c r="Z15" i="2"/>
  <c r="B57" i="2"/>
  <c r="D57" i="2" s="1"/>
  <c r="E57" i="2" s="1" a="1"/>
  <c r="B55" i="2"/>
  <c r="D55" i="2" s="1"/>
  <c r="T30" i="2"/>
  <c r="I46" i="2"/>
  <c r="U14" i="2"/>
  <c r="U12" i="2"/>
  <c r="T28" i="2"/>
  <c r="T7" i="2"/>
  <c r="T24" i="2" s="1"/>
  <c r="G57" i="3"/>
  <c r="H57" i="3" s="1"/>
  <c r="J11" i="2" s="1"/>
  <c r="F57" i="3"/>
  <c r="K11" i="2"/>
  <c r="V13" i="2"/>
  <c r="U29" i="2"/>
  <c r="H56" i="3"/>
  <c r="I11" i="2" s="1"/>
  <c r="F57" i="2" l="1"/>
  <c r="E57" i="2"/>
  <c r="E59" i="2"/>
  <c r="E58" i="2"/>
  <c r="F58" i="2"/>
  <c r="F59" i="2"/>
  <c r="J23" i="2"/>
  <c r="J6" i="2"/>
  <c r="O47" i="2"/>
  <c r="AA15" i="2"/>
  <c r="K23" i="2"/>
  <c r="K6" i="2"/>
  <c r="I23" i="2"/>
  <c r="I6" i="2"/>
  <c r="V12" i="2"/>
  <c r="U28" i="2"/>
  <c r="U7" i="2"/>
  <c r="U24" i="2" s="1"/>
  <c r="V29" i="2"/>
  <c r="W13" i="2"/>
  <c r="J46" i="2"/>
  <c r="V14" i="2"/>
  <c r="U30" i="2"/>
  <c r="V28" i="2" l="1"/>
  <c r="V7" i="2"/>
  <c r="V24" i="2" s="1"/>
  <c r="W12" i="2"/>
  <c r="K46" i="2"/>
  <c r="W14" i="2"/>
  <c r="V30" i="2"/>
  <c r="X13" i="2"/>
  <c r="W29" i="2"/>
  <c r="P47" i="2"/>
  <c r="AB15" i="2"/>
  <c r="B45" i="2"/>
  <c r="D45" i="2" s="1"/>
  <c r="B54" i="2"/>
  <c r="D54" i="2" s="1"/>
  <c r="E54" i="2" s="1" a="1"/>
  <c r="F56" i="2" l="1"/>
  <c r="E56" i="2"/>
  <c r="F55" i="2"/>
  <c r="E55" i="2"/>
  <c r="E54" i="2"/>
  <c r="F54" i="2"/>
  <c r="W7" i="2"/>
  <c r="W24" i="2" s="1"/>
  <c r="X12" i="2"/>
  <c r="W28" i="2"/>
  <c r="Q47" i="2"/>
  <c r="AC15" i="2"/>
  <c r="X29" i="2"/>
  <c r="Y13" i="2"/>
  <c r="W30" i="2"/>
  <c r="L46" i="2"/>
  <c r="X14" i="2"/>
  <c r="Z13" i="2" l="1"/>
  <c r="Y29" i="2"/>
  <c r="R9" i="2"/>
  <c r="R26" i="2" s="1"/>
  <c r="Q9" i="2"/>
  <c r="Q26" i="2" s="1"/>
  <c r="W9" i="2"/>
  <c r="W26" i="2" s="1"/>
  <c r="O9" i="2"/>
  <c r="O26" i="2" s="1"/>
  <c r="S9" i="2"/>
  <c r="S26" i="2" s="1"/>
  <c r="V9" i="2"/>
  <c r="V26" i="2" s="1"/>
  <c r="U9" i="2"/>
  <c r="U26" i="2" s="1"/>
  <c r="T9" i="2"/>
  <c r="T26" i="2" s="1"/>
  <c r="P9" i="2"/>
  <c r="P26" i="2" s="1"/>
  <c r="N9" i="2"/>
  <c r="N26" i="2" s="1"/>
  <c r="X9" i="2"/>
  <c r="X26" i="2" s="1"/>
  <c r="M9" i="2"/>
  <c r="M26" i="2" s="1"/>
  <c r="L9" i="2"/>
  <c r="L26" i="2" s="1"/>
  <c r="X28" i="2"/>
  <c r="Y12" i="2"/>
  <c r="X7" i="2"/>
  <c r="X24" i="2" s="1"/>
  <c r="R47" i="2"/>
  <c r="AD15" i="2"/>
  <c r="Y14" i="2"/>
  <c r="X30" i="2"/>
  <c r="M46" i="2"/>
  <c r="B46" i="2" s="1"/>
  <c r="Y30" i="2" l="1"/>
  <c r="N46" i="2"/>
  <c r="Z14" i="2"/>
  <c r="S47" i="2"/>
  <c r="AE15" i="2"/>
  <c r="B49" i="2"/>
  <c r="D49" i="2" s="1"/>
  <c r="E49" i="2" s="1" a="1"/>
  <c r="D46" i="2"/>
  <c r="E45" i="2" s="1" a="1"/>
  <c r="Y28" i="2"/>
  <c r="Z12" i="2"/>
  <c r="Y7" i="2"/>
  <c r="AA13" i="2"/>
  <c r="Z29" i="2"/>
  <c r="E47" i="2" l="1"/>
  <c r="F46" i="2"/>
  <c r="E46" i="2"/>
  <c r="F45" i="2"/>
  <c r="F47" i="2"/>
  <c r="E45" i="2"/>
  <c r="T47" i="2"/>
  <c r="AF15" i="2"/>
  <c r="F50" i="2"/>
  <c r="E50" i="2"/>
  <c r="F49" i="2"/>
  <c r="E49" i="2"/>
  <c r="E51" i="2"/>
  <c r="F51" i="2"/>
  <c r="AA29" i="2"/>
  <c r="AB13" i="2"/>
  <c r="Z30" i="2"/>
  <c r="AA14" i="2"/>
  <c r="O46" i="2"/>
  <c r="Y24" i="2"/>
  <c r="Y9" i="2"/>
  <c r="Y26" i="2" s="1"/>
  <c r="Z7" i="2"/>
  <c r="Z28" i="2"/>
  <c r="AA12" i="2"/>
  <c r="AB29" i="2" l="1"/>
  <c r="AC13" i="2"/>
  <c r="Z24" i="2"/>
  <c r="Z9" i="2"/>
  <c r="Z26" i="2" s="1"/>
  <c r="V8" i="2"/>
  <c r="V25" i="2" s="1"/>
  <c r="N8" i="2"/>
  <c r="N25" i="2" s="1"/>
  <c r="U8" i="2"/>
  <c r="U25" i="2" s="1"/>
  <c r="S8" i="2"/>
  <c r="S25" i="2" s="1"/>
  <c r="W8" i="2"/>
  <c r="W25" i="2" s="1"/>
  <c r="O8" i="2"/>
  <c r="O25" i="2" s="1"/>
  <c r="M8" i="2"/>
  <c r="M25" i="2" s="1"/>
  <c r="Q8" i="2"/>
  <c r="Q25" i="2" s="1"/>
  <c r="T8" i="2"/>
  <c r="T25" i="2" s="1"/>
  <c r="P8" i="2"/>
  <c r="P25" i="2" s="1"/>
  <c r="L8" i="2"/>
  <c r="L25" i="2" s="1"/>
  <c r="X8" i="2"/>
  <c r="X25" i="2" s="1"/>
  <c r="R8" i="2"/>
  <c r="R25" i="2" s="1"/>
  <c r="U47" i="2"/>
  <c r="AG15" i="2"/>
  <c r="AA8" i="2"/>
  <c r="AA25" i="2" s="1"/>
  <c r="Z8" i="2"/>
  <c r="Z25" i="2" s="1"/>
  <c r="Y8" i="2"/>
  <c r="Y25" i="2" s="1"/>
  <c r="AA30" i="2"/>
  <c r="P46" i="2"/>
  <c r="AB14" i="2"/>
  <c r="AA7" i="2"/>
  <c r="AB12" i="2"/>
  <c r="AA28" i="2"/>
  <c r="AB30" i="2" l="1"/>
  <c r="Q46" i="2"/>
  <c r="AC14" i="2"/>
  <c r="V47" i="2"/>
  <c r="AH15" i="2"/>
  <c r="AC29" i="2"/>
  <c r="AD13" i="2"/>
  <c r="AC12" i="2"/>
  <c r="AB28" i="2"/>
  <c r="AB7" i="2"/>
  <c r="AA24" i="2"/>
  <c r="AA9" i="2"/>
  <c r="AA26" i="2" s="1"/>
  <c r="W47" i="2" l="1"/>
  <c r="AI15" i="2"/>
  <c r="AD12" i="2"/>
  <c r="AC7" i="2"/>
  <c r="AC28" i="2"/>
  <c r="AB24" i="2"/>
  <c r="AB9" i="2"/>
  <c r="AB26" i="2" s="1"/>
  <c r="AB8" i="2"/>
  <c r="AB25" i="2" s="1"/>
  <c r="AD29" i="2"/>
  <c r="AE13" i="2"/>
  <c r="R46" i="2"/>
  <c r="AD14" i="2"/>
  <c r="AC30" i="2"/>
  <c r="S46" i="2" l="1"/>
  <c r="AE14" i="2"/>
  <c r="AD30" i="2"/>
  <c r="AC24" i="2"/>
  <c r="AC9" i="2"/>
  <c r="AC26" i="2" s="1"/>
  <c r="AC8" i="2"/>
  <c r="AC25" i="2" s="1"/>
  <c r="AF13" i="2"/>
  <c r="AE29" i="2"/>
  <c r="X47" i="2"/>
  <c r="AJ15" i="2"/>
  <c r="AD28" i="2"/>
  <c r="AE12" i="2"/>
  <c r="AD7" i="2"/>
  <c r="AD24" i="2" l="1"/>
  <c r="AD9" i="2"/>
  <c r="AD26" i="2" s="1"/>
  <c r="AD8" i="2"/>
  <c r="AD25" i="2" s="1"/>
  <c r="Y47" i="2"/>
  <c r="AK15" i="2"/>
  <c r="AE30" i="2"/>
  <c r="T46" i="2"/>
  <c r="AF14" i="2"/>
  <c r="AF29" i="2"/>
  <c r="AG13" i="2"/>
  <c r="AE7" i="2"/>
  <c r="AF12" i="2"/>
  <c r="AE28" i="2"/>
  <c r="Z47" i="2" l="1"/>
  <c r="AL15" i="2"/>
  <c r="AG14" i="2"/>
  <c r="U46" i="2"/>
  <c r="AF30" i="2"/>
  <c r="AF28" i="2"/>
  <c r="AG12" i="2"/>
  <c r="AF7" i="2"/>
  <c r="AE24" i="2"/>
  <c r="AE9" i="2"/>
  <c r="AE26" i="2" s="1"/>
  <c r="AE8" i="2"/>
  <c r="AE25" i="2" s="1"/>
  <c r="AH13" i="2"/>
  <c r="AG29" i="2"/>
  <c r="AF24" i="2" l="1"/>
  <c r="AF9" i="2"/>
  <c r="AF26" i="2" s="1"/>
  <c r="AF8" i="2"/>
  <c r="AF25" i="2" s="1"/>
  <c r="AI13" i="2"/>
  <c r="AH29" i="2"/>
  <c r="AM15" i="2"/>
  <c r="AB47" i="2" s="1"/>
  <c r="AA47" i="2"/>
  <c r="AG28" i="2"/>
  <c r="AG7" i="2"/>
  <c r="AH12" i="2"/>
  <c r="AG30" i="2"/>
  <c r="V46" i="2"/>
  <c r="AH14" i="2"/>
  <c r="AH30" i="2" l="1"/>
  <c r="W46" i="2"/>
  <c r="AI14" i="2"/>
  <c r="AI29" i="2"/>
  <c r="AJ13" i="2"/>
  <c r="AH7" i="2"/>
  <c r="AH28" i="2"/>
  <c r="AI12" i="2"/>
  <c r="AG24" i="2"/>
  <c r="AG9" i="2"/>
  <c r="AG26" i="2" s="1"/>
  <c r="AG8" i="2"/>
  <c r="AG25" i="2" s="1"/>
  <c r="AJ29" i="2" l="1"/>
  <c r="AK13" i="2"/>
  <c r="AI30" i="2"/>
  <c r="X46" i="2"/>
  <c r="AJ14" i="2"/>
  <c r="AI7" i="2"/>
  <c r="AJ12" i="2"/>
  <c r="AI28" i="2"/>
  <c r="AH24" i="2"/>
  <c r="AH9" i="2"/>
  <c r="AH26" i="2" s="1"/>
  <c r="AH8" i="2"/>
  <c r="AH25" i="2" s="1"/>
  <c r="AI25" i="2" s="1"/>
  <c r="AJ25" i="2" s="1"/>
  <c r="AK25" i="2" s="1"/>
  <c r="AL25" i="2" s="1"/>
  <c r="AM25" i="2" s="1"/>
  <c r="AI24" i="2" l="1"/>
  <c r="AI9" i="2"/>
  <c r="AI26" i="2" s="1"/>
  <c r="AI8" i="2"/>
  <c r="AK29" i="2"/>
  <c r="AL13" i="2"/>
  <c r="AK12" i="2"/>
  <c r="AJ28" i="2"/>
  <c r="AJ7" i="2"/>
  <c r="AJ30" i="2"/>
  <c r="Y46" i="2"/>
  <c r="AK14" i="2"/>
  <c r="AL12" i="2" l="1"/>
  <c r="AK28" i="2"/>
  <c r="AK7" i="2"/>
  <c r="AL29" i="2"/>
  <c r="AM13" i="2"/>
  <c r="AM29" i="2" s="1"/>
  <c r="AJ24" i="2"/>
  <c r="AJ9" i="2"/>
  <c r="AJ26" i="2" s="1"/>
  <c r="AJ8" i="2"/>
  <c r="Z46" i="2"/>
  <c r="AL14" i="2"/>
  <c r="AK30" i="2"/>
  <c r="AK24" i="2" l="1"/>
  <c r="AK9" i="2"/>
  <c r="AK26" i="2" s="1"/>
  <c r="AK8" i="2"/>
  <c r="AA46" i="2"/>
  <c r="AM14" i="2"/>
  <c r="AL30" i="2"/>
  <c r="AL28" i="2"/>
  <c r="AL7" i="2"/>
  <c r="AM12" i="2"/>
  <c r="AM30" i="2" l="1"/>
  <c r="AB46" i="2"/>
  <c r="AL24" i="2"/>
  <c r="AL9" i="2"/>
  <c r="AL26" i="2" s="1"/>
  <c r="AL8" i="2"/>
  <c r="AM7" i="2"/>
  <c r="AM28" i="2"/>
  <c r="AM24" i="2" l="1"/>
  <c r="AM9" i="2"/>
  <c r="AM26" i="2" s="1"/>
  <c r="AM8" i="2"/>
</calcChain>
</file>

<file path=xl/sharedStrings.xml><?xml version="1.0" encoding="utf-8"?>
<sst xmlns="http://schemas.openxmlformats.org/spreadsheetml/2006/main" count="102" uniqueCount="98">
  <si>
    <t>PROPOSED AMENDMENTS TO THE CALIFORNIA CAP ON GREENHOUSE GAS EMISSIONS AND</t>
  </si>
  <si>
    <t>MARKET-BASED COMPLIANCE MECHANISMS</t>
  </si>
  <si>
    <r>
      <t xml:space="preserve">Carbon Price </t>
    </r>
    <r>
      <rPr>
        <b/>
        <sz val="11"/>
        <color indexed="8"/>
        <rFont val="Calibri"/>
        <family val="2"/>
      </rPr>
      <t>(Nominal$/metric ton CO</t>
    </r>
    <r>
      <rPr>
        <b/>
        <vertAlign val="subscript"/>
        <sz val="11"/>
        <color indexed="8"/>
        <rFont val="Calibri"/>
        <family val="2"/>
      </rPr>
      <t>2</t>
    </r>
    <r>
      <rPr>
        <b/>
        <sz val="11"/>
        <color indexed="8"/>
        <rFont val="Calibri"/>
        <family val="2"/>
      </rPr>
      <t>e)</t>
    </r>
    <r>
      <rPr>
        <b/>
        <vertAlign val="superscript"/>
        <sz val="11"/>
        <color indexed="8"/>
        <rFont val="Calibri"/>
        <family val="2"/>
      </rPr>
      <t>1</t>
    </r>
  </si>
  <si>
    <t>Annual Average Auction Sale Price</t>
  </si>
  <si>
    <t>Price Floor</t>
  </si>
  <si>
    <t>Mid Price Scenario</t>
  </si>
  <si>
    <t>High Price Scenario</t>
  </si>
  <si>
    <r>
      <t>Annual Average Auction Sale Price</t>
    </r>
    <r>
      <rPr>
        <vertAlign val="superscript"/>
        <sz val="11"/>
        <color theme="1"/>
        <rFont val="Calibri"/>
        <family val="2"/>
        <scheme val="minor"/>
      </rPr>
      <t>2</t>
    </r>
  </si>
  <si>
    <r>
      <t>Annual Auction Reserve  Price</t>
    </r>
    <r>
      <rPr>
        <vertAlign val="superscript"/>
        <sz val="11"/>
        <color theme="1"/>
        <rFont val="Calibri"/>
        <family val="2"/>
        <scheme val="minor"/>
      </rPr>
      <t>3</t>
    </r>
  </si>
  <si>
    <r>
      <t xml:space="preserve">Tier 1 APCR / post-2020 price ceiling </t>
    </r>
    <r>
      <rPr>
        <vertAlign val="superscript"/>
        <sz val="11"/>
        <color theme="1"/>
        <rFont val="Calibri"/>
        <family val="2"/>
        <scheme val="minor"/>
      </rPr>
      <t>4</t>
    </r>
  </si>
  <si>
    <t>Tier Price 1</t>
  </si>
  <si>
    <t>Tier Price 2</t>
  </si>
  <si>
    <t>Price Ceiling</t>
  </si>
  <si>
    <r>
      <t>CPI: Urban Consumer - All Items, (Index, 2021=1)</t>
    </r>
    <r>
      <rPr>
        <vertAlign val="superscript"/>
        <sz val="11"/>
        <color theme="1"/>
        <rFont val="Calibri"/>
        <family val="2"/>
        <scheme val="minor"/>
      </rPr>
      <t>5</t>
    </r>
  </si>
  <si>
    <t>CPI Annual Rate of Change</t>
  </si>
  <si>
    <r>
      <t xml:space="preserve">Carbon Price </t>
    </r>
    <r>
      <rPr>
        <b/>
        <sz val="11"/>
        <color indexed="8"/>
        <rFont val="Calibri"/>
        <family val="2"/>
      </rPr>
      <t>(2021$/metric ton CO</t>
    </r>
    <r>
      <rPr>
        <b/>
        <vertAlign val="subscript"/>
        <sz val="11"/>
        <color indexed="8"/>
        <rFont val="Calibri"/>
        <family val="2"/>
      </rPr>
      <t>2</t>
    </r>
    <r>
      <rPr>
        <b/>
        <sz val="11"/>
        <color indexed="8"/>
        <rFont val="Calibri"/>
        <family val="2"/>
      </rPr>
      <t>e)</t>
    </r>
  </si>
  <si>
    <t>Mid Case (2022 IEPR Forecast)</t>
  </si>
  <si>
    <t>Reserve Price</t>
  </si>
  <si>
    <t>Tier 1 APCR / Post-2020 Price Ceiling</t>
  </si>
  <si>
    <r>
      <t xml:space="preserve">GDP Implicit Deflator Series  2021=1 </t>
    </r>
    <r>
      <rPr>
        <vertAlign val="superscript"/>
        <sz val="11"/>
        <color theme="1"/>
        <rFont val="Calibri"/>
        <family val="2"/>
        <scheme val="minor"/>
      </rPr>
      <t>5</t>
    </r>
  </si>
  <si>
    <t>Annual Percent Change</t>
  </si>
  <si>
    <r>
      <rPr>
        <vertAlign val="superscript"/>
        <sz val="11"/>
        <color indexed="8"/>
        <rFont val="Calibri"/>
        <family val="2"/>
      </rPr>
      <t xml:space="preserve">1 </t>
    </r>
    <r>
      <rPr>
        <sz val="11"/>
        <color indexed="8"/>
        <rFont val="Calibri"/>
        <family val="2"/>
      </rPr>
      <t xml:space="preserve">The high price scenario assumes that prices reach the Tier 2 price by 2035. In the mid case, prices are assumed to reach Tier 1 Price in 2035.
</t>
    </r>
  </si>
  <si>
    <r>
      <rPr>
        <vertAlign val="superscript"/>
        <sz val="11"/>
        <color theme="1"/>
        <rFont val="Calibri"/>
        <family val="2"/>
      </rPr>
      <t>2</t>
    </r>
    <r>
      <rPr>
        <sz val="11"/>
        <color theme="1"/>
        <rFont val="Calibri"/>
        <family val="2"/>
      </rPr>
      <t xml:space="preserve"> 2013 through 2022 prices are the volume-weighed average Vintage Settlement Price of all  auctions (February, May, August and November).</t>
    </r>
  </si>
  <si>
    <r>
      <rPr>
        <vertAlign val="superscript"/>
        <sz val="11"/>
        <color theme="1"/>
        <rFont val="Calibri"/>
        <family val="2"/>
      </rPr>
      <t xml:space="preserve">3 </t>
    </r>
    <r>
      <rPr>
        <sz val="11"/>
        <color theme="1"/>
        <rFont val="Calibri"/>
        <family val="2"/>
      </rPr>
      <t>Price increases in calendar years subsequent to 2019 will be equal to the offer price for each tier from the previous calendar year increased by five percent plus the rate of inflation as measured by the Consumer Price Index for All Urban Consumers.</t>
    </r>
  </si>
  <si>
    <r>
      <rPr>
        <vertAlign val="superscript"/>
        <sz val="12"/>
        <color indexed="8"/>
        <rFont val="Calibri"/>
        <family val="2"/>
      </rPr>
      <t>4</t>
    </r>
    <r>
      <rPr>
        <sz val="11"/>
        <color indexed="8"/>
        <rFont val="Calibri"/>
        <family val="2"/>
      </rPr>
      <t xml:space="preserve"> 17 CCR § § 95915. Price Ceiling Sales.</t>
    </r>
  </si>
  <si>
    <r>
      <rPr>
        <vertAlign val="superscript"/>
        <sz val="12"/>
        <color indexed="8"/>
        <rFont val="Calibri"/>
        <family val="2"/>
      </rPr>
      <t>5</t>
    </r>
    <r>
      <rPr>
        <sz val="11"/>
        <color indexed="8"/>
        <rFont val="Calibri"/>
        <family val="2"/>
      </rPr>
      <t xml:space="preserve"> Moody's Analytics, May 2022</t>
    </r>
  </si>
  <si>
    <t>Regression Estimates for exponential curves</t>
  </si>
  <si>
    <t>Current and Target Price in YEAR, Nominal</t>
  </si>
  <si>
    <t>Mid case</t>
  </si>
  <si>
    <t>Fitted exponential coefs</t>
  </si>
  <si>
    <t>CARB 2045 $/t adjusted to 21$</t>
  </si>
  <si>
    <t>REAL</t>
  </si>
  <si>
    <t>Mid</t>
  </si>
  <si>
    <t>t</t>
  </si>
  <si>
    <t>APCR</t>
  </si>
  <si>
    <t>high price</t>
  </si>
  <si>
    <t>2021 IEPR Nominal Mid Case</t>
  </si>
  <si>
    <t>2021 IEPR  Mid Case (2021$)</t>
  </si>
  <si>
    <r>
      <rPr>
        <b/>
        <sz val="12"/>
        <rFont val="Arial"/>
        <family val="2"/>
      </rPr>
      <t>CALIFORNIA CAP-AND-TRADE PROGRAM</t>
    </r>
  </si>
  <si>
    <r>
      <rPr>
        <b/>
        <sz val="12"/>
        <rFont val="Arial"/>
        <family val="2"/>
      </rPr>
      <t>SUMMARY OF JOINT AUCTION SETTLEMENT PRICES AND RESULTS</t>
    </r>
  </si>
  <si>
    <r>
      <rPr>
        <b/>
        <sz val="12"/>
        <rFont val="Arial"/>
        <family val="2"/>
      </rPr>
      <t>Auction Name</t>
    </r>
  </si>
  <si>
    <r>
      <rPr>
        <b/>
        <sz val="12"/>
        <rFont val="Arial"/>
        <family val="2"/>
      </rPr>
      <t>Total Current Vintage Allowances Offered</t>
    </r>
  </si>
  <si>
    <r>
      <rPr>
        <b/>
        <sz val="12"/>
        <rFont val="Arial"/>
        <family val="2"/>
      </rPr>
      <t>Total Current Vintage Allowances Sold</t>
    </r>
  </si>
  <si>
    <r>
      <rPr>
        <b/>
        <sz val="12"/>
        <rFont val="Arial"/>
        <family val="2"/>
      </rPr>
      <t>Current Auction Settlement Price</t>
    </r>
  </si>
  <si>
    <r>
      <rPr>
        <b/>
        <sz val="12"/>
        <rFont val="Arial"/>
        <family val="2"/>
      </rPr>
      <t>Total Future Vintage Allowances Offered</t>
    </r>
  </si>
  <si>
    <r>
      <rPr>
        <b/>
        <sz val="12"/>
        <rFont val="Arial"/>
        <family val="2"/>
      </rPr>
      <t>Total Future Vintage Allowances Sold</t>
    </r>
  </si>
  <si>
    <r>
      <rPr>
        <b/>
        <sz val="12"/>
        <rFont val="Arial"/>
        <family val="2"/>
      </rPr>
      <t>Advance Auction Settlement Price</t>
    </r>
  </si>
  <si>
    <t>Revenues</t>
  </si>
  <si>
    <t>November 2022 Joint Auction #33</t>
  </si>
  <si>
    <r>
      <rPr>
        <b/>
        <sz val="12"/>
        <rFont val="Trebuchet MS"/>
        <family val="2"/>
      </rPr>
      <t>August 2022 Joint Auction #32</t>
    </r>
  </si>
  <si>
    <r>
      <rPr>
        <b/>
        <sz val="12"/>
        <rFont val="Trebuchet MS"/>
        <family val="2"/>
      </rPr>
      <t>May 2022 Joint Auction #31</t>
    </r>
  </si>
  <si>
    <r>
      <rPr>
        <b/>
        <sz val="12"/>
        <rFont val="Trebuchet MS"/>
        <family val="2"/>
      </rPr>
      <t>February 2022 Joint Auction #30</t>
    </r>
  </si>
  <si>
    <r>
      <rPr>
        <b/>
        <sz val="12"/>
        <rFont val="Trebuchet MS"/>
        <family val="2"/>
      </rPr>
      <t>November 2021 Joint Auction #29</t>
    </r>
  </si>
  <si>
    <r>
      <rPr>
        <b/>
        <sz val="12"/>
        <rFont val="Trebuchet MS"/>
        <family val="2"/>
      </rPr>
      <t>August 2021 Joint Auction #28</t>
    </r>
  </si>
  <si>
    <r>
      <rPr>
        <b/>
        <sz val="12"/>
        <rFont val="Trebuchet MS"/>
        <family val="2"/>
      </rPr>
      <t>May 2021 Joint Auction #27</t>
    </r>
  </si>
  <si>
    <t>February 2021 Joint Auction #26</t>
  </si>
  <si>
    <r>
      <rPr>
        <b/>
        <sz val="12"/>
        <rFont val="Arial"/>
        <family val="2"/>
      </rPr>
      <t>November 2020 Joint Auction #25</t>
    </r>
  </si>
  <si>
    <r>
      <rPr>
        <b/>
        <sz val="12"/>
        <rFont val="Arial"/>
        <family val="2"/>
      </rPr>
      <t>August 2020 Joint Auction #24</t>
    </r>
  </si>
  <si>
    <r>
      <rPr>
        <b/>
        <sz val="12"/>
        <rFont val="Arial"/>
        <family val="2"/>
      </rPr>
      <t>May 2020 Joint Auction #23</t>
    </r>
  </si>
  <si>
    <t>February 2020 Joint Auction #22</t>
  </si>
  <si>
    <r>
      <rPr>
        <b/>
        <sz val="12"/>
        <rFont val="Arial"/>
        <family val="2"/>
      </rPr>
      <t>November 2019 Joint Auction #21</t>
    </r>
  </si>
  <si>
    <r>
      <rPr>
        <b/>
        <sz val="12"/>
        <rFont val="Arial"/>
        <family val="2"/>
      </rPr>
      <t>August 2019 Joint Auction #20</t>
    </r>
  </si>
  <si>
    <r>
      <rPr>
        <b/>
        <sz val="12"/>
        <rFont val="Arial"/>
        <family val="2"/>
      </rPr>
      <t>May 2019 Joint Auction #19</t>
    </r>
  </si>
  <si>
    <r>
      <rPr>
        <b/>
        <sz val="12"/>
        <rFont val="Arial"/>
        <family val="2"/>
      </rPr>
      <t>February 2019 Joint Auction #18</t>
    </r>
  </si>
  <si>
    <t>November 2018 Joint Auction #17</t>
  </si>
  <si>
    <t>August 2018 Joint Auction #16</t>
  </si>
  <si>
    <t>May 2018 Joint Auction #15</t>
  </si>
  <si>
    <t>February 2018 Joint Auction #14</t>
  </si>
  <si>
    <r>
      <rPr>
        <b/>
        <sz val="12"/>
        <rFont val="Arial"/>
        <family val="2"/>
      </rPr>
      <t>November 2017 Joint Auction #13</t>
    </r>
  </si>
  <si>
    <r>
      <rPr>
        <b/>
        <sz val="12"/>
        <rFont val="Arial"/>
        <family val="2"/>
      </rPr>
      <t>August 2017 Joint Auction #12</t>
    </r>
  </si>
  <si>
    <r>
      <rPr>
        <b/>
        <sz val="12"/>
        <rFont val="Arial"/>
        <family val="2"/>
      </rPr>
      <t>May 2017 Joint Auction #11</t>
    </r>
  </si>
  <si>
    <r>
      <rPr>
        <b/>
        <sz val="12"/>
        <rFont val="Arial"/>
        <family val="2"/>
      </rPr>
      <t>February 2017 Joint Auction #10</t>
    </r>
  </si>
  <si>
    <r>
      <rPr>
        <b/>
        <sz val="12"/>
        <rFont val="Arial"/>
        <family val="2"/>
      </rPr>
      <t>November 2016 Joint Auction #9</t>
    </r>
  </si>
  <si>
    <r>
      <rPr>
        <b/>
        <sz val="12"/>
        <rFont val="Arial"/>
        <family val="2"/>
      </rPr>
      <t>August 2016 Joint Auction #8</t>
    </r>
  </si>
  <si>
    <r>
      <rPr>
        <b/>
        <sz val="12"/>
        <rFont val="Arial"/>
        <family val="2"/>
      </rPr>
      <t>May 2016 Joint Auction #7</t>
    </r>
  </si>
  <si>
    <r>
      <rPr>
        <b/>
        <sz val="12"/>
        <rFont val="Arial"/>
        <family val="2"/>
      </rPr>
      <t>February 2016 Joint Auction #6</t>
    </r>
  </si>
  <si>
    <r>
      <rPr>
        <b/>
        <sz val="12"/>
        <rFont val="Arial"/>
        <family val="2"/>
      </rPr>
      <t>November 2015 Joint Auction #5</t>
    </r>
  </si>
  <si>
    <r>
      <rPr>
        <b/>
        <sz val="12"/>
        <rFont val="Arial"/>
        <family val="2"/>
      </rPr>
      <t>August 2015 Joint Auction #4</t>
    </r>
  </si>
  <si>
    <r>
      <rPr>
        <b/>
        <sz val="12"/>
        <rFont val="Arial"/>
        <family val="2"/>
      </rPr>
      <t>May 2015 Joint Auction #3</t>
    </r>
  </si>
  <si>
    <r>
      <rPr>
        <b/>
        <sz val="12"/>
        <rFont val="Arial"/>
        <family val="2"/>
      </rPr>
      <t>February 2015 Joint Auction #2</t>
    </r>
  </si>
  <si>
    <r>
      <rPr>
        <b/>
        <sz val="12"/>
        <rFont val="Arial"/>
        <family val="2"/>
      </rPr>
      <t>November 2014 Joint Auction #1</t>
    </r>
  </si>
  <si>
    <r>
      <rPr>
        <b/>
        <sz val="12"/>
        <rFont val="Arial"/>
        <family val="2"/>
      </rPr>
      <t>August 2014 Auction #8</t>
    </r>
  </si>
  <si>
    <r>
      <rPr>
        <b/>
        <sz val="12"/>
        <rFont val="Arial"/>
        <family val="2"/>
      </rPr>
      <t>May 2014 Auction #7</t>
    </r>
  </si>
  <si>
    <r>
      <rPr>
        <b/>
        <sz val="12"/>
        <rFont val="Arial"/>
        <family val="2"/>
      </rPr>
      <t>February 2014 Auction #6</t>
    </r>
  </si>
  <si>
    <r>
      <rPr>
        <b/>
        <sz val="12"/>
        <rFont val="Arial"/>
        <family val="2"/>
      </rPr>
      <t>November 2013 Auction #5</t>
    </r>
  </si>
  <si>
    <r>
      <rPr>
        <b/>
        <sz val="12"/>
        <rFont val="Arial"/>
        <family val="2"/>
      </rPr>
      <t>August 2013 Auction #4</t>
    </r>
  </si>
  <si>
    <r>
      <rPr>
        <b/>
        <sz val="12"/>
        <rFont val="Arial"/>
        <family val="2"/>
      </rPr>
      <t>May 2013 Auction #3</t>
    </r>
  </si>
  <si>
    <r>
      <rPr>
        <b/>
        <sz val="12"/>
        <rFont val="Arial"/>
        <family val="2"/>
      </rPr>
      <t>February 2013 Auction #2</t>
    </r>
  </si>
  <si>
    <r>
      <rPr>
        <b/>
        <sz val="12"/>
        <rFont val="Arial"/>
        <family val="2"/>
      </rPr>
      <t>November 2012 Auction #1</t>
    </r>
  </si>
  <si>
    <t xml:space="preserve">Source: http://www.arb.ca.gov/cc/capandtrade/auction/auction.htm </t>
  </si>
  <si>
    <t>Annual</t>
  </si>
  <si>
    <t>volume</t>
  </si>
  <si>
    <t>revenues</t>
  </si>
  <si>
    <t>price</t>
  </si>
  <si>
    <t>NOTE: Auction revenues will include consigned allowances, so revenues column include proceeds distributed to utilities</t>
  </si>
  <si>
    <t xml:space="preserve">State versus consignment revenues may be found at: </t>
  </si>
  <si>
    <t>https://www.arb.ca.gov/cc/capandtrade/auction/proceeds_summary.pdf</t>
  </si>
  <si>
    <t xml:space="preserve"> 2022 IEPR (CED 2022 Update) GHG Allowance Price Projections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</si>
</sst>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_(* \(#,##0.00\);_(* &quot;-&quot;??_);_(@_)"/>
    <numFmt numFmtId="164" formatCode="_(* #,##0.000000000000000000_);_(* \(#,##0.000000000000000000\);_(* &quot;-&quot;??_);_(@_)"/>
    <numFmt numFmtId="165" formatCode="_(* #,##0.0000_);_(* \(#,##0.0000\);_(* &quot;-&quot;??_);_(@_)"/>
    <numFmt numFmtId="166" formatCode="_(* #,##0_);_(* \(#,##0\);_(* &quot;-&quot;??_);_(@_)"/>
    <numFmt numFmtId="167" formatCode="0.00000000000"/>
    <numFmt numFmtId="168" formatCode="_(* #,##0.000_);_(* \(#,##0.000\);_(* &quot;-&quot;??_);_(@_)"/>
    <numFmt numFmtId="169" formatCode="0_);\(0\)"/>
    <numFmt numFmtId="170" formatCode="0.000"/>
    <numFmt numFmtId="171" formatCode="0.0000"/>
    <numFmt numFmtId="172" formatCode="0.0%"/>
    <numFmt numFmtId="173" formatCode="0.00000"/>
    <numFmt numFmtId="174" formatCode="_(* #,##0.0_);_(* \(#,##0.0\);_(* &quot;-&quot;??_);_(@_)"/>
    <numFmt numFmtId="175" formatCode="&quot;$&quot;0.00"/>
    <numFmt numFmtId="176" formatCode="\$0.00"/>
  </numFmts>
  <fonts count="23"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sz val="11"/>
      <color theme="1"/>
      <name val="Arial"/>
      <family val="2"/>
    </font>
    <font>
      <b/>
      <sz val="11"/>
      <color indexed="8"/>
      <name val="Calibri"/>
      <family val="2"/>
    </font>
    <font>
      <b/>
      <vertAlign val="subscript"/>
      <sz val="11"/>
      <color indexed="8"/>
      <name val="Calibri"/>
      <family val="2"/>
    </font>
    <font>
      <b/>
      <vertAlign val="superscript"/>
      <sz val="11"/>
      <color indexed="8"/>
      <name val="Calibri"/>
      <family val="2"/>
    </font>
    <font>
      <vertAlign val="superscript"/>
      <sz val="11"/>
      <color theme="1"/>
      <name val="Calibri"/>
      <family val="2"/>
      <scheme val="minor"/>
    </font>
    <font>
      <sz val="11"/>
      <color indexed="8"/>
      <name val="Calibri"/>
      <family val="2"/>
    </font>
    <font>
      <vertAlign val="superscript"/>
      <sz val="11"/>
      <color indexed="8"/>
      <name val="Calibri"/>
      <family val="2"/>
    </font>
    <font>
      <sz val="11"/>
      <color theme="1"/>
      <name val="Calibri"/>
      <family val="2"/>
    </font>
    <font>
      <vertAlign val="superscript"/>
      <sz val="11"/>
      <color theme="1"/>
      <name val="Calibri"/>
      <family val="2"/>
    </font>
    <font>
      <vertAlign val="superscript"/>
      <sz val="12"/>
      <color indexed="8"/>
      <name val="Calibri"/>
      <family val="2"/>
    </font>
    <font>
      <sz val="10"/>
      <color rgb="FF000000"/>
      <name val="Times New Roman"/>
      <family val="1"/>
    </font>
    <font>
      <b/>
      <sz val="12"/>
      <name val="Arial"/>
      <family val="2"/>
    </font>
    <font>
      <b/>
      <sz val="11"/>
      <name val="Arial"/>
      <family val="2"/>
    </font>
    <font>
      <b/>
      <sz val="12"/>
      <color indexed="8"/>
      <name val="Trebuchet MS"/>
      <family val="2"/>
    </font>
    <font>
      <sz val="12"/>
      <color indexed="8"/>
      <name val="Arial"/>
      <family val="2"/>
    </font>
    <font>
      <sz val="12"/>
      <color rgb="FF000000"/>
      <name val="Arial"/>
      <family val="2"/>
    </font>
    <font>
      <b/>
      <sz val="12"/>
      <name val="Trebuchet MS"/>
      <family val="2"/>
    </font>
    <font>
      <b/>
      <sz val="12"/>
      <color indexed="8"/>
      <name val="Arial"/>
      <family val="2"/>
    </font>
    <font>
      <sz val="11"/>
      <name val="Calibri"/>
      <family val="2"/>
      <scheme val="minor"/>
    </font>
  </fonts>
  <fills count="10">
    <fill>
      <patternFill patternType="none"/>
    </fill>
    <fill>
      <patternFill patternType="gray125"/>
    </fill>
    <fill>
      <patternFill patternType="solid">
        <fgColor theme="0"/>
        <bgColor indexed="64"/>
      </patternFill>
    </fill>
    <fill>
      <patternFill patternType="solid">
        <fgColor rgb="FF4F81BC"/>
      </patternFill>
    </fill>
    <fill>
      <patternFill patternType="solid">
        <fgColor rgb="FFBBE3F7"/>
      </patternFill>
    </fill>
    <fill>
      <patternFill patternType="solid">
        <fgColor rgb="FFCDE9F7"/>
      </patternFill>
    </fill>
    <fill>
      <patternFill patternType="solid">
        <fgColor rgb="FFDBE4F0"/>
        <bgColor indexed="64"/>
      </patternFill>
    </fill>
    <fill>
      <patternFill patternType="solid">
        <fgColor rgb="FFDBE4F0"/>
      </patternFill>
    </fill>
    <fill>
      <patternFill patternType="solid">
        <fgColor rgb="FFB8CCE3"/>
        <bgColor indexed="64"/>
      </patternFill>
    </fill>
    <fill>
      <patternFill patternType="solid">
        <fgColor rgb="FFB8CCE3"/>
      </patternFill>
    </fill>
  </fills>
  <borders count="18">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style="thin">
        <color rgb="FF001F5F"/>
      </top>
      <bottom style="thin">
        <color rgb="FF000000"/>
      </bottom>
      <diagonal/>
    </border>
    <border>
      <left style="thin">
        <color rgb="FF000000"/>
      </left>
      <right/>
      <top style="thin">
        <color rgb="FF001F5F"/>
      </top>
      <bottom style="thin">
        <color rgb="FF000000"/>
      </bottom>
      <diagonal/>
    </border>
    <border>
      <left style="thin">
        <color rgb="FF000000"/>
      </left>
      <right style="thin">
        <color rgb="FF000000"/>
      </right>
      <top/>
      <bottom style="thin">
        <color rgb="FF000000"/>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4" fillId="0" borderId="0"/>
  </cellStyleXfs>
  <cellXfs count="138">
    <xf numFmtId="0" fontId="0" fillId="0" borderId="0" xfId="0"/>
    <xf numFmtId="164" fontId="0" fillId="0" borderId="0" xfId="1" applyNumberFormat="1" applyFont="1"/>
    <xf numFmtId="165" fontId="0" fillId="0" borderId="0" xfId="1" applyNumberFormat="1" applyFont="1"/>
    <xf numFmtId="166" fontId="0" fillId="0" borderId="0" xfId="1" applyNumberFormat="1" applyFont="1"/>
    <xf numFmtId="0" fontId="2" fillId="0" borderId="0" xfId="0" applyFont="1"/>
    <xf numFmtId="167" fontId="0" fillId="0" borderId="0" xfId="1" applyNumberFormat="1" applyFont="1"/>
    <xf numFmtId="0" fontId="3" fillId="0" borderId="0" xfId="0" applyFont="1" applyAlignment="1">
      <alignment horizontal="left" vertical="top" wrapText="1"/>
    </xf>
    <xf numFmtId="167" fontId="0" fillId="0" borderId="0" xfId="0" applyNumberFormat="1"/>
    <xf numFmtId="168" fontId="0" fillId="0" borderId="0" xfId="1" applyNumberFormat="1" applyFont="1"/>
    <xf numFmtId="168" fontId="0" fillId="0" borderId="0" xfId="0" applyNumberFormat="1"/>
    <xf numFmtId="0" fontId="4" fillId="0" borderId="0" xfId="0" applyFont="1" applyAlignment="1">
      <alignment wrapText="1"/>
    </xf>
    <xf numFmtId="169" fontId="0" fillId="0" borderId="0" xfId="1" applyNumberFormat="1" applyFont="1"/>
    <xf numFmtId="43" fontId="0" fillId="0" borderId="0" xfId="0" applyNumberFormat="1"/>
    <xf numFmtId="43" fontId="2" fillId="0" borderId="0" xfId="1" applyFont="1" applyFill="1"/>
    <xf numFmtId="43" fontId="2" fillId="0" borderId="0" xfId="1" applyFont="1"/>
    <xf numFmtId="166" fontId="2" fillId="0" borderId="0" xfId="1" applyNumberFormat="1" applyFont="1"/>
    <xf numFmtId="166" fontId="2" fillId="0" borderId="0" xfId="1" applyNumberFormat="1" applyFont="1" applyFill="1"/>
    <xf numFmtId="2" fontId="0" fillId="0" borderId="0" xfId="0" applyNumberFormat="1"/>
    <xf numFmtId="170" fontId="0" fillId="0" borderId="0" xfId="0" applyNumberFormat="1"/>
    <xf numFmtId="43" fontId="0" fillId="0" borderId="0" xfId="1" applyFont="1"/>
    <xf numFmtId="0" fontId="0" fillId="2" borderId="0" xfId="0" applyFill="1"/>
    <xf numFmtId="43" fontId="0" fillId="0" borderId="0" xfId="1" applyFont="1" applyFill="1"/>
    <xf numFmtId="166" fontId="0" fillId="2" borderId="0" xfId="1" applyNumberFormat="1" applyFont="1" applyFill="1"/>
    <xf numFmtId="43" fontId="0" fillId="2" borderId="0" xfId="1" applyFont="1" applyFill="1"/>
    <xf numFmtId="171" fontId="1" fillId="0" borderId="0" xfId="2" applyNumberFormat="1" applyFont="1" applyFill="1"/>
    <xf numFmtId="43" fontId="1" fillId="0" borderId="0" xfId="1" applyFont="1" applyFill="1"/>
    <xf numFmtId="168" fontId="1" fillId="0" borderId="0" xfId="1" applyNumberFormat="1" applyFont="1" applyFill="1"/>
    <xf numFmtId="0" fontId="0" fillId="0" borderId="0" xfId="0" applyAlignment="1">
      <alignment wrapText="1"/>
    </xf>
    <xf numFmtId="10" fontId="1" fillId="0" borderId="0" xfId="2" applyNumberFormat="1" applyFont="1" applyFill="1"/>
    <xf numFmtId="166" fontId="1" fillId="0" borderId="0" xfId="1" applyNumberFormat="1" applyFont="1" applyFill="1"/>
    <xf numFmtId="10" fontId="0" fillId="0" borderId="0" xfId="1" applyNumberFormat="1" applyFont="1"/>
    <xf numFmtId="0" fontId="4" fillId="0" borderId="0" xfId="0" applyFont="1"/>
    <xf numFmtId="172" fontId="0" fillId="0" borderId="0" xfId="2" applyNumberFormat="1" applyFont="1"/>
    <xf numFmtId="0" fontId="9" fillId="0" borderId="0" xfId="0" applyFont="1" applyAlignment="1">
      <alignment vertical="top"/>
    </xf>
    <xf numFmtId="0" fontId="11" fillId="0" borderId="0" xfId="0" applyFont="1" applyAlignment="1">
      <alignment vertical="top" wrapText="1"/>
    </xf>
    <xf numFmtId="0" fontId="9" fillId="0" borderId="0" xfId="0" applyFont="1" applyAlignment="1">
      <alignment wrapText="1"/>
    </xf>
    <xf numFmtId="0" fontId="9" fillId="0" borderId="0" xfId="0" applyFont="1"/>
    <xf numFmtId="0" fontId="9" fillId="0" borderId="1" xfId="0" applyFont="1" applyBorder="1"/>
    <xf numFmtId="0" fontId="0" fillId="0" borderId="2" xfId="0" applyBorder="1"/>
    <xf numFmtId="0" fontId="0" fillId="0" borderId="3" xfId="0" applyBorder="1"/>
    <xf numFmtId="0" fontId="0" fillId="0" borderId="4" xfId="0" applyBorder="1"/>
    <xf numFmtId="0" fontId="0" fillId="0" borderId="5" xfId="0" applyBorder="1"/>
    <xf numFmtId="0" fontId="2" fillId="0" borderId="0" xfId="0" applyFont="1" applyAlignment="1">
      <alignment wrapText="1"/>
    </xf>
    <xf numFmtId="0" fontId="0" fillId="0" borderId="4" xfId="0" applyBorder="1" applyAlignment="1">
      <alignment horizontal="right" indent="5"/>
    </xf>
    <xf numFmtId="43" fontId="0" fillId="0" borderId="0" xfId="1" applyFont="1" applyBorder="1"/>
    <xf numFmtId="169" fontId="0" fillId="0" borderId="0" xfId="0" applyNumberFormat="1" applyAlignment="1">
      <alignment horizontal="left" vertical="top"/>
    </xf>
    <xf numFmtId="170" fontId="0" fillId="0" borderId="0" xfId="0" applyNumberFormat="1" applyAlignment="1">
      <alignment horizontal="left" vertical="top"/>
    </xf>
    <xf numFmtId="170" fontId="2" fillId="0" borderId="0" xfId="1" applyNumberFormat="1" applyFont="1" applyFill="1" applyBorder="1" applyAlignment="1">
      <alignment horizontal="left" vertical="top"/>
    </xf>
    <xf numFmtId="170" fontId="2" fillId="0" borderId="5" xfId="1" applyNumberFormat="1" applyFont="1" applyFill="1" applyBorder="1" applyAlignment="1">
      <alignment horizontal="left" vertical="top"/>
    </xf>
    <xf numFmtId="170" fontId="0" fillId="0" borderId="5" xfId="0" applyNumberFormat="1" applyBorder="1" applyAlignment="1">
      <alignment horizontal="left" vertical="top"/>
    </xf>
    <xf numFmtId="43" fontId="2" fillId="0" borderId="0" xfId="0" applyNumberFormat="1" applyFont="1"/>
    <xf numFmtId="0" fontId="0" fillId="0" borderId="4" xfId="0" applyBorder="1" applyAlignment="1">
      <alignment horizontal="right"/>
    </xf>
    <xf numFmtId="173" fontId="0" fillId="0" borderId="0" xfId="0" applyNumberFormat="1" applyAlignment="1">
      <alignment horizontal="left" vertical="top"/>
    </xf>
    <xf numFmtId="43" fontId="0" fillId="0" borderId="4" xfId="0" applyNumberFormat="1" applyBorder="1" applyAlignment="1">
      <alignment horizontal="right"/>
    </xf>
    <xf numFmtId="170" fontId="2" fillId="0" borderId="0" xfId="0" applyNumberFormat="1" applyFont="1"/>
    <xf numFmtId="170" fontId="0" fillId="0" borderId="5" xfId="0" applyNumberFormat="1" applyBorder="1"/>
    <xf numFmtId="170" fontId="0" fillId="0" borderId="6" xfId="0" applyNumberFormat="1" applyBorder="1" applyAlignment="1">
      <alignment horizontal="left" vertical="top"/>
    </xf>
    <xf numFmtId="170" fontId="0" fillId="0" borderId="7" xfId="0" applyNumberFormat="1" applyBorder="1" applyAlignment="1">
      <alignment horizontal="left" vertical="top"/>
    </xf>
    <xf numFmtId="0" fontId="0" fillId="0" borderId="8" xfId="0" applyBorder="1" applyAlignment="1">
      <alignment horizontal="right" indent="5"/>
    </xf>
    <xf numFmtId="174" fontId="2" fillId="0" borderId="6" xfId="0" applyNumberFormat="1" applyFont="1" applyBorder="1"/>
    <xf numFmtId="169" fontId="0" fillId="0" borderId="6" xfId="0" applyNumberFormat="1" applyBorder="1" applyAlignment="1">
      <alignment horizontal="left" vertical="top"/>
    </xf>
    <xf numFmtId="0" fontId="2" fillId="0" borderId="0" xfId="0" applyFont="1" applyAlignment="1">
      <alignment vertical="center"/>
    </xf>
    <xf numFmtId="43" fontId="2" fillId="0" borderId="0" xfId="0" applyNumberFormat="1" applyFont="1" applyAlignment="1">
      <alignment vertical="center"/>
    </xf>
    <xf numFmtId="166" fontId="2" fillId="0" borderId="0" xfId="1" applyNumberFormat="1" applyFont="1" applyAlignment="1">
      <alignment vertical="center"/>
    </xf>
    <xf numFmtId="0" fontId="0" fillId="0" borderId="9" xfId="0" applyBorder="1"/>
    <xf numFmtId="166" fontId="0" fillId="0" borderId="9" xfId="1" applyNumberFormat="1" applyFont="1" applyBorder="1"/>
    <xf numFmtId="0" fontId="14" fillId="0" borderId="0" xfId="3" applyAlignment="1">
      <alignment horizontal="left" vertical="top"/>
    </xf>
    <xf numFmtId="0" fontId="15" fillId="0" borderId="0" xfId="3" applyFont="1" applyAlignment="1">
      <alignment horizontal="left" vertical="top"/>
    </xf>
    <xf numFmtId="0" fontId="14" fillId="0" borderId="0" xfId="3" applyAlignment="1">
      <alignment horizontal="center"/>
    </xf>
    <xf numFmtId="0" fontId="14" fillId="0" borderId="0" xfId="3" applyAlignment="1">
      <alignment horizontal="center" vertical="top"/>
    </xf>
    <xf numFmtId="166" fontId="14" fillId="0" borderId="0" xfId="1" applyNumberFormat="1" applyFont="1" applyFill="1" applyBorder="1" applyAlignment="1">
      <alignment horizontal="center"/>
    </xf>
    <xf numFmtId="0" fontId="16" fillId="0" borderId="0" xfId="3" applyFont="1" applyAlignment="1">
      <alignment horizontal="center" vertical="top"/>
    </xf>
    <xf numFmtId="3" fontId="14" fillId="0" borderId="0" xfId="3" applyNumberFormat="1" applyAlignment="1">
      <alignment horizontal="center" vertical="top"/>
    </xf>
    <xf numFmtId="0" fontId="15" fillId="3" borderId="10" xfId="3" applyFont="1" applyFill="1" applyBorder="1" applyAlignment="1">
      <alignment horizontal="left" vertical="top" wrapText="1"/>
    </xf>
    <xf numFmtId="0" fontId="15" fillId="3" borderId="11" xfId="3" applyFont="1" applyFill="1" applyBorder="1" applyAlignment="1">
      <alignment horizontal="center" wrapText="1"/>
    </xf>
    <xf numFmtId="166" fontId="15" fillId="3" borderId="11" xfId="1" applyNumberFormat="1" applyFont="1" applyFill="1" applyBorder="1" applyAlignment="1">
      <alignment horizontal="center" wrapText="1"/>
    </xf>
    <xf numFmtId="0" fontId="17" fillId="0" borderId="12" xfId="0" applyFont="1" applyBorder="1" applyAlignment="1">
      <alignment horizontal="left" vertical="top" wrapText="1"/>
    </xf>
    <xf numFmtId="3" fontId="18" fillId="0" borderId="13" xfId="0" applyNumberFormat="1" applyFont="1" applyBorder="1" applyAlignment="1">
      <alignment horizontal="left" vertical="top" indent="2" shrinkToFit="1"/>
    </xf>
    <xf numFmtId="175" fontId="18" fillId="0" borderId="13" xfId="0" applyNumberFormat="1" applyFont="1" applyBorder="1" applyAlignment="1">
      <alignment horizontal="left" vertical="top" indent="2" shrinkToFit="1"/>
    </xf>
    <xf numFmtId="3" fontId="18" fillId="0" borderId="13" xfId="0" applyNumberFormat="1" applyFont="1" applyBorder="1" applyAlignment="1">
      <alignment horizontal="left" vertical="top" indent="4" shrinkToFit="1"/>
    </xf>
    <xf numFmtId="3" fontId="18" fillId="0" borderId="13" xfId="0" applyNumberFormat="1" applyFont="1" applyBorder="1" applyAlignment="1">
      <alignment horizontal="left" vertical="top" indent="3" shrinkToFit="1"/>
    </xf>
    <xf numFmtId="175" fontId="18" fillId="0" borderId="14" xfId="0" applyNumberFormat="1" applyFont="1" applyBorder="1" applyAlignment="1">
      <alignment horizontal="left" vertical="top" indent="2" shrinkToFit="1"/>
    </xf>
    <xf numFmtId="166" fontId="19" fillId="0" borderId="11" xfId="1" applyNumberFormat="1" applyFont="1" applyFill="1" applyBorder="1" applyAlignment="1">
      <alignment horizontal="center" wrapText="1"/>
    </xf>
    <xf numFmtId="0" fontId="20" fillId="4" borderId="11" xfId="0" applyFont="1" applyFill="1" applyBorder="1" applyAlignment="1">
      <alignment horizontal="left" vertical="top" wrapText="1"/>
    </xf>
    <xf numFmtId="3" fontId="19" fillId="4" borderId="11" xfId="0" applyNumberFormat="1" applyFont="1" applyFill="1" applyBorder="1" applyAlignment="1">
      <alignment horizontal="right" vertical="top" shrinkToFit="1"/>
    </xf>
    <xf numFmtId="176" fontId="19" fillId="4" borderId="11" xfId="0" applyNumberFormat="1" applyFont="1" applyFill="1" applyBorder="1" applyAlignment="1">
      <alignment horizontal="right" vertical="top" indent="2" shrinkToFit="1"/>
    </xf>
    <xf numFmtId="176" fontId="19" fillId="4" borderId="11" xfId="0" applyNumberFormat="1" applyFont="1" applyFill="1" applyBorder="1" applyAlignment="1">
      <alignment horizontal="center" vertical="top" shrinkToFit="1"/>
    </xf>
    <xf numFmtId="0" fontId="20" fillId="0" borderId="11" xfId="0" applyFont="1" applyBorder="1" applyAlignment="1">
      <alignment horizontal="left" vertical="top" wrapText="1"/>
    </xf>
    <xf numFmtId="3" fontId="19" fillId="0" borderId="11" xfId="0" applyNumberFormat="1" applyFont="1" applyBorder="1" applyAlignment="1">
      <alignment horizontal="right" vertical="top" shrinkToFit="1"/>
    </xf>
    <xf numFmtId="176" fontId="19" fillId="0" borderId="11" xfId="0" applyNumberFormat="1" applyFont="1" applyBorder="1" applyAlignment="1">
      <alignment horizontal="right" vertical="top" indent="2" shrinkToFit="1"/>
    </xf>
    <xf numFmtId="176" fontId="19" fillId="0" borderId="11" xfId="0" applyNumberFormat="1" applyFont="1" applyBorder="1" applyAlignment="1">
      <alignment horizontal="center" vertical="top" shrinkToFit="1"/>
    </xf>
    <xf numFmtId="0" fontId="20" fillId="5" borderId="11" xfId="0" applyFont="1" applyFill="1" applyBorder="1" applyAlignment="1">
      <alignment horizontal="left" vertical="top" wrapText="1"/>
    </xf>
    <xf numFmtId="3" fontId="19" fillId="5" borderId="11" xfId="0" applyNumberFormat="1" applyFont="1" applyFill="1" applyBorder="1" applyAlignment="1">
      <alignment horizontal="right" vertical="top" shrinkToFit="1"/>
    </xf>
    <xf numFmtId="176" fontId="19" fillId="5" borderId="11" xfId="0" applyNumberFormat="1" applyFont="1" applyFill="1" applyBorder="1" applyAlignment="1">
      <alignment horizontal="right" vertical="top" indent="2" shrinkToFit="1"/>
    </xf>
    <xf numFmtId="176" fontId="19" fillId="5" borderId="11" xfId="0" applyNumberFormat="1" applyFont="1" applyFill="1" applyBorder="1" applyAlignment="1">
      <alignment horizontal="center" vertical="top" shrinkToFit="1"/>
    </xf>
    <xf numFmtId="0" fontId="21" fillId="6" borderId="11" xfId="0" applyFont="1" applyFill="1" applyBorder="1" applyAlignment="1">
      <alignment horizontal="left" vertical="top" wrapText="1"/>
    </xf>
    <xf numFmtId="3" fontId="18" fillId="6" borderId="11" xfId="0" applyNumberFormat="1" applyFont="1" applyFill="1" applyBorder="1" applyAlignment="1">
      <alignment horizontal="right" vertical="top" shrinkToFit="1"/>
    </xf>
    <xf numFmtId="175" fontId="18" fillId="6" borderId="11" xfId="0" applyNumberFormat="1" applyFont="1" applyFill="1" applyBorder="1" applyAlignment="1">
      <alignment horizontal="left" vertical="top" indent="2" shrinkToFit="1"/>
    </xf>
    <xf numFmtId="175" fontId="18" fillId="6" borderId="10" xfId="0" applyNumberFormat="1" applyFont="1" applyFill="1" applyBorder="1" applyAlignment="1">
      <alignment horizontal="right" vertical="top" indent="1" shrinkToFit="1"/>
    </xf>
    <xf numFmtId="175" fontId="0" fillId="0" borderId="0" xfId="0" applyNumberFormat="1"/>
    <xf numFmtId="0" fontId="15" fillId="0" borderId="11" xfId="0" applyFont="1" applyBorder="1" applyAlignment="1">
      <alignment horizontal="left" vertical="top" wrapText="1"/>
    </xf>
    <xf numFmtId="176" fontId="19" fillId="0" borderId="11" xfId="0" applyNumberFormat="1" applyFont="1" applyBorder="1" applyAlignment="1">
      <alignment horizontal="left" vertical="top" indent="2" shrinkToFit="1"/>
    </xf>
    <xf numFmtId="0" fontId="15" fillId="7" borderId="11" xfId="0" applyFont="1" applyFill="1" applyBorder="1" applyAlignment="1">
      <alignment horizontal="left" vertical="top" wrapText="1"/>
    </xf>
    <xf numFmtId="3" fontId="19" fillId="7" borderId="11" xfId="0" applyNumberFormat="1" applyFont="1" applyFill="1" applyBorder="1" applyAlignment="1">
      <alignment horizontal="right" vertical="top" shrinkToFit="1"/>
    </xf>
    <xf numFmtId="176" fontId="19" fillId="7" borderId="11" xfId="0" applyNumberFormat="1" applyFont="1" applyFill="1" applyBorder="1" applyAlignment="1">
      <alignment horizontal="left" vertical="top" indent="2" shrinkToFit="1"/>
    </xf>
    <xf numFmtId="176" fontId="19" fillId="7" borderId="11" xfId="0" applyNumberFormat="1" applyFont="1" applyFill="1" applyBorder="1" applyAlignment="1">
      <alignment horizontal="right" vertical="top" indent="2" shrinkToFit="1"/>
    </xf>
    <xf numFmtId="0" fontId="15" fillId="0" borderId="15" xfId="0" applyFont="1" applyBorder="1" applyAlignment="1">
      <alignment horizontal="left" vertical="top" wrapText="1"/>
    </xf>
    <xf numFmtId="3" fontId="19" fillId="0" borderId="15" xfId="0" applyNumberFormat="1" applyFont="1" applyBorder="1" applyAlignment="1">
      <alignment horizontal="right" vertical="top" wrapText="1"/>
    </xf>
    <xf numFmtId="176" fontId="19" fillId="0" borderId="15" xfId="0" applyNumberFormat="1" applyFont="1" applyBorder="1" applyAlignment="1">
      <alignment horizontal="left" vertical="top" wrapText="1" indent="2"/>
    </xf>
    <xf numFmtId="176" fontId="19" fillId="0" borderId="16" xfId="0" applyNumberFormat="1" applyFont="1" applyBorder="1" applyAlignment="1">
      <alignment horizontal="right" vertical="top" wrapText="1" indent="1"/>
    </xf>
    <xf numFmtId="3" fontId="19" fillId="7" borderId="11" xfId="0" applyNumberFormat="1" applyFont="1" applyFill="1" applyBorder="1" applyAlignment="1">
      <alignment horizontal="right" vertical="top" wrapText="1"/>
    </xf>
    <xf numFmtId="176" fontId="19" fillId="7" borderId="11" xfId="0" applyNumberFormat="1" applyFont="1" applyFill="1" applyBorder="1" applyAlignment="1">
      <alignment horizontal="left" vertical="top" wrapText="1" indent="2"/>
    </xf>
    <xf numFmtId="176" fontId="19" fillId="7" borderId="10" xfId="0" applyNumberFormat="1" applyFont="1" applyFill="1" applyBorder="1" applyAlignment="1">
      <alignment horizontal="right" vertical="top" wrapText="1" indent="1"/>
    </xf>
    <xf numFmtId="3" fontId="19" fillId="0" borderId="11" xfId="0" applyNumberFormat="1" applyFont="1" applyBorder="1" applyAlignment="1">
      <alignment horizontal="right" vertical="top" wrapText="1"/>
    </xf>
    <xf numFmtId="176" fontId="19" fillId="0" borderId="11" xfId="0" applyNumberFormat="1" applyFont="1" applyBorder="1" applyAlignment="1">
      <alignment horizontal="left" vertical="top" wrapText="1" indent="2"/>
    </xf>
    <xf numFmtId="176" fontId="19" fillId="0" borderId="10" xfId="0" applyNumberFormat="1" applyFont="1" applyBorder="1" applyAlignment="1">
      <alignment horizontal="right" vertical="top" wrapText="1" indent="1"/>
    </xf>
    <xf numFmtId="0" fontId="21" fillId="0" borderId="17" xfId="0" applyFont="1" applyBorder="1" applyAlignment="1">
      <alignment horizontal="left" vertical="top" wrapText="1"/>
    </xf>
    <xf numFmtId="3" fontId="18" fillId="0" borderId="17" xfId="0" applyNumberFormat="1" applyFont="1" applyBorder="1" applyAlignment="1">
      <alignment horizontal="center" wrapText="1"/>
    </xf>
    <xf numFmtId="176" fontId="19" fillId="0" borderId="11" xfId="3" applyNumberFormat="1" applyFont="1" applyBorder="1" applyAlignment="1">
      <alignment horizontal="center" wrapText="1"/>
    </xf>
    <xf numFmtId="0" fontId="21" fillId="8" borderId="11" xfId="0" applyFont="1" applyFill="1" applyBorder="1" applyAlignment="1">
      <alignment horizontal="left" vertical="top" wrapText="1"/>
    </xf>
    <xf numFmtId="3" fontId="18" fillId="8" borderId="11" xfId="0" applyNumberFormat="1" applyFont="1" applyFill="1" applyBorder="1" applyAlignment="1">
      <alignment horizontal="center" wrapText="1"/>
    </xf>
    <xf numFmtId="176" fontId="19" fillId="9" borderId="11" xfId="3" applyNumberFormat="1" applyFont="1" applyFill="1" applyBorder="1" applyAlignment="1">
      <alignment horizontal="center" wrapText="1"/>
    </xf>
    <xf numFmtId="0" fontId="15" fillId="0" borderId="10" xfId="3" applyFont="1" applyBorder="1" applyAlignment="1">
      <alignment horizontal="left" vertical="top" wrapText="1"/>
    </xf>
    <xf numFmtId="0" fontId="15" fillId="9" borderId="10" xfId="3" applyFont="1" applyFill="1" applyBorder="1" applyAlignment="1">
      <alignment horizontal="left" vertical="top" wrapText="1"/>
    </xf>
    <xf numFmtId="3" fontId="19" fillId="9" borderId="11" xfId="3" applyNumberFormat="1" applyFont="1" applyFill="1" applyBorder="1" applyAlignment="1">
      <alignment horizontal="center" wrapText="1"/>
    </xf>
    <xf numFmtId="3" fontId="19" fillId="0" borderId="11" xfId="3" applyNumberFormat="1" applyFont="1" applyBorder="1" applyAlignment="1">
      <alignment horizontal="center" wrapText="1"/>
    </xf>
    <xf numFmtId="0" fontId="15" fillId="9" borderId="11" xfId="3" applyFont="1" applyFill="1" applyBorder="1" applyAlignment="1">
      <alignment horizontal="left" vertical="top" wrapText="1"/>
    </xf>
    <xf numFmtId="0" fontId="15" fillId="0" borderId="11" xfId="3" applyFont="1" applyBorder="1" applyAlignment="1">
      <alignment horizontal="left" vertical="top" wrapText="1"/>
    </xf>
    <xf numFmtId="0" fontId="14" fillId="2" borderId="0" xfId="3" applyFill="1" applyAlignment="1">
      <alignment horizontal="left" vertical="top"/>
    </xf>
    <xf numFmtId="43" fontId="14" fillId="0" borderId="0" xfId="1" applyFont="1" applyFill="1" applyBorder="1" applyAlignment="1">
      <alignment horizontal="center" vertical="top"/>
    </xf>
    <xf numFmtId="43" fontId="14" fillId="0" borderId="0" xfId="3" applyNumberFormat="1" applyAlignment="1">
      <alignment horizontal="center" vertical="top"/>
    </xf>
    <xf numFmtId="0" fontId="22" fillId="0" borderId="0" xfId="0" applyFont="1"/>
    <xf numFmtId="0" fontId="0" fillId="0" borderId="0" xfId="0" applyAlignment="1">
      <alignment horizontal="center"/>
    </xf>
    <xf numFmtId="43" fontId="0" fillId="0" borderId="0" xfId="0" applyNumberFormat="1" applyAlignment="1">
      <alignment horizontal="center"/>
    </xf>
    <xf numFmtId="0" fontId="22" fillId="0" borderId="0" xfId="3" applyFont="1" applyAlignment="1">
      <alignment horizontal="left" vertical="top"/>
    </xf>
    <xf numFmtId="166" fontId="0" fillId="0" borderId="0" xfId="0" applyNumberFormat="1" applyAlignment="1">
      <alignment horizontal="center"/>
    </xf>
    <xf numFmtId="0" fontId="9" fillId="0" borderId="0" xfId="0" applyFont="1" applyAlignment="1">
      <alignment horizontal="left"/>
    </xf>
    <xf numFmtId="0" fontId="11" fillId="0" borderId="0" xfId="0" applyFont="1" applyAlignment="1">
      <alignment vertical="top"/>
    </xf>
  </cellXfs>
  <cellStyles count="4">
    <cellStyle name="Comma" xfId="1" builtinId="3"/>
    <cellStyle name="Normal" xfId="0" builtinId="0"/>
    <cellStyle name="Normal 2" xfId="3" xr:uid="{B9F95864-EE00-4E35-96C9-3517E8EF6AB7}"/>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9524</xdr:rowOff>
    </xdr:from>
    <xdr:to>
      <xdr:col>12</xdr:col>
      <xdr:colOff>450978</xdr:colOff>
      <xdr:row>65</xdr:row>
      <xdr:rowOff>132184</xdr:rowOff>
    </xdr:to>
    <xdr:sp macro="" textlink="">
      <xdr:nvSpPr>
        <xdr:cNvPr id="2" name="TextBox 1">
          <a:extLst>
            <a:ext uri="{FF2B5EF4-FFF2-40B4-BE49-F238E27FC236}">
              <a16:creationId xmlns:a16="http://schemas.microsoft.com/office/drawing/2014/main" id="{E069CAD6-02DB-4FB2-ADBF-A1B24C8FCA14}"/>
            </a:ext>
          </a:extLst>
        </xdr:cNvPr>
        <xdr:cNvSpPr txBox="1"/>
      </xdr:nvSpPr>
      <xdr:spPr>
        <a:xfrm>
          <a:off x="0" y="9524"/>
          <a:ext cx="7122366" cy="12252456"/>
        </a:xfrm>
        <a:prstGeom prst="rect">
          <a:avLst/>
        </a:prstGeom>
        <a:solidFill>
          <a:sysClr val="window" lastClr="FFFFFF"/>
        </a:solidFill>
        <a:ln w="9525" cmpd="sng">
          <a:solidFill>
            <a:sysClr val="window" lastClr="FFFFFF">
              <a:shade val="50000"/>
            </a:sysClr>
          </a:solidFill>
        </a:ln>
        <a:effectLst/>
      </xdr:spPr>
      <xdr:txBody>
        <a:bodyPr vert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mn-lt"/>
              <a:ea typeface="+mn-ea"/>
              <a:cs typeface="+mn-cs"/>
            </a:rPr>
            <a:t>CED 2022 Update </a:t>
          </a:r>
          <a:r>
            <a:rPr kumimoji="0" lang="en-US" sz="1400" b="1" i="0" u="none" strike="noStrike" kern="0" cap="none" spc="0" normalizeH="0" baseline="0" noProof="0">
              <a:ln>
                <a:noFill/>
              </a:ln>
              <a:solidFill>
                <a:sysClr val="windowText" lastClr="000000"/>
              </a:solidFill>
              <a:effectLst/>
              <a:uLnTx/>
              <a:uFillTx/>
              <a:latin typeface="Calibri"/>
              <a:ea typeface="+mn-ea"/>
              <a:cs typeface="+mn-cs"/>
            </a:rPr>
            <a:t>GHG Allowance Price Projections</a:t>
          </a:r>
          <a:endParaRPr kumimoji="0" lang="en-US" sz="1400" b="0" i="0" u="none" strike="noStrike" kern="0" cap="none" spc="0" normalizeH="0" baseline="0" noProof="0">
            <a:ln>
              <a:noFill/>
            </a:ln>
            <a:solidFill>
              <a:sysClr val="windowText" lastClr="000000"/>
            </a:solidFill>
            <a:effectLst/>
            <a:uLnTx/>
            <a:uFillTx/>
            <a:latin typeface="Calibri"/>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Calibri"/>
              <a:ea typeface="+mn-ea"/>
              <a:cs typeface="+mn-cs"/>
            </a:rPr>
            <a:t>Energy Assessment Division</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Calibri"/>
              <a:ea typeface="+mn-ea"/>
              <a:cs typeface="+mn-cs"/>
            </a:rPr>
            <a:t>1-13-23</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a:ea typeface="+mn-ea"/>
            <a:cs typeface="+mn-cs"/>
          </a:endParaRPr>
        </a:p>
        <a:p>
          <a:pPr eaLnBrk="1" fontAlgn="auto" latinLnBrk="0" hangingPunct="1"/>
          <a:r>
            <a:rPr lang="en-US" sz="1100" b="1" i="0" baseline="0">
              <a:effectLst/>
              <a:latin typeface="+mn-lt"/>
              <a:ea typeface="+mn-ea"/>
              <a:cs typeface="+mn-cs"/>
            </a:rPr>
            <a:t>Author</a:t>
          </a:r>
          <a:r>
            <a:rPr lang="en-US" sz="1100" b="0" i="0" baseline="0">
              <a:effectLst/>
              <a:latin typeface="+mn-lt"/>
              <a:ea typeface="+mn-ea"/>
              <a:cs typeface="+mn-cs"/>
            </a:rPr>
            <a:t>:</a:t>
          </a:r>
          <a:endParaRPr lang="en-US">
            <a:effectLst/>
          </a:endParaRPr>
        </a:p>
        <a:p>
          <a:pPr eaLnBrk="1" fontAlgn="auto" latinLnBrk="0" hangingPunct="1"/>
          <a:r>
            <a:rPr lang="en-US" sz="1100" b="0" i="0" baseline="0">
              <a:effectLst/>
              <a:latin typeface="+mn-lt"/>
              <a:ea typeface="+mn-ea"/>
              <a:cs typeface="+mn-cs"/>
            </a:rPr>
            <a:t>Lynn Marshall, Energy Assessments Division, California Energy Commission. Lynn.Marshall@energy.ca.gov </a:t>
          </a:r>
          <a:endParaRPr lang="en-US">
            <a:effectLst/>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a:ea typeface="+mn-ea"/>
              <a:cs typeface="+mn-cs"/>
            </a:rPr>
            <a:t>Summary:</a:t>
          </a:r>
          <a:r>
            <a:rPr kumimoji="0" lang="en-US" sz="1100" b="0" i="0" u="none" strike="noStrike" kern="0" cap="none" spc="0" normalizeH="0" baseline="0" noProof="0">
              <a:ln>
                <a:noFill/>
              </a:ln>
              <a:solidFill>
                <a:sysClr val="windowText" lastClr="000000"/>
              </a:solidFill>
              <a:effectLst/>
              <a:uLnTx/>
              <a:uFillTx/>
              <a:latin typeface="Calibri"/>
              <a:ea typeface="+mn-ea"/>
              <a:cs typeface="+mn-cs"/>
            </a:rPr>
            <a:t>  </a:t>
          </a:r>
          <a:r>
            <a:rPr kumimoji="0" lang="en-US" sz="1100" b="0" i="0" u="none" strike="noStrike" kern="0" cap="none" spc="0" normalizeH="0" baseline="0" noProof="0">
              <a:ln>
                <a:noFill/>
              </a:ln>
              <a:solidFill>
                <a:sysClr val="windowText" lastClr="000000"/>
              </a:solidFill>
              <a:effectLst/>
              <a:uLnTx/>
              <a:uFillTx/>
              <a:latin typeface="Calibri"/>
            </a:rPr>
            <a:t> </a:t>
          </a:r>
          <a:r>
            <a:rPr lang="en-US" sz="1100" b="0" i="0" u="none" strike="noStrike">
              <a:effectLst/>
              <a:latin typeface="Calibri" panose="020F0502020204030204" pitchFamily="34" charset="0"/>
              <a:ea typeface="+mn-ea"/>
              <a:cs typeface="+mn-cs"/>
            </a:rPr>
            <a:t>This spreadsheet presents preliminary low, mid and high California</a:t>
          </a:r>
          <a:r>
            <a:rPr lang="en-US" sz="1100" b="0" i="0" u="none" strike="noStrike" baseline="0">
              <a:effectLst/>
              <a:latin typeface="Calibri" panose="020F0502020204030204" pitchFamily="34" charset="0"/>
              <a:ea typeface="+mn-ea"/>
              <a:cs typeface="+mn-cs"/>
            </a:rPr>
            <a:t> Greenhouse Gas Allowance </a:t>
          </a:r>
          <a:r>
            <a:rPr lang="en-US" sz="1100" b="0" i="0" u="none" strike="noStrike">
              <a:effectLst/>
              <a:latin typeface="Calibri" panose="020F0502020204030204" pitchFamily="34" charset="0"/>
              <a:ea typeface="+mn-ea"/>
              <a:cs typeface="+mn-cs"/>
            </a:rPr>
            <a:t>price projections for</a:t>
          </a:r>
          <a:r>
            <a:rPr lang="en-US" sz="1100" b="0" i="0" u="none" strike="noStrike" baseline="0">
              <a:effectLst/>
              <a:latin typeface="Calibri" panose="020F0502020204030204" pitchFamily="34" charset="0"/>
              <a:ea typeface="+mn-ea"/>
              <a:cs typeface="+mn-cs"/>
            </a:rPr>
            <a:t> the </a:t>
          </a:r>
          <a:r>
            <a:rPr lang="en-US" sz="1100" b="0" i="1" u="none" strike="noStrike">
              <a:effectLst/>
              <a:latin typeface="Calibri" panose="020F0502020204030204" pitchFamily="34" charset="0"/>
              <a:ea typeface="+mn-ea"/>
              <a:cs typeface="+mn-cs"/>
            </a:rPr>
            <a:t>2022 IEPR, </a:t>
          </a:r>
          <a:r>
            <a:rPr lang="en-US" sz="1100" b="0" i="0" baseline="0">
              <a:effectLst/>
              <a:latin typeface="+mn-lt"/>
              <a:ea typeface="+mn-ea"/>
              <a:cs typeface="+mn-cs"/>
            </a:rPr>
            <a:t>California Energy Demand Forecast Update, 2022-2035</a:t>
          </a:r>
          <a:r>
            <a:rPr lang="en-US" sz="1100" b="0" i="0" u="none" strike="noStrike">
              <a:effectLst/>
              <a:latin typeface="Calibri" panose="020F0502020204030204" pitchFamily="34" charset="0"/>
              <a:ea typeface="+mn-ea"/>
              <a:cs typeface="+mn-cs"/>
            </a:rPr>
            <a:t>.</a:t>
          </a:r>
          <a:r>
            <a:rPr lang="en-US" sz="1100" b="0" i="0" u="none" strike="noStrike" baseline="0">
              <a:effectLst/>
              <a:latin typeface="Calibri" panose="020F0502020204030204" pitchFamily="34" charset="0"/>
              <a:ea typeface="+mn-ea"/>
              <a:cs typeface="+mn-cs"/>
            </a:rPr>
            <a:t> </a:t>
          </a:r>
          <a:r>
            <a:rPr lang="en-US" sz="1100" b="0" i="0">
              <a:latin typeface="Calibri" panose="020F0502020204030204" pitchFamily="34" charset="0"/>
            </a:rPr>
            <a:t>T</a:t>
          </a:r>
          <a:r>
            <a:rPr lang="en-US" sz="1100" b="0" i="0" u="none" strike="noStrike">
              <a:effectLst/>
              <a:latin typeface="Calibri" panose="020F0502020204030204" pitchFamily="34" charset="0"/>
              <a:ea typeface="+mn-ea"/>
              <a:cs typeface="+mn-cs"/>
            </a:rPr>
            <a:t>hese projections are consistent</a:t>
          </a:r>
          <a:r>
            <a:rPr lang="en-US" sz="1100" b="0" i="0" u="none" strike="noStrike" baseline="0">
              <a:effectLst/>
              <a:latin typeface="Calibri" panose="020F0502020204030204" pitchFamily="34" charset="0"/>
              <a:ea typeface="+mn-ea"/>
              <a:cs typeface="+mn-cs"/>
            </a:rPr>
            <a:t> with amendments to Regulations for the </a:t>
          </a:r>
          <a:r>
            <a:rPr lang="en-US" sz="1100" b="0" i="0">
              <a:effectLst/>
              <a:latin typeface="Calibri" panose="020F0502020204030204" pitchFamily="34" charset="0"/>
              <a:ea typeface="+mn-ea"/>
              <a:cs typeface="+mn-cs"/>
            </a:rPr>
            <a:t>California Cap on Greenhouse Gas Emissions and Market-Based Compliance Mechanisms</a:t>
          </a:r>
          <a:r>
            <a:rPr lang="en-US" sz="1100" b="0" i="0" u="none" baseline="0">
              <a:effectLst/>
              <a:latin typeface="Calibri" panose="020F0502020204030204" pitchFamily="34" charset="0"/>
              <a:ea typeface="+mn-ea"/>
              <a:cs typeface="+mn-cs"/>
            </a:rPr>
            <a:t> approved by the</a:t>
          </a:r>
          <a:r>
            <a:rPr lang="en-US" sz="1100" b="0" i="0" u="none">
              <a:effectLst/>
              <a:latin typeface="Calibri" panose="020F0502020204030204" pitchFamily="34" charset="0"/>
              <a:ea typeface="+mn-ea"/>
              <a:cs typeface="+mn-cs"/>
            </a:rPr>
            <a:t> </a:t>
          </a:r>
          <a:r>
            <a:rPr lang="en-US" sz="1100" b="0" i="0" baseline="0">
              <a:effectLst/>
              <a:latin typeface="Calibri" panose="020F0502020204030204" pitchFamily="34" charset="0"/>
              <a:ea typeface="+mn-ea"/>
              <a:cs typeface="+mn-cs"/>
            </a:rPr>
            <a:t>California </a:t>
          </a:r>
          <a:r>
            <a:rPr lang="en-US" sz="1100" b="0" i="0">
              <a:effectLst/>
              <a:latin typeface="Calibri" panose="020F0502020204030204" pitchFamily="34" charset="0"/>
              <a:ea typeface="+mn-ea"/>
              <a:cs typeface="+mn-cs"/>
            </a:rPr>
            <a:t>Air Resource Board</a:t>
          </a:r>
          <a:r>
            <a:rPr lang="en-US" sz="1100" b="0" i="0" baseline="0">
              <a:effectLst/>
              <a:latin typeface="Calibri" panose="020F0502020204030204" pitchFamily="34" charset="0"/>
              <a:ea typeface="+mn-ea"/>
              <a:cs typeface="+mn-cs"/>
            </a:rPr>
            <a:t>  (CARB) December 13, 2018</a:t>
          </a:r>
          <a:r>
            <a:rPr lang="en-US" sz="1100" b="0" i="0">
              <a:latin typeface="Calibri" panose="020F0502020204030204" pitchFamily="34" charset="0"/>
            </a:rPr>
            <a:t>. </a:t>
          </a:r>
          <a:r>
            <a:rPr lang="en-US" sz="1100" b="0" i="0">
              <a:effectLst/>
              <a:latin typeface="Calibri" panose="020F0502020204030204" pitchFamily="34" charset="0"/>
              <a:ea typeface="+mn-ea"/>
              <a:cs typeface="+mn-cs"/>
            </a:rPr>
            <a:t>The adopted regulations have the following  features: </a:t>
          </a:r>
        </a:p>
        <a:p>
          <a:pPr marL="171450" indent="-171450">
            <a:buFont typeface="Arial" panose="020B0604020202020204" pitchFamily="34" charset="0"/>
            <a:buChar char="•"/>
          </a:pPr>
          <a:r>
            <a:rPr lang="en-US" sz="1100" b="0" i="0">
              <a:effectLst/>
              <a:latin typeface="Calibri" panose="020F0502020204030204" pitchFamily="34" charset="0"/>
              <a:ea typeface="+mn-ea"/>
              <a:cs typeface="+mn-cs"/>
            </a:rPr>
            <a:t> A $65 (nominal) price ceiling value in 2021. </a:t>
          </a:r>
        </a:p>
        <a:p>
          <a:pPr marL="171450" lvl="0" indent="-171450">
            <a:buFont typeface="Arial" panose="020B0604020202020204" pitchFamily="34" charset="0"/>
            <a:buChar char="•"/>
          </a:pPr>
          <a:r>
            <a:rPr lang="en-US" sz="1100" b="0" i="0">
              <a:effectLst/>
              <a:latin typeface="Calibri" panose="020F0502020204030204" pitchFamily="34" charset="0"/>
              <a:ea typeface="+mn-ea"/>
              <a:cs typeface="+mn-cs"/>
            </a:rPr>
            <a:t>A new post-2020 Reserve Tier 1 price fixed at the halfway point of the Auction Reserve Price (floor price) and price ceiling in all years ($41.40 in 2021). </a:t>
          </a:r>
        </a:p>
        <a:p>
          <a:pPr marL="171450" lvl="0" indent="-171450">
            <a:buFont typeface="Arial" panose="020B0604020202020204" pitchFamily="34" charset="0"/>
            <a:buChar char="•"/>
          </a:pPr>
          <a:r>
            <a:rPr lang="en-US" sz="1100" b="0" i="0">
              <a:effectLst/>
              <a:latin typeface="Calibri" panose="020F0502020204030204" pitchFamily="34" charset="0"/>
              <a:ea typeface="+mn-ea"/>
              <a:cs typeface="+mn-cs"/>
            </a:rPr>
            <a:t>A new post-2020 Reserve Tier 2 price fixed at the three-quarter point of the Auction Reserve Price and the price ceiling in all years ($53.2 in 2021). </a:t>
          </a:r>
        </a:p>
        <a:p>
          <a:pPr marL="171450" lvl="0" indent="-171450">
            <a:buFont typeface="Arial" panose="020B0604020202020204" pitchFamily="34" charset="0"/>
            <a:buChar char="•"/>
          </a:pPr>
          <a:r>
            <a:rPr lang="en-US" sz="1100" b="0" i="0">
              <a:effectLst/>
              <a:latin typeface="Calibri" panose="020F0502020204030204" pitchFamily="34" charset="0"/>
              <a:ea typeface="+mn-ea"/>
              <a:cs typeface="+mn-cs"/>
            </a:rPr>
            <a:t>After 2021, tier prices and the price ceiling escalate annually at 5 percent plus inflation, measured</a:t>
          </a:r>
          <a:r>
            <a:rPr lang="en-US" sz="1100" b="0" i="0" baseline="0">
              <a:effectLst/>
              <a:latin typeface="Calibri" panose="020F0502020204030204" pitchFamily="34" charset="0"/>
              <a:ea typeface="+mn-ea"/>
              <a:cs typeface="+mn-cs"/>
            </a:rPr>
            <a:t> by the all-urban Consumer Price Index (CPI)</a:t>
          </a:r>
          <a:r>
            <a:rPr lang="en-US" sz="1100" b="0" i="0">
              <a:effectLst/>
              <a:latin typeface="Calibri" panose="020F0502020204030204" pitchFamily="34" charset="0"/>
              <a:ea typeface="+mn-ea"/>
              <a:cs typeface="+mn-cs"/>
            </a:rPr>
            <a:t>. The Auction Reserve Price</a:t>
          </a:r>
          <a:r>
            <a:rPr lang="en-US" sz="1100" b="0" i="0" baseline="0">
              <a:effectLst/>
              <a:latin typeface="Calibri" panose="020F0502020204030204" pitchFamily="34" charset="0"/>
              <a:ea typeface="+mn-ea"/>
              <a:cs typeface="+mn-cs"/>
            </a:rPr>
            <a:t> </a:t>
          </a:r>
          <a:r>
            <a:rPr lang="en-US" sz="1100" b="0" i="0">
              <a:effectLst/>
              <a:latin typeface="Calibri" panose="020F0502020204030204" pitchFamily="34" charset="0"/>
              <a:ea typeface="+mn-ea"/>
              <a:cs typeface="+mn-cs"/>
            </a:rPr>
            <a:t>escalates at the same rate.</a:t>
          </a:r>
        </a:p>
        <a:p>
          <a:r>
            <a:rPr lang="en-US" sz="1100" b="0" i="0">
              <a:effectLst/>
              <a:latin typeface="Calibri" panose="020F0502020204030204" pitchFamily="34" charset="0"/>
              <a:ea typeface="+mn-ea"/>
              <a:cs typeface="+mn-cs"/>
            </a:rPr>
            <a:t>When prices reach a given tier price, regulated entities may purchase from a pool of allowances set aside for that tier. If prices reach the ceiling, CARB must make unlimited allowances available</a:t>
          </a:r>
          <a:r>
            <a:rPr lang="en-US" sz="1100" b="0" i="0">
              <a:effectLst/>
              <a:latin typeface="+mn-lt"/>
              <a:ea typeface="+mn-ea"/>
              <a:cs typeface="+mn-cs"/>
            </a:rPr>
            <a:t> at that</a:t>
          </a:r>
          <a:r>
            <a:rPr lang="en-US" sz="1100" b="0" i="0" baseline="0">
              <a:effectLst/>
              <a:latin typeface="+mn-lt"/>
              <a:ea typeface="+mn-ea"/>
              <a:cs typeface="+mn-cs"/>
            </a:rPr>
            <a:t> price</a:t>
          </a:r>
          <a:r>
            <a:rPr lang="en-US" sz="1100" b="0" i="0">
              <a:effectLst/>
              <a:latin typeface="+mn-lt"/>
              <a:ea typeface="+mn-ea"/>
              <a:cs typeface="+mn-cs"/>
            </a:rPr>
            <a:t>, although CARB has indicated it believes the price ceiling is extremely unlikely to be reached</a:t>
          </a:r>
          <a:r>
            <a:rPr lang="en-US" sz="1100" b="0" i="0">
              <a:effectLst/>
              <a:latin typeface="Calibri" panose="020F0502020204030204" pitchFamily="34" charset="0"/>
              <a:ea typeface="+mn-ea"/>
              <a:cs typeface="+mn-cs"/>
            </a:rPr>
            <a:t>. Meanwhile, the</a:t>
          </a:r>
          <a:r>
            <a:rPr lang="en-US" sz="1100" b="0" i="0" baseline="0">
              <a:effectLst/>
              <a:latin typeface="Calibri" panose="020F0502020204030204" pitchFamily="34" charset="0"/>
              <a:ea typeface="+mn-ea"/>
              <a:cs typeface="+mn-cs"/>
            </a:rPr>
            <a:t> increased supply of</a:t>
          </a:r>
          <a:r>
            <a:rPr lang="en-US" sz="1100" b="0" i="0">
              <a:effectLst/>
              <a:latin typeface="Calibri" panose="020F0502020204030204" pitchFamily="34" charset="0"/>
              <a:ea typeface="+mn-ea"/>
              <a:cs typeface="+mn-cs"/>
            </a:rPr>
            <a:t> allowances at Tier 1 and Tier 2 will slow price increases at those levels. In scenario analysis of similar</a:t>
          </a:r>
          <a:r>
            <a:rPr lang="en-US" sz="1100" b="0" i="0" baseline="0">
              <a:effectLst/>
              <a:latin typeface="Calibri" panose="020F0502020204030204" pitchFamily="34" charset="0"/>
              <a:ea typeface="+mn-ea"/>
              <a:cs typeface="+mn-cs"/>
            </a:rPr>
            <a:t> structures, </a:t>
          </a:r>
          <a:r>
            <a:rPr lang="en-US" sz="1100" b="0" i="0">
              <a:effectLst/>
              <a:latin typeface="+mn-lt"/>
              <a:ea typeface="+mn-ea"/>
              <a:cs typeface="+mn-cs"/>
            </a:rPr>
            <a:t>Borenstein,</a:t>
          </a:r>
          <a:r>
            <a:rPr lang="en-US" sz="1100" b="0" i="0" baseline="0">
              <a:effectLst/>
              <a:latin typeface="+mn-lt"/>
              <a:ea typeface="+mn-ea"/>
              <a:cs typeface="+mn-cs"/>
            </a:rPr>
            <a:t> Bushell and Wolak (2017)</a:t>
          </a:r>
          <a:r>
            <a:rPr lang="en-US" sz="1100" b="0" i="0" baseline="0">
              <a:effectLst/>
              <a:latin typeface="Calibri" panose="020F0502020204030204" pitchFamily="34" charset="0"/>
              <a:ea typeface="+mn-ea"/>
              <a:cs typeface="+mn-cs"/>
            </a:rPr>
            <a:t> found probability-weighted expected prices in 2030 in the $40-$60 range, but with high probabilities of being either at the cap or floor price. T</a:t>
          </a:r>
          <a:r>
            <a:rPr lang="en-US" sz="1100" b="0" i="0">
              <a:effectLst/>
              <a:latin typeface="Calibri" panose="020F0502020204030204" pitchFamily="34" charset="0"/>
              <a:ea typeface="+mn-ea"/>
              <a:cs typeface="+mn-cs"/>
            </a:rPr>
            <a:t>herefore, staff selected </a:t>
          </a:r>
          <a:r>
            <a:rPr lang="en-US" sz="1100" b="0" i="0">
              <a:effectLst/>
              <a:latin typeface="+mn-lt"/>
              <a:ea typeface="+mn-ea"/>
              <a:cs typeface="+mn-cs"/>
            </a:rPr>
            <a:t>the 2035 Tier 1 price for</a:t>
          </a:r>
          <a:r>
            <a:rPr lang="en-US" sz="1100" b="0" i="0" baseline="0">
              <a:effectLst/>
              <a:latin typeface="+mn-lt"/>
              <a:ea typeface="+mn-ea"/>
              <a:cs typeface="+mn-cs"/>
            </a:rPr>
            <a:t> the mid case, </a:t>
          </a:r>
          <a:r>
            <a:rPr lang="en-US" sz="1100" b="0" i="0">
              <a:effectLst/>
              <a:latin typeface="Calibri" panose="020F0502020204030204" pitchFamily="34" charset="0"/>
              <a:ea typeface="+mn-ea"/>
              <a:cs typeface="+mn-cs"/>
            </a:rPr>
            <a:t>the Tier 2 price for the high</a:t>
          </a:r>
          <a:r>
            <a:rPr lang="en-US" sz="1100" b="0" i="0" baseline="0">
              <a:effectLst/>
              <a:latin typeface="Calibri" panose="020F0502020204030204" pitchFamily="34" charset="0"/>
              <a:ea typeface="+mn-ea"/>
              <a:cs typeface="+mn-cs"/>
            </a:rPr>
            <a:t> price </a:t>
          </a:r>
          <a:r>
            <a:rPr lang="en-US" sz="1100" b="0" i="0">
              <a:effectLst/>
              <a:latin typeface="Calibri" panose="020F0502020204030204" pitchFamily="34" charset="0"/>
              <a:ea typeface="+mn-ea"/>
              <a:cs typeface="+mn-cs"/>
            </a:rPr>
            <a:t>case, and continues to use the Auction Reserve Price in the low price</a:t>
          </a:r>
          <a:r>
            <a:rPr lang="en-US" sz="1100" b="0" i="0" baseline="0">
              <a:effectLst/>
              <a:latin typeface="Calibri" panose="020F0502020204030204" pitchFamily="34" charset="0"/>
              <a:ea typeface="+mn-ea"/>
              <a:cs typeface="+mn-cs"/>
            </a:rPr>
            <a:t> </a:t>
          </a:r>
          <a:r>
            <a:rPr lang="en-US" sz="1100" b="0" i="0">
              <a:effectLst/>
              <a:latin typeface="Calibri" panose="020F0502020204030204" pitchFamily="34" charset="0"/>
              <a:ea typeface="+mn-ea"/>
              <a:cs typeface="+mn-cs"/>
            </a:rPr>
            <a:t>case.</a:t>
          </a:r>
          <a:endParaRPr lang="en-US" sz="1100" b="0" i="0">
            <a:latin typeface="Calibri" panose="020F05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b="0" i="0">
            <a:latin typeface="Calibri" panose="020F05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Because credits are bankable over time, economic theory predicts that the price in any given year will equal the present discounted value of the final equilibrium price, so in the high price case, prices increase at the rate which produces a final nominal price of $159, the estimated  2035 Tier 2 price. In the mid case, the prices are escalated  to reach the expected Tier 1 price of $123 by 2035.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Sources: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The quarterly posted GHG auction price results: http://www.arb.ca.gov/cc/capandtrade/auction/auction.htm.  All prices are in USD. </a:t>
          </a:r>
        </a:p>
        <a:p>
          <a:pPr marL="0" marR="0" lvl="0" indent="0" defTabSz="914400" eaLnBrk="1" fontAlgn="auto" latinLnBrk="0" hangingPunct="1">
            <a:lnSpc>
              <a:spcPct val="100000"/>
            </a:lnSpc>
            <a:spcBef>
              <a:spcPts val="0"/>
            </a:spcBef>
            <a:spcAft>
              <a:spcPts val="0"/>
            </a:spcAft>
            <a:buClrTx/>
            <a:buSzTx/>
            <a:buFontTx/>
            <a:buNone/>
            <a:tabLst/>
            <a:defRPr/>
          </a:pPr>
          <a:r>
            <a:rPr lang="en-US" sz="1100" b="0" i="0" baseline="0">
              <a:effectLst/>
              <a:latin typeface="+mn-lt"/>
              <a:ea typeface="+mn-ea"/>
              <a:cs typeface="+mn-cs"/>
            </a:rPr>
            <a:t>California Energy Demand Forecast Update, 2022-2035 </a:t>
          </a:r>
          <a:r>
            <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Deflator Series, using Moody's Analytics, May 2022 GDP Deflator and CPI Forecast.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1"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CARB </a:t>
          </a:r>
          <a:r>
            <a:rPr lang="en-US" sz="1100" b="0" i="1">
              <a:effectLst/>
              <a:latin typeface="Calibri" panose="020F0502020204030204" pitchFamily="34" charset="0"/>
              <a:ea typeface="+mn-ea"/>
              <a:cs typeface="+mn-cs"/>
            </a:rPr>
            <a:t>California Cap on Greenhouse Gas Emissions and Market-Based Compliance Mechanisms Regulation</a:t>
          </a:r>
          <a:r>
            <a:rPr lang="en-US" sz="1100" b="0" i="0">
              <a:effectLst/>
              <a:latin typeface="Calibri" panose="020F0502020204030204" pitchFamily="34" charset="0"/>
              <a:ea typeface="+mn-ea"/>
              <a:cs typeface="+mn-cs"/>
            </a:rPr>
            <a:t>,</a:t>
          </a:r>
          <a:r>
            <a:rPr lang="en-US" sz="1100" b="0" i="0" baseline="0">
              <a:effectLst/>
              <a:latin typeface="Calibri" panose="020F0502020204030204" pitchFamily="34" charset="0"/>
              <a:ea typeface="+mn-ea"/>
              <a:cs typeface="+mn-cs"/>
            </a:rPr>
            <a:t> </a:t>
          </a:r>
          <a:r>
            <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https://www.arb.ca.gov/regact/2018/capandtrade18/capandtrade18.htm.</a:t>
          </a:r>
        </a:p>
        <a:p>
          <a:pPr marL="0" marR="0" lvl="0" indent="0" defTabSz="914400" eaLnBrk="1" fontAlgn="auto" latinLnBrk="0" hangingPunct="1">
            <a:lnSpc>
              <a:spcPct val="100000"/>
            </a:lnSpc>
            <a:spcBef>
              <a:spcPts val="0"/>
            </a:spcBef>
            <a:spcAft>
              <a:spcPts val="0"/>
            </a:spcAft>
            <a:buClrTx/>
            <a:buSzTx/>
            <a:buFontTx/>
            <a:buNone/>
            <a:tabLst/>
            <a:defRPr/>
          </a:pPr>
          <a:r>
            <a:rPr lang="en-US" sz="1100" b="0" i="1" baseline="0">
              <a:effectLst/>
              <a:latin typeface="Calibri" panose="020F0502020204030204" pitchFamily="34" charset="0"/>
              <a:ea typeface="+mn-ea"/>
              <a:cs typeface="+mn-cs"/>
            </a:rPr>
            <a:t>Staff Report: Initial Statement of Reasons</a:t>
          </a:r>
          <a:r>
            <a:rPr lang="en-US" sz="1100" b="0" i="0" baseline="0">
              <a:effectLst/>
              <a:latin typeface="Calibri" panose="020F0502020204030204" pitchFamily="34" charset="0"/>
              <a:ea typeface="+mn-ea"/>
              <a:cs typeface="+mn-cs"/>
            </a:rPr>
            <a:t>, September 4, 2018,  https://www.arb.ca.gov/regact/2018/capandtrade18/ct18isor.pdf</a:t>
          </a:r>
        </a:p>
        <a:p>
          <a:pPr marL="0" marR="0" lvl="0" indent="0" defTabSz="914400" eaLnBrk="1" fontAlgn="auto" latinLnBrk="0" hangingPunct="1">
            <a:lnSpc>
              <a:spcPct val="100000"/>
            </a:lnSpc>
            <a:spcBef>
              <a:spcPts val="0"/>
            </a:spcBef>
            <a:spcAft>
              <a:spcPts val="0"/>
            </a:spcAft>
            <a:buClrTx/>
            <a:buSzTx/>
            <a:buFontTx/>
            <a:buNone/>
            <a:tabLst/>
            <a:defRPr/>
          </a:pPr>
          <a:r>
            <a:rPr lang="en-US" sz="1100" b="0" i="0">
              <a:effectLst/>
              <a:latin typeface="+mn-lt"/>
              <a:ea typeface="+mn-ea"/>
              <a:cs typeface="+mn-cs"/>
            </a:rPr>
            <a:t>"Expecting the Unexpected: Emissions Uncertainty and Environmental Market Design", Borenstein,</a:t>
          </a:r>
          <a:r>
            <a:rPr lang="en-US" sz="1100" b="0" i="0" baseline="0">
              <a:effectLst/>
              <a:latin typeface="+mn-lt"/>
              <a:ea typeface="+mn-ea"/>
              <a:cs typeface="+mn-cs"/>
            </a:rPr>
            <a:t> Bushell and Wolak, July 2017, </a:t>
          </a:r>
          <a:r>
            <a:rPr lang="en-US" sz="1100" b="0" i="0">
              <a:effectLst/>
              <a:latin typeface="+mn-lt"/>
              <a:ea typeface="+mn-ea"/>
              <a:cs typeface="+mn-cs"/>
            </a:rPr>
            <a:t>https://ei.haas.berkeley.edu/research/papers/WP281.pdf</a:t>
          </a:r>
        </a:p>
        <a:p>
          <a:r>
            <a:rPr lang="en-US" sz="1100" b="0" i="0" u="none" strike="noStrike" baseline="0">
              <a:latin typeface="+mn-lt"/>
              <a:ea typeface="+mn-ea"/>
              <a:cs typeface="+mn-cs"/>
            </a:rPr>
            <a:t>CARB 2022 SCOPING PLAN FOR ACHIEVING CARBON NEUTRALITY, NOVEMBER 16, 2022 </a:t>
          </a:r>
        </a:p>
        <a:p>
          <a:r>
            <a:rPr lang="en-US" sz="1100">
              <a:effectLst/>
              <a:latin typeface="Calibri" panose="020F0502020204030204" pitchFamily="34" charset="0"/>
            </a:rPr>
            <a:t>https://ww2.arb.ca.gov/sites/default/files/2022-12/2022-sp.pdf</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Key Caveats: </a:t>
          </a:r>
          <a:r>
            <a:rPr lang="en-US" sz="1100" b="0" i="0">
              <a:effectLst/>
              <a:latin typeface="Calibri" panose="020F0502020204030204" pitchFamily="34" charset="0"/>
              <a:ea typeface="+mn-ea"/>
              <a:cs typeface="+mn-cs"/>
            </a:rPr>
            <a:t>Because of the many non-market policies that affect California emissions and abatement, emissions uncertainty is very large and increases the probability that prices will be near the floor or ceiling. </a:t>
          </a:r>
          <a:r>
            <a:rPr lang="en-US" sz="1100" b="0" i="0">
              <a:effectLst/>
              <a:latin typeface="+mn-lt"/>
              <a:ea typeface="+mn-ea"/>
              <a:cs typeface="+mn-cs"/>
            </a:rPr>
            <a:t>For an analysis of this issue under the previously adopted CARB regulations, see "Expecting the Unexpected: Emissions Uncertainty and Environmental Market Design", Borenstein,</a:t>
          </a:r>
          <a:r>
            <a:rPr lang="en-US" sz="1100" b="0" i="0" baseline="0">
              <a:effectLst/>
              <a:latin typeface="+mn-lt"/>
              <a:ea typeface="+mn-ea"/>
              <a:cs typeface="+mn-cs"/>
            </a:rPr>
            <a:t> Bushell et al., June 2018, </a:t>
          </a:r>
          <a:r>
            <a:rPr lang="en-US" sz="1100" b="0" i="0">
              <a:effectLst/>
              <a:latin typeface="+mn-lt"/>
              <a:ea typeface="+mn-ea"/>
              <a:cs typeface="+mn-cs"/>
            </a:rPr>
            <a:t>https://ei.haas.berkeley.edu/research/papers/WP274.pdf</a:t>
          </a:r>
          <a:r>
            <a:rPr lang="en-US" sz="1100" b="0" i="0">
              <a:effectLst/>
              <a:latin typeface="Calibri" panose="020F0502020204030204" pitchFamily="34" charset="0"/>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lang="en-US" sz="1100" b="0" i="0">
              <a:effectLst/>
              <a:latin typeface="Calibri" panose="020F0502020204030204" pitchFamily="34" charset="0"/>
              <a:ea typeface="+mn-ea"/>
              <a:cs typeface="+mn-cs"/>
            </a:rPr>
            <a:t>The current program regulations</a:t>
          </a:r>
          <a:r>
            <a:rPr lang="en-US" sz="1100" b="0" i="0" baseline="0">
              <a:effectLst/>
              <a:latin typeface="Calibri" panose="020F0502020204030204" pitchFamily="34" charset="0"/>
              <a:ea typeface="+mn-ea"/>
              <a:cs typeface="+mn-cs"/>
            </a:rPr>
            <a:t> extend only through 2030. CARB has indicated  that the next set of revised regulations, to be taken up in 2023, would be designed to increase emission reductions but the specific revisions are yet to be determined.</a:t>
          </a:r>
          <a:endParaRPr lang="en-US" sz="1100" b="0" i="0">
            <a:effectLst/>
            <a:latin typeface="Calibri" panose="020F050202020403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Updates: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Jan. 2023: </a:t>
          </a:r>
          <a:r>
            <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Added 2023 reserve price ($19.20) and final 2022 auction prices. Extended the mid-case scenario to reach the CARB Scoping Plan estimated cost per ton of remaining emissions in 2045 ($236 in 2018$).</a:t>
          </a:r>
          <a:endParaRPr kumimoji="0" lang="en-US" sz="110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Sept. 2022: </a:t>
          </a:r>
          <a:r>
            <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Updated 2022 mid case to reflect 2022 auction prices to date.</a:t>
          </a:r>
          <a:endParaRPr kumimoji="0" lang="en-US" sz="110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Dec. 2021: </a:t>
          </a:r>
          <a:r>
            <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Updated 2022 auction reserve price to 19.7; incorporated 2021 auction data.</a:t>
          </a:r>
        </a:p>
        <a:p>
          <a:pPr marL="0" marR="0" lvl="0" indent="0" defTabSz="914400" eaLnBrk="1" fontAlgn="auto" latinLnBrk="0" hangingPunct="1">
            <a:lnSpc>
              <a:spcPct val="100000"/>
            </a:lnSpc>
            <a:spcBef>
              <a:spcPts val="0"/>
            </a:spcBef>
            <a:spcAft>
              <a:spcPts val="0"/>
            </a:spcAft>
            <a:buClrTx/>
            <a:buSzTx/>
            <a:buFontTx/>
            <a:buNone/>
            <a:tabLst/>
            <a:defRPr/>
          </a:pPr>
          <a:r>
            <a:rPr lang="en-US" sz="1100" b="1" i="0" baseline="0">
              <a:effectLst/>
              <a:latin typeface="+mn-lt"/>
              <a:ea typeface="+mn-ea"/>
              <a:cs typeface="+mn-cs"/>
            </a:rPr>
            <a:t>Sept. 2021 </a:t>
          </a:r>
          <a:r>
            <a:rPr lang="en-US" sz="1100" b="0" i="0" baseline="0">
              <a:effectLst/>
              <a:latin typeface="+mn-lt"/>
              <a:ea typeface="+mn-ea"/>
              <a:cs typeface="+mn-cs"/>
            </a:rPr>
            <a:t>Updated 2021 price to include August 2021 auction and updated deflators.</a:t>
          </a:r>
          <a:endPar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April 2021:  </a:t>
          </a:r>
          <a:r>
            <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Set tier 1 price target for 2035</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January 2020: </a:t>
          </a:r>
          <a:r>
            <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Incorporated </a:t>
          </a:r>
          <a:r>
            <a:rPr lang="en-US" sz="1100" b="0" i="0" baseline="0">
              <a:effectLst/>
              <a:latin typeface="+mn-lt"/>
              <a:ea typeface="+mn-ea"/>
              <a:cs typeface="+mn-cs"/>
            </a:rPr>
            <a:t>2019 auction results and </a:t>
          </a:r>
          <a:r>
            <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2020 auction reserve price of $16.68 (https://ww3.arb.ca.gov/cc/capandtrade/auction/feb-2020/notice.pdf).  Updated GDP and CPI series with June 2019 Moody's projections. Added 2045 mid-case scenario developed for time dependent valuation for the Title 24 Building Standards.</a:t>
          </a:r>
          <a:endParaRPr lang="en-US" sz="1100" b="0" i="0">
            <a:effectLst/>
            <a:latin typeface="Calibri" panose="020F05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March 2019</a:t>
          </a:r>
          <a:r>
            <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 This is the first version modeling revised regulations per AB 398 and incorporates  comments received from CARB 3/12/2019. Previous carbon price forecasts are documented in https://efiling.energy.ca.gov/GetDocument.aspx?tn=222145</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ser\Rates\2021%20IEPR\August%20IA%20Workshop\wepchartda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epCht"/>
      <sheetName val="Chart2"/>
      <sheetName val="cap price"/>
      <sheetName val="CAPACITY"/>
      <sheetName val="graph new data"/>
      <sheetName val="quarterly 2020 coss"/>
      <sheetName val="wepdata"/>
      <sheetName val="Sheet4"/>
    </sheetNames>
    <sheetDataSet>
      <sheetData sheetId="0" refreshError="1"/>
      <sheetData sheetId="1" refreshError="1"/>
      <sheetData sheetId="2" refreshError="1"/>
      <sheetData sheetId="3" refreshError="1"/>
      <sheetData sheetId="4">
        <row r="27">
          <cell r="I27">
            <v>2014</v>
          </cell>
        </row>
      </sheetData>
      <sheetData sheetId="5" refreshError="1"/>
      <sheetData sheetId="6" refreshError="1"/>
      <sheetData sheetId="7">
        <row r="1">
          <cell r="B1" t="str">
            <v>June 2020 for 2020 update</v>
          </cell>
          <cell r="C1">
            <v>44317</v>
          </cell>
          <cell r="D1" t="str">
            <v>idx20</v>
          </cell>
        </row>
        <row r="2">
          <cell r="A2">
            <v>1970</v>
          </cell>
          <cell r="B2">
            <v>19.060561838173317</v>
          </cell>
          <cell r="C2">
            <v>19.080406654343808</v>
          </cell>
          <cell r="D2">
            <v>0.19080406654343807</v>
          </cell>
        </row>
        <row r="3">
          <cell r="A3">
            <v>1971</v>
          </cell>
          <cell r="B3">
            <v>20.025581230273112</v>
          </cell>
          <cell r="C3">
            <v>20.04643077193909</v>
          </cell>
          <cell r="D3">
            <v>0.20046430771939089</v>
          </cell>
        </row>
        <row r="4">
          <cell r="A4">
            <v>1972</v>
          </cell>
          <cell r="B4">
            <v>20.888822950723199</v>
          </cell>
          <cell r="C4">
            <v>20.910571252530588</v>
          </cell>
          <cell r="D4">
            <v>0.20910571252530588</v>
          </cell>
        </row>
        <row r="5">
          <cell r="A5">
            <v>1973</v>
          </cell>
          <cell r="B5">
            <v>22.03541546762354</v>
          </cell>
          <cell r="C5">
            <v>22.058357538949036</v>
          </cell>
          <cell r="D5">
            <v>0.22058357538949036</v>
          </cell>
        </row>
        <row r="6">
          <cell r="A6">
            <v>1974</v>
          </cell>
          <cell r="B6">
            <v>24.024366597400064</v>
          </cell>
          <cell r="C6">
            <v>24.049379456033801</v>
          </cell>
          <cell r="D6">
            <v>0.24049379456033801</v>
          </cell>
        </row>
        <row r="7">
          <cell r="A7">
            <v>1975</v>
          </cell>
          <cell r="B7">
            <v>26.238415644604871</v>
          </cell>
          <cell r="C7">
            <v>26.265733650206851</v>
          </cell>
          <cell r="D7">
            <v>0.26265733650206852</v>
          </cell>
        </row>
        <row r="8">
          <cell r="A8">
            <v>1976</v>
          </cell>
          <cell r="B8">
            <v>27.686824021494509</v>
          </cell>
          <cell r="C8">
            <v>27.715650030807144</v>
          </cell>
          <cell r="D8">
            <v>0.27715650030807143</v>
          </cell>
        </row>
        <row r="9">
          <cell r="A9">
            <v>1977</v>
          </cell>
          <cell r="B9">
            <v>29.403415464070203</v>
          </cell>
          <cell r="C9">
            <v>29.434028694657162</v>
          </cell>
          <cell r="D9">
            <v>0.29434028694657161</v>
          </cell>
        </row>
        <row r="10">
          <cell r="A10">
            <v>1978</v>
          </cell>
          <cell r="B10">
            <v>31.46490791489294</v>
          </cell>
          <cell r="C10">
            <v>31.497667458850447</v>
          </cell>
          <cell r="D10">
            <v>0.31497667458850448</v>
          </cell>
        </row>
        <row r="11">
          <cell r="A11">
            <v>1979</v>
          </cell>
          <cell r="B11">
            <v>34.086946937436529</v>
          </cell>
          <cell r="C11">
            <v>34.12243640524602</v>
          </cell>
          <cell r="D11">
            <v>0.34122436405246021</v>
          </cell>
        </row>
        <row r="12">
          <cell r="A12">
            <v>1980</v>
          </cell>
          <cell r="B12">
            <v>37.171052192826068</v>
          </cell>
          <cell r="C12">
            <v>37.209752662617724</v>
          </cell>
          <cell r="D12">
            <v>0.37209752662617723</v>
          </cell>
        </row>
        <row r="13">
          <cell r="A13">
            <v>1981</v>
          </cell>
          <cell r="B13">
            <v>40.687987330458093</v>
          </cell>
          <cell r="C13">
            <v>40.730349441070331</v>
          </cell>
          <cell r="D13">
            <v>0.40730349441070329</v>
          </cell>
        </row>
        <row r="14">
          <cell r="A14">
            <v>1982</v>
          </cell>
          <cell r="B14">
            <v>43.200994549247348</v>
          </cell>
          <cell r="C14">
            <v>43.245973065751258</v>
          </cell>
          <cell r="D14">
            <v>0.43245973065751259</v>
          </cell>
        </row>
        <row r="15">
          <cell r="A15">
            <v>1983</v>
          </cell>
          <cell r="B15">
            <v>44.883073908779835</v>
          </cell>
          <cell r="C15">
            <v>44.929803714461755</v>
          </cell>
          <cell r="D15">
            <v>0.44929803714461758</v>
          </cell>
        </row>
        <row r="16">
          <cell r="A16">
            <v>1984</v>
          </cell>
          <cell r="B16">
            <v>46.507120211475332</v>
          </cell>
          <cell r="C16">
            <v>46.555540885485435</v>
          </cell>
          <cell r="D16">
            <v>0.46555540885485436</v>
          </cell>
        </row>
        <row r="17">
          <cell r="A17">
            <v>1985</v>
          </cell>
          <cell r="B17">
            <v>47.979709028713714</v>
          </cell>
          <cell r="C17">
            <v>48.029662881788575</v>
          </cell>
          <cell r="D17">
            <v>0.48029662881788576</v>
          </cell>
        </row>
        <row r="18">
          <cell r="A18">
            <v>1986</v>
          </cell>
          <cell r="B18">
            <v>48.948245575773335</v>
          </cell>
          <cell r="C18">
            <v>48.999207816213371</v>
          </cell>
          <cell r="D18">
            <v>0.48999207816213369</v>
          </cell>
        </row>
        <row r="19">
          <cell r="A19">
            <v>1987</v>
          </cell>
          <cell r="B19">
            <v>50.154849549175545</v>
          </cell>
          <cell r="C19">
            <v>50.207068039785227</v>
          </cell>
          <cell r="D19">
            <v>0.5020706803978523</v>
          </cell>
        </row>
        <row r="20">
          <cell r="A20">
            <v>1988</v>
          </cell>
          <cell r="B20">
            <v>51.922879383038563</v>
          </cell>
          <cell r="C20">
            <v>51.976938649766751</v>
          </cell>
          <cell r="D20">
            <v>0.51976938649766746</v>
          </cell>
        </row>
        <row r="21">
          <cell r="A21">
            <v>1989</v>
          </cell>
          <cell r="B21">
            <v>53.961949970992471</v>
          </cell>
          <cell r="C21">
            <v>54.01813220667195</v>
          </cell>
          <cell r="D21">
            <v>0.54018132206671954</v>
          </cell>
        </row>
        <row r="22">
          <cell r="A22">
            <v>1990</v>
          </cell>
          <cell r="B22">
            <v>55.986292472552144</v>
          </cell>
          <cell r="C22">
            <v>56.044582343103599</v>
          </cell>
          <cell r="D22">
            <v>0.56044582343103599</v>
          </cell>
        </row>
        <row r="23">
          <cell r="A23">
            <v>1991</v>
          </cell>
          <cell r="B23">
            <v>57.876323619083827</v>
          </cell>
          <cell r="C23">
            <v>57.936581286858562</v>
          </cell>
          <cell r="D23">
            <v>0.57936581286858557</v>
          </cell>
        </row>
        <row r="24">
          <cell r="A24">
            <v>1992</v>
          </cell>
          <cell r="B24">
            <v>59.193498151535302</v>
          </cell>
          <cell r="C24">
            <v>59.255127189507981</v>
          </cell>
          <cell r="D24">
            <v>0.59255127189507983</v>
          </cell>
        </row>
        <row r="25">
          <cell r="A25">
            <v>1993</v>
          </cell>
          <cell r="B25">
            <v>60.597282624872243</v>
          </cell>
          <cell r="C25">
            <v>60.66037320658392</v>
          </cell>
          <cell r="D25">
            <v>0.60660373206583917</v>
          </cell>
        </row>
        <row r="26">
          <cell r="A26">
            <v>1994</v>
          </cell>
          <cell r="B26">
            <v>61.890496539159969</v>
          </cell>
          <cell r="C26">
            <v>61.954933544582339</v>
          </cell>
          <cell r="D26">
            <v>0.61954933544582336</v>
          </cell>
        </row>
        <row r="27">
          <cell r="A27">
            <v>1995</v>
          </cell>
          <cell r="B27">
            <v>63.18964565244238</v>
          </cell>
          <cell r="C27">
            <v>63.255435260980555</v>
          </cell>
          <cell r="D27">
            <v>0.63255435260980553</v>
          </cell>
        </row>
        <row r="28">
          <cell r="A28">
            <v>1996</v>
          </cell>
          <cell r="B28">
            <v>64.345690523297236</v>
          </cell>
          <cell r="C28">
            <v>64.412683742628303</v>
          </cell>
          <cell r="D28">
            <v>0.64412683742628307</v>
          </cell>
        </row>
        <row r="29">
          <cell r="A29">
            <v>1997</v>
          </cell>
          <cell r="B29">
            <v>65.455792557489474</v>
          </cell>
          <cell r="C29">
            <v>65.523941554440626</v>
          </cell>
          <cell r="D29">
            <v>0.65523941554440623</v>
          </cell>
        </row>
        <row r="30">
          <cell r="A30">
            <v>1998</v>
          </cell>
          <cell r="B30">
            <v>66.192196877201155</v>
          </cell>
          <cell r="C30">
            <v>66.26111257811813</v>
          </cell>
          <cell r="D30">
            <v>0.66261112578118131</v>
          </cell>
        </row>
        <row r="31">
          <cell r="A31">
            <v>1999</v>
          </cell>
          <cell r="B31">
            <v>67.147324270976455</v>
          </cell>
          <cell r="C31">
            <v>67.217234398380413</v>
          </cell>
          <cell r="D31">
            <v>0.6721723439838041</v>
          </cell>
        </row>
        <row r="32">
          <cell r="A32">
            <v>2000</v>
          </cell>
          <cell r="B32">
            <v>68.648929616633339</v>
          </cell>
          <cell r="C32">
            <v>68.720403133526972</v>
          </cell>
          <cell r="D32">
            <v>0.68720403133526975</v>
          </cell>
        </row>
        <row r="33">
          <cell r="A33">
            <v>2001</v>
          </cell>
          <cell r="B33">
            <v>70.158228738764805</v>
          </cell>
          <cell r="C33">
            <v>70.231273655488067</v>
          </cell>
          <cell r="D33">
            <v>0.70231273655488069</v>
          </cell>
        </row>
        <row r="34">
          <cell r="A34">
            <v>2002</v>
          </cell>
          <cell r="B34">
            <v>71.266792017662141</v>
          </cell>
          <cell r="C34">
            <v>71.340991109937505</v>
          </cell>
          <cell r="D34">
            <v>0.71340991109937502</v>
          </cell>
        </row>
        <row r="35">
          <cell r="A35">
            <v>2003</v>
          </cell>
          <cell r="B35">
            <v>72.586164771963482</v>
          </cell>
          <cell r="C35">
            <v>72.661737523105344</v>
          </cell>
          <cell r="D35">
            <v>0.72661737523105341</v>
          </cell>
        </row>
        <row r="36">
          <cell r="A36">
            <v>2004</v>
          </cell>
          <cell r="B36">
            <v>74.539944352141845</v>
          </cell>
          <cell r="C36">
            <v>74.617551271895067</v>
          </cell>
          <cell r="D36">
            <v>0.74617551271895066</v>
          </cell>
        </row>
        <row r="37">
          <cell r="A37">
            <v>2005</v>
          </cell>
          <cell r="B37">
            <v>76.862805380916001</v>
          </cell>
          <cell r="C37">
            <v>76.942830736730926</v>
          </cell>
          <cell r="D37">
            <v>0.76942830736730927</v>
          </cell>
        </row>
        <row r="38">
          <cell r="A38">
            <v>2006</v>
          </cell>
          <cell r="B38">
            <v>79.192041253054811</v>
          </cell>
          <cell r="C38">
            <v>79.274491682070234</v>
          </cell>
          <cell r="D38">
            <v>0.79274491682070236</v>
          </cell>
        </row>
        <row r="39">
          <cell r="A39">
            <v>2007</v>
          </cell>
          <cell r="B39">
            <v>81.318820892819147</v>
          </cell>
          <cell r="C39">
            <v>81.403485608661214</v>
          </cell>
          <cell r="D39">
            <v>0.81403485608661219</v>
          </cell>
        </row>
        <row r="40">
          <cell r="A40">
            <v>2008</v>
          </cell>
          <cell r="B40">
            <v>82.907036179361526</v>
          </cell>
          <cell r="C40">
            <v>82.993354458234307</v>
          </cell>
          <cell r="D40">
            <v>0.82993354458234303</v>
          </cell>
        </row>
        <row r="41">
          <cell r="A41">
            <v>2009</v>
          </cell>
          <cell r="B41">
            <v>83.534848339688878</v>
          </cell>
          <cell r="C41">
            <v>83.621820262300872</v>
          </cell>
          <cell r="D41">
            <v>0.83621820262300872</v>
          </cell>
        </row>
        <row r="42">
          <cell r="A42">
            <v>2010</v>
          </cell>
          <cell r="B42">
            <v>84.505583108598358</v>
          </cell>
          <cell r="C42">
            <v>84.593565707244096</v>
          </cell>
          <cell r="D42">
            <v>0.84593565707244101</v>
          </cell>
        </row>
        <row r="43">
          <cell r="A43">
            <v>2011</v>
          </cell>
          <cell r="B43">
            <v>86.271634542796463</v>
          </cell>
          <cell r="C43">
            <v>86.361455857758997</v>
          </cell>
          <cell r="D43">
            <v>0.86361455857758995</v>
          </cell>
        </row>
        <row r="44">
          <cell r="A44">
            <v>2012</v>
          </cell>
          <cell r="B44">
            <v>87.927774884500309</v>
          </cell>
          <cell r="C44">
            <v>88.019320482351901</v>
          </cell>
          <cell r="D44">
            <v>0.88019320482351904</v>
          </cell>
        </row>
        <row r="45">
          <cell r="A45">
            <v>2013</v>
          </cell>
          <cell r="B45">
            <v>89.468728401270127</v>
          </cell>
          <cell r="C45">
            <v>89.561878355778546</v>
          </cell>
          <cell r="D45">
            <v>0.89561878355778546</v>
          </cell>
        </row>
        <row r="46">
          <cell r="A46">
            <v>2014</v>
          </cell>
          <cell r="B46">
            <v>91.122670521124078</v>
          </cell>
          <cell r="C46">
            <v>91.217542469853015</v>
          </cell>
          <cell r="D46">
            <v>0.91217542469853019</v>
          </cell>
        </row>
        <row r="47">
          <cell r="A47">
            <v>2015</v>
          </cell>
          <cell r="B47">
            <v>92.075160048679521</v>
          </cell>
          <cell r="C47">
            <v>92.089164686207198</v>
          </cell>
          <cell r="D47">
            <v>0.92089164686207203</v>
          </cell>
        </row>
        <row r="48">
          <cell r="A48">
            <v>2016</v>
          </cell>
          <cell r="B48">
            <v>93.02699010968</v>
          </cell>
          <cell r="C48">
            <v>93.054308599595103</v>
          </cell>
          <cell r="D48">
            <v>0.93054308599595104</v>
          </cell>
        </row>
        <row r="49">
          <cell r="A49">
            <v>2017</v>
          </cell>
          <cell r="B49">
            <v>94.777434168743923</v>
          </cell>
          <cell r="C49">
            <v>94.802394155444077</v>
          </cell>
          <cell r="D49">
            <v>0.94802394155444081</v>
          </cell>
        </row>
        <row r="50">
          <cell r="A50">
            <v>2018</v>
          </cell>
          <cell r="B50">
            <v>97.086446399863803</v>
          </cell>
          <cell r="C50">
            <v>97.079262388874227</v>
          </cell>
          <cell r="D50">
            <v>0.97079262388874232</v>
          </cell>
        </row>
        <row r="51">
          <cell r="A51">
            <v>2019</v>
          </cell>
          <cell r="B51">
            <v>98.781055623940631</v>
          </cell>
          <cell r="C51">
            <v>98.813044626353317</v>
          </cell>
          <cell r="D51">
            <v>0.98813044626353319</v>
          </cell>
        </row>
        <row r="52">
          <cell r="A52">
            <v>2020</v>
          </cell>
          <cell r="B52">
            <v>100</v>
          </cell>
          <cell r="C52">
            <v>100</v>
          </cell>
          <cell r="D52">
            <v>1</v>
          </cell>
        </row>
        <row r="53">
          <cell r="A53">
            <v>2021</v>
          </cell>
          <cell r="B53">
            <v>100.80600294900002</v>
          </cell>
          <cell r="C53">
            <v>102.66573948697648</v>
          </cell>
          <cell r="D53">
            <v>1.0266573948697648</v>
          </cell>
        </row>
        <row r="54">
          <cell r="A54">
            <v>2022</v>
          </cell>
          <cell r="B54">
            <v>102.7387110543947</v>
          </cell>
          <cell r="C54">
            <v>105.14621629269774</v>
          </cell>
          <cell r="D54">
            <v>1.0514621629269774</v>
          </cell>
        </row>
        <row r="55">
          <cell r="A55">
            <v>2023</v>
          </cell>
          <cell r="B55">
            <v>104.99984785917233</v>
          </cell>
          <cell r="C55">
            <v>107.39998990119453</v>
          </cell>
          <cell r="D55">
            <v>1.0739998990119453</v>
          </cell>
        </row>
        <row r="56">
          <cell r="A56">
            <v>2024</v>
          </cell>
          <cell r="B56">
            <v>107.41145290800419</v>
          </cell>
          <cell r="C56">
            <v>109.74384545078628</v>
          </cell>
          <cell r="D56">
            <v>1.0974384545078628</v>
          </cell>
        </row>
        <row r="57">
          <cell r="A57">
            <v>2025</v>
          </cell>
          <cell r="B57">
            <v>109.66860394780117</v>
          </cell>
          <cell r="C57">
            <v>112.16714801470503</v>
          </cell>
          <cell r="D57">
            <v>1.1216714801470504</v>
          </cell>
        </row>
        <row r="58">
          <cell r="A58">
            <v>2026</v>
          </cell>
          <cell r="B58">
            <v>111.86377599699694</v>
          </cell>
          <cell r="C58">
            <v>114.43433775171005</v>
          </cell>
          <cell r="D58">
            <v>1.1443433775171004</v>
          </cell>
        </row>
        <row r="59">
          <cell r="A59">
            <v>2027</v>
          </cell>
          <cell r="B59">
            <v>114.12616997648715</v>
          </cell>
          <cell r="C59">
            <v>116.64269126452243</v>
          </cell>
          <cell r="D59">
            <v>1.1664269126452242</v>
          </cell>
        </row>
        <row r="60">
          <cell r="A60">
            <v>2028</v>
          </cell>
          <cell r="B60">
            <v>116.43226733405379</v>
          </cell>
          <cell r="C60">
            <v>118.78264801458516</v>
          </cell>
          <cell r="D60">
            <v>1.1878264801458516</v>
          </cell>
        </row>
        <row r="61">
          <cell r="A61">
            <v>2029</v>
          </cell>
          <cell r="B61">
            <v>118.78696251227095</v>
          </cell>
          <cell r="C61">
            <v>120.95354568429498</v>
          </cell>
          <cell r="D61">
            <v>1.2095354568429497</v>
          </cell>
        </row>
        <row r="62">
          <cell r="A62">
            <v>2030</v>
          </cell>
          <cell r="B62">
            <v>121.17429715616171</v>
          </cell>
          <cell r="C62">
            <v>123.13776831766241</v>
          </cell>
          <cell r="D62">
            <v>1.2313776831766241</v>
          </cell>
        </row>
        <row r="63">
          <cell r="A63">
            <v>2031</v>
          </cell>
          <cell r="B63">
            <v>123.57689021538714</v>
          </cell>
          <cell r="C63">
            <v>125.44036949335462</v>
          </cell>
          <cell r="D63">
            <v>1.2544036949335462</v>
          </cell>
        </row>
        <row r="64">
          <cell r="A64">
            <v>2032</v>
          </cell>
          <cell r="B64">
            <v>125.99602342873116</v>
          </cell>
          <cell r="C64">
            <v>127.80699462988719</v>
          </cell>
          <cell r="D64">
            <v>1.2780699462988718</v>
          </cell>
        </row>
        <row r="65">
          <cell r="A65">
            <v>2033</v>
          </cell>
          <cell r="B65">
            <v>128.45779251617168</v>
          </cell>
          <cell r="C65">
            <v>130.23607162274928</v>
          </cell>
          <cell r="D65">
            <v>1.3023607162274928</v>
          </cell>
        </row>
        <row r="66">
          <cell r="A66">
            <v>2034</v>
          </cell>
          <cell r="B66">
            <v>130.93547241330262</v>
          </cell>
          <cell r="C66">
            <v>132.71776980906208</v>
          </cell>
          <cell r="D66">
            <v>1.3271776980906207</v>
          </cell>
        </row>
        <row r="67">
          <cell r="A67">
            <v>2035</v>
          </cell>
          <cell r="B67">
            <v>133.43119566384877</v>
          </cell>
          <cell r="C67">
            <v>135.27464515001458</v>
          </cell>
          <cell r="D67">
            <v>1.3527464515001457</v>
          </cell>
        </row>
        <row r="68">
          <cell r="A68">
            <v>2036</v>
          </cell>
          <cell r="B68">
            <v>135.9421229024845</v>
          </cell>
          <cell r="C68">
            <v>137.896296463954</v>
          </cell>
          <cell r="D68">
            <v>1.37896296463954</v>
          </cell>
        </row>
        <row r="69">
          <cell r="A69">
            <v>2037</v>
          </cell>
          <cell r="B69">
            <v>138.48900375075473</v>
          </cell>
          <cell r="C69">
            <v>140.55862009701005</v>
          </cell>
          <cell r="D69">
            <v>1.4055862009701006</v>
          </cell>
        </row>
        <row r="70">
          <cell r="A70">
            <v>2038</v>
          </cell>
          <cell r="B70">
            <v>141.06669440208051</v>
          </cell>
          <cell r="C70">
            <v>143.29492301674875</v>
          </cell>
          <cell r="D70">
            <v>1.4329492301674875</v>
          </cell>
        </row>
        <row r="71">
          <cell r="A71">
            <v>2039</v>
          </cell>
          <cell r="B71">
            <v>143.63779979667012</v>
          </cell>
          <cell r="C71">
            <v>146.10658236821897</v>
          </cell>
          <cell r="D71">
            <v>1.4610658236821896</v>
          </cell>
        </row>
        <row r="72">
          <cell r="A72">
            <v>2040</v>
          </cell>
          <cell r="B72">
            <v>146.22298791727496</v>
          </cell>
          <cell r="C72">
            <v>148.98085003823107</v>
          </cell>
          <cell r="D72">
            <v>1.4898085003823107</v>
          </cell>
        </row>
        <row r="73">
          <cell r="A73">
            <v>2041</v>
          </cell>
          <cell r="B73">
            <v>148.81679921336575</v>
          </cell>
          <cell r="C73">
            <v>151.85205380947605</v>
          </cell>
          <cell r="D73">
            <v>1.5185205380947604</v>
          </cell>
        </row>
        <row r="74">
          <cell r="A74">
            <v>2042</v>
          </cell>
          <cell r="B74">
            <v>151.41212307986655</v>
          </cell>
          <cell r="C74">
            <v>154.73030033952952</v>
          </cell>
          <cell r="D74">
            <v>1.5473030033952953</v>
          </cell>
        </row>
        <row r="75">
          <cell r="A75">
            <v>2043</v>
          </cell>
          <cell r="B75">
            <v>153.99531946954687</v>
          </cell>
          <cell r="C75">
            <v>157.66411377421093</v>
          </cell>
          <cell r="D75">
            <v>1.5766411377421092</v>
          </cell>
        </row>
        <row r="76">
          <cell r="A76">
            <v>2044</v>
          </cell>
          <cell r="B76">
            <v>156.47182037364578</v>
          </cell>
          <cell r="C76">
            <v>160.66028636488991</v>
          </cell>
          <cell r="D76">
            <v>1.6066028636488991</v>
          </cell>
        </row>
        <row r="77">
          <cell r="A77">
            <v>2045</v>
          </cell>
          <cell r="B77">
            <v>159.05173681630046</v>
          </cell>
          <cell r="C77">
            <v>163.69735282224528</v>
          </cell>
          <cell r="D77">
            <v>1.6369735282224527</v>
          </cell>
        </row>
        <row r="78">
          <cell r="A78">
            <v>2046</v>
          </cell>
          <cell r="B78">
            <v>161.62996506381231</v>
          </cell>
          <cell r="C78">
            <v>166.77252224863179</v>
          </cell>
          <cell r="D78">
            <v>1.6677252224863179</v>
          </cell>
        </row>
        <row r="79">
          <cell r="A79">
            <v>2047</v>
          </cell>
          <cell r="B79">
            <v>164.25050116324996</v>
          </cell>
          <cell r="C79">
            <v>169.89688686046779</v>
          </cell>
          <cell r="D79">
            <v>1.6989688686046778</v>
          </cell>
        </row>
        <row r="80">
          <cell r="A80">
            <v>2048</v>
          </cell>
          <cell r="B80">
            <v>166.91949710277993</v>
          </cell>
          <cell r="C80">
            <v>173.07526038938616</v>
          </cell>
          <cell r="D80">
            <v>1.7307526038938617</v>
          </cell>
        </row>
        <row r="81">
          <cell r="A81">
            <v>2049</v>
          </cell>
          <cell r="B81">
            <v>169.6348602864127</v>
          </cell>
          <cell r="C81">
            <v>176.31310804589975</v>
          </cell>
          <cell r="D81">
            <v>1.7631310804589975</v>
          </cell>
        </row>
        <row r="82">
          <cell r="A82">
            <v>2050</v>
          </cell>
          <cell r="B82">
            <v>172.37548003296541</v>
          </cell>
          <cell r="C82">
            <v>179.59740354425608</v>
          </cell>
          <cell r="D82">
            <v>1.7959740354425608</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7BD89-B492-4ED9-BB60-C44D1A5D86D6}">
  <sheetPr>
    <pageSetUpPr fitToPage="1"/>
  </sheetPr>
  <dimension ref="A1:B2"/>
  <sheetViews>
    <sheetView tabSelected="1" topLeftCell="B1" zoomScale="98" zoomScaleNormal="98" workbookViewId="0">
      <selection activeCell="O48" sqref="O48"/>
    </sheetView>
  </sheetViews>
  <sheetFormatPr defaultRowHeight="14.4" x14ac:dyDescent="0.3"/>
  <cols>
    <col min="1" max="1" width="2.44140625" hidden="1" customWidth="1"/>
  </cols>
  <sheetData>
    <row r="1" spans="2:2" x14ac:dyDescent="0.3">
      <c r="B1" t="s">
        <v>0</v>
      </c>
    </row>
    <row r="2" spans="2:2" x14ac:dyDescent="0.3">
      <c r="B2" t="s">
        <v>1</v>
      </c>
    </row>
  </sheetData>
  <pageMargins left="0.7" right="0.7" top="0.75" bottom="0.75" header="0.3" footer="0.3"/>
  <pageSetup scale="8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48664-F623-4C18-8971-21E944761F10}">
  <dimension ref="A1:AV73"/>
  <sheetViews>
    <sheetView zoomScale="78" zoomScaleNormal="78" workbookViewId="0">
      <pane xSplit="1" ySplit="5" topLeftCell="N6" activePane="bottomRight" state="frozen"/>
      <selection activeCell="O48" sqref="O48"/>
      <selection pane="topRight" activeCell="O48" sqref="O48"/>
      <selection pane="bottomLeft" activeCell="O48" sqref="O48"/>
      <selection pane="bottomRight" activeCell="K14" sqref="K14"/>
    </sheetView>
  </sheetViews>
  <sheetFormatPr defaultRowHeight="14.4" x14ac:dyDescent="0.3"/>
  <cols>
    <col min="1" max="1" width="64.33203125" customWidth="1"/>
    <col min="2" max="2" width="10" customWidth="1"/>
    <col min="3" max="3" width="8.44140625" customWidth="1"/>
    <col min="4" max="4" width="9.5546875" customWidth="1"/>
    <col min="5" max="8" width="9.109375" customWidth="1"/>
    <col min="9" max="9" width="11" customWidth="1"/>
    <col min="10" max="10" width="10.109375" customWidth="1"/>
    <col min="11" max="11" width="11.44140625" customWidth="1"/>
    <col min="12" max="14" width="11" customWidth="1"/>
    <col min="15" max="15" width="11.44140625" customWidth="1"/>
    <col min="16" max="16" width="11" customWidth="1"/>
    <col min="17" max="17" width="12.5546875" customWidth="1"/>
    <col min="18" max="18" width="11.44140625" customWidth="1"/>
    <col min="19" max="19" width="13.44140625" customWidth="1"/>
    <col min="20" max="20" width="11.5546875" customWidth="1"/>
    <col min="21" max="21" width="9.6640625" customWidth="1"/>
    <col min="22" max="22" width="13.33203125" customWidth="1"/>
    <col min="23" max="23" width="11.44140625" customWidth="1"/>
    <col min="24" max="24" width="10.44140625" style="3" customWidth="1"/>
    <col min="25" max="33" width="9.6640625" hidden="1" customWidth="1"/>
    <col min="34" max="34" width="9.6640625" customWidth="1"/>
    <col min="35" max="38" width="9.6640625" hidden="1" customWidth="1"/>
    <col min="39" max="39" width="9.6640625" customWidth="1"/>
  </cols>
  <sheetData>
    <row r="1" spans="1:40" x14ac:dyDescent="0.3">
      <c r="F1" s="1"/>
      <c r="G1" s="1"/>
      <c r="H1" s="2"/>
      <c r="I1" s="1"/>
      <c r="J1" s="1"/>
      <c r="K1" s="1"/>
      <c r="L1" s="1"/>
      <c r="M1" s="1"/>
      <c r="N1" s="1"/>
      <c r="O1" s="1"/>
      <c r="P1" s="1"/>
      <c r="Q1" s="1"/>
      <c r="R1" s="1"/>
      <c r="S1" s="1"/>
    </row>
    <row r="2" spans="1:40" x14ac:dyDescent="0.3">
      <c r="A2" s="4"/>
      <c r="F2" s="5"/>
      <c r="G2" s="5"/>
      <c r="H2" s="5"/>
      <c r="I2" s="5"/>
      <c r="J2" s="5"/>
      <c r="K2" s="5"/>
      <c r="L2" s="5"/>
      <c r="M2" s="5"/>
      <c r="N2" s="5"/>
      <c r="O2" s="5"/>
      <c r="P2" s="5"/>
      <c r="Q2" s="5"/>
      <c r="R2" s="5"/>
      <c r="S2" s="5"/>
    </row>
    <row r="3" spans="1:40" ht="39" customHeight="1" x14ac:dyDescent="0.3">
      <c r="A3" s="6" t="s">
        <v>97</v>
      </c>
      <c r="F3" s="7"/>
      <c r="G3" s="7"/>
      <c r="H3" s="7"/>
      <c r="I3" s="8"/>
      <c r="J3" s="8"/>
      <c r="K3" s="9"/>
      <c r="L3" s="9"/>
      <c r="M3" s="9"/>
      <c r="N3" s="9"/>
      <c r="O3" s="9"/>
      <c r="P3" s="9"/>
      <c r="Q3" s="9"/>
      <c r="R3" s="9"/>
      <c r="S3" s="9"/>
      <c r="T3" s="9"/>
      <c r="U3" s="9"/>
      <c r="V3" s="9"/>
      <c r="W3" s="9"/>
      <c r="Y3" s="9"/>
      <c r="Z3" s="9"/>
      <c r="AA3" s="9"/>
      <c r="AB3" s="9"/>
      <c r="AC3" s="9"/>
    </row>
    <row r="4" spans="1:40" ht="26.25" customHeight="1" x14ac:dyDescent="0.35">
      <c r="A4" s="10" t="s">
        <v>2</v>
      </c>
      <c r="B4" s="10"/>
      <c r="C4" s="10"/>
      <c r="D4" s="10"/>
      <c r="E4" s="10"/>
      <c r="F4" s="10"/>
      <c r="G4" s="10"/>
      <c r="H4" s="10"/>
      <c r="I4" s="10"/>
      <c r="J4" s="10"/>
      <c r="K4" s="10"/>
      <c r="L4" s="10"/>
      <c r="M4" s="10"/>
      <c r="N4" s="10"/>
      <c r="O4" s="10"/>
      <c r="P4" s="10"/>
      <c r="Q4" s="10"/>
      <c r="R4" s="10"/>
      <c r="S4" s="10"/>
    </row>
    <row r="5" spans="1:40" x14ac:dyDescent="0.3">
      <c r="B5">
        <v>2013</v>
      </c>
      <c r="C5">
        <v>2014</v>
      </c>
      <c r="D5">
        <v>2015</v>
      </c>
      <c r="E5">
        <v>2016</v>
      </c>
      <c r="F5">
        <v>2017</v>
      </c>
      <c r="G5">
        <v>2018</v>
      </c>
      <c r="H5">
        <v>2019</v>
      </c>
      <c r="I5">
        <v>2020</v>
      </c>
      <c r="J5">
        <v>2021</v>
      </c>
      <c r="K5">
        <v>2022</v>
      </c>
      <c r="L5">
        <v>2023</v>
      </c>
      <c r="M5">
        <v>2024</v>
      </c>
      <c r="N5">
        <v>2025</v>
      </c>
      <c r="O5">
        <v>2026</v>
      </c>
      <c r="P5">
        <v>2027</v>
      </c>
      <c r="Q5">
        <v>2028</v>
      </c>
      <c r="R5">
        <v>2029</v>
      </c>
      <c r="S5">
        <v>2030</v>
      </c>
      <c r="T5">
        <v>2031</v>
      </c>
      <c r="U5">
        <v>2032</v>
      </c>
      <c r="V5">
        <v>2033</v>
      </c>
      <c r="W5">
        <v>2034</v>
      </c>
      <c r="X5" s="11">
        <v>2035</v>
      </c>
      <c r="Y5">
        <v>2036</v>
      </c>
      <c r="Z5">
        <v>2037</v>
      </c>
      <c r="AA5">
        <v>2038</v>
      </c>
      <c r="AB5">
        <v>2039</v>
      </c>
      <c r="AC5">
        <v>2040</v>
      </c>
      <c r="AD5">
        <v>2041</v>
      </c>
      <c r="AE5">
        <v>2042</v>
      </c>
      <c r="AF5">
        <v>2043</v>
      </c>
      <c r="AG5">
        <v>2044</v>
      </c>
      <c r="AH5">
        <f t="shared" ref="AH5:AM5" si="0">+AG5+1</f>
        <v>2045</v>
      </c>
      <c r="AI5">
        <f t="shared" si="0"/>
        <v>2046</v>
      </c>
      <c r="AJ5">
        <f t="shared" si="0"/>
        <v>2047</v>
      </c>
      <c r="AK5">
        <f t="shared" si="0"/>
        <v>2048</v>
      </c>
      <c r="AL5">
        <f t="shared" si="0"/>
        <v>2049</v>
      </c>
      <c r="AM5">
        <f t="shared" si="0"/>
        <v>2050</v>
      </c>
    </row>
    <row r="6" spans="1:40" x14ac:dyDescent="0.3">
      <c r="A6" t="s">
        <v>3</v>
      </c>
      <c r="B6" s="12">
        <f>+B11</f>
        <v>12.766366054493103</v>
      </c>
      <c r="C6" s="12">
        <f t="shared" ref="C6:K6" si="1">+C11</f>
        <v>11.663986959374096</v>
      </c>
      <c r="D6" s="12">
        <f t="shared" si="1"/>
        <v>12.437281556525077</v>
      </c>
      <c r="E6" s="12">
        <f t="shared" si="1"/>
        <v>12.73</v>
      </c>
      <c r="F6" s="12">
        <f t="shared" si="1"/>
        <v>14.486740520427819</v>
      </c>
      <c r="G6" s="12">
        <f t="shared" si="1"/>
        <v>14.880124463738202</v>
      </c>
      <c r="H6" s="12">
        <f t="shared" si="1"/>
        <v>16.77847358151163</v>
      </c>
      <c r="I6" s="12">
        <f t="shared" si="1"/>
        <v>17.1180838726224</v>
      </c>
      <c r="J6" s="12">
        <f t="shared" si="1"/>
        <v>22.235634395651466</v>
      </c>
      <c r="K6" s="12">
        <f t="shared" si="1"/>
        <v>28.461403648612958</v>
      </c>
      <c r="Y6" s="9"/>
      <c r="Z6" s="9"/>
      <c r="AA6" s="9"/>
      <c r="AB6" s="9"/>
      <c r="AC6" s="9"/>
      <c r="AD6" s="9"/>
      <c r="AE6" s="9"/>
      <c r="AF6" s="9"/>
      <c r="AG6" s="9"/>
      <c r="AH6" s="9"/>
      <c r="AI6" s="9"/>
      <c r="AJ6" s="9"/>
      <c r="AK6" s="9"/>
      <c r="AL6" s="9"/>
      <c r="AM6" s="9"/>
    </row>
    <row r="7" spans="1:40" s="14" customFormat="1" x14ac:dyDescent="0.3">
      <c r="A7" s="13" t="s">
        <v>4</v>
      </c>
      <c r="B7" s="14">
        <f>B12</f>
        <v>12.002742366814928</v>
      </c>
      <c r="C7" s="14">
        <f t="shared" ref="C7:K7" si="2">C12</f>
        <v>11.663986959374096</v>
      </c>
      <c r="D7" s="14">
        <f t="shared" si="2"/>
        <v>12.437281556525077</v>
      </c>
      <c r="E7" s="14">
        <f t="shared" si="2"/>
        <v>12.73</v>
      </c>
      <c r="F7" s="14">
        <f t="shared" si="2"/>
        <v>13.57</v>
      </c>
      <c r="G7" s="14">
        <f t="shared" si="2"/>
        <v>14.53</v>
      </c>
      <c r="H7" s="14">
        <f t="shared" si="2"/>
        <v>15.62</v>
      </c>
      <c r="I7" s="14">
        <f t="shared" si="2"/>
        <v>16.68</v>
      </c>
      <c r="J7" s="14">
        <f t="shared" si="2"/>
        <v>17.71</v>
      </c>
      <c r="K7" s="14">
        <f t="shared" si="2"/>
        <v>19.2</v>
      </c>
      <c r="L7" s="14">
        <f t="shared" ref="L7:AM7" si="3">+L12</f>
        <v>22.21</v>
      </c>
      <c r="M7" s="14">
        <f t="shared" si="3"/>
        <v>23.921254780337215</v>
      </c>
      <c r="N7" s="14">
        <f t="shared" si="3"/>
        <v>25.646708558150056</v>
      </c>
      <c r="O7" s="14">
        <f t="shared" si="3"/>
        <v>27.529034910245279</v>
      </c>
      <c r="P7" s="14">
        <f t="shared" si="3"/>
        <v>29.533528067097869</v>
      </c>
      <c r="Q7" s="14">
        <f t="shared" si="3"/>
        <v>31.641354615757841</v>
      </c>
      <c r="R7" s="14">
        <f t="shared" si="3"/>
        <v>33.89845641986215</v>
      </c>
      <c r="S7" s="14">
        <f t="shared" si="3"/>
        <v>36.327149544266518</v>
      </c>
      <c r="T7" s="14">
        <f t="shared" si="3"/>
        <v>38.943274464795117</v>
      </c>
      <c r="U7" s="14">
        <f t="shared" si="3"/>
        <v>41.75314184052219</v>
      </c>
      <c r="V7" s="14">
        <f t="shared" si="3"/>
        <v>44.756060346646073</v>
      </c>
      <c r="W7" s="14">
        <f t="shared" si="3"/>
        <v>47.978244120534015</v>
      </c>
      <c r="X7" s="15">
        <f t="shared" si="3"/>
        <v>51.457616381196772</v>
      </c>
      <c r="Y7" s="14">
        <f t="shared" si="3"/>
        <v>55.216992550836302</v>
      </c>
      <c r="Z7" s="14">
        <f t="shared" si="3"/>
        <v>59.266544457636826</v>
      </c>
      <c r="AA7" s="14">
        <f t="shared" si="3"/>
        <v>63.62503347632552</v>
      </c>
      <c r="AB7" s="14">
        <f t="shared" si="3"/>
        <v>68.316460331147042</v>
      </c>
      <c r="AC7" s="14">
        <f t="shared" si="3"/>
        <v>73.36535738907827</v>
      </c>
      <c r="AD7" s="14">
        <f t="shared" si="3"/>
        <v>78.808055646866649</v>
      </c>
      <c r="AE7" s="14">
        <f t="shared" si="3"/>
        <v>84.666200722911043</v>
      </c>
      <c r="AF7" s="14">
        <f t="shared" si="3"/>
        <v>90.966796302573371</v>
      </c>
      <c r="AG7" s="14">
        <f t="shared" si="3"/>
        <v>97.719528394378656</v>
      </c>
      <c r="AH7" s="14">
        <f t="shared" si="3"/>
        <v>104.95208288240912</v>
      </c>
      <c r="AI7" s="14">
        <f t="shared" si="3"/>
        <v>112.71614222057737</v>
      </c>
      <c r="AJ7" s="14">
        <f t="shared" si="3"/>
        <v>121.06612405037696</v>
      </c>
      <c r="AK7" s="14">
        <f t="shared" si="3"/>
        <v>130.03711335752567</v>
      </c>
      <c r="AL7" s="14">
        <f t="shared" si="3"/>
        <v>139.67025790689468</v>
      </c>
      <c r="AM7" s="14">
        <f t="shared" si="3"/>
        <v>150.00444485785869</v>
      </c>
    </row>
    <row r="8" spans="1:40" s="14" customFormat="1" x14ac:dyDescent="0.3">
      <c r="A8" s="13" t="s">
        <v>5</v>
      </c>
      <c r="B8" s="13"/>
      <c r="F8" s="13"/>
      <c r="G8" s="13"/>
      <c r="H8" s="13"/>
      <c r="I8" s="13"/>
      <c r="J8" s="13"/>
      <c r="K8" s="13"/>
      <c r="L8" s="13">
        <f>MAX(EXP($E$45*(L$22-2022)+$F$45),L$7)</f>
        <v>31.861460567657524</v>
      </c>
      <c r="M8" s="13">
        <f t="shared" ref="M8:X8" si="4">MAX(EXP($E$45*(M$22-2022)+$F$45),M$7)</f>
        <v>35.667695171944487</v>
      </c>
      <c r="N8" s="13">
        <f t="shared" si="4"/>
        <v>39.928630270331787</v>
      </c>
      <c r="O8" s="13">
        <f t="shared" si="4"/>
        <v>44.698585304690411</v>
      </c>
      <c r="P8" s="13">
        <f t="shared" si="4"/>
        <v>50.038368827423433</v>
      </c>
      <c r="Q8" s="13">
        <f t="shared" si="4"/>
        <v>56.016053703751645</v>
      </c>
      <c r="R8" s="13">
        <f t="shared" si="4"/>
        <v>62.707844921234177</v>
      </c>
      <c r="S8" s="13">
        <f t="shared" si="4"/>
        <v>70.199051069572093</v>
      </c>
      <c r="T8" s="13">
        <f t="shared" si="4"/>
        <v>78.585171875356522</v>
      </c>
      <c r="U8" s="13">
        <f t="shared" si="4"/>
        <v>87.973115655920381</v>
      </c>
      <c r="V8" s="13">
        <f t="shared" si="4"/>
        <v>98.482562212692727</v>
      </c>
      <c r="W8" s="13">
        <f t="shared" si="4"/>
        <v>110.24748853855306</v>
      </c>
      <c r="X8" s="16">
        <f t="shared" si="4"/>
        <v>123.4178767892767</v>
      </c>
      <c r="Y8" s="13">
        <f t="shared" ref="Y8:AM8" si="5">MAX(EXP($E$49*(Y$22-2035)+$F$49),Y$7)</f>
        <v>139.68163146718905</v>
      </c>
      <c r="Z8" s="13">
        <f t="shared" si="5"/>
        <v>158.08859038021362</v>
      </c>
      <c r="AA8" s="13">
        <f t="shared" si="5"/>
        <v>178.92118058682266</v>
      </c>
      <c r="AB8" s="13">
        <f t="shared" si="5"/>
        <v>202.49904680400726</v>
      </c>
      <c r="AC8" s="13">
        <f t="shared" si="5"/>
        <v>229.18395587398439</v>
      </c>
      <c r="AD8" s="13">
        <f t="shared" si="5"/>
        <v>259.38534753146774</v>
      </c>
      <c r="AE8" s="13">
        <f t="shared" si="5"/>
        <v>293.5666166396669</v>
      </c>
      <c r="AF8" s="13">
        <f t="shared" si="5"/>
        <v>332.25222328645987</v>
      </c>
      <c r="AG8" s="13">
        <f t="shared" si="5"/>
        <v>376.03573983445682</v>
      </c>
      <c r="AH8" s="13">
        <f t="shared" si="5"/>
        <v>425.58895839481937</v>
      </c>
      <c r="AI8" s="13">
        <f t="shared" si="5"/>
        <v>481.67219846529662</v>
      </c>
      <c r="AJ8" s="13">
        <f t="shared" si="5"/>
        <v>545.14597288766572</v>
      </c>
      <c r="AK8" s="13">
        <f t="shared" si="5"/>
        <v>616.98419112111435</v>
      </c>
      <c r="AL8" s="13">
        <f t="shared" si="5"/>
        <v>698.28910241590859</v>
      </c>
      <c r="AM8" s="13">
        <f t="shared" si="5"/>
        <v>790.30820816784535</v>
      </c>
    </row>
    <row r="9" spans="1:40" s="14" customFormat="1" x14ac:dyDescent="0.3">
      <c r="A9" s="13" t="s">
        <v>6</v>
      </c>
      <c r="B9" s="13"/>
      <c r="F9" s="13"/>
      <c r="G9" s="13"/>
      <c r="H9" s="13"/>
      <c r="I9" s="13"/>
      <c r="J9" s="13"/>
      <c r="K9" s="13"/>
      <c r="L9" s="13">
        <f>MAX(EXP($E$54*(L$22-2022)+$F$54),L$7)</f>
        <v>32.481826683405124</v>
      </c>
      <c r="M9" s="13">
        <f t="shared" ref="M9:X9" si="6">MAX(EXP($E$54*(M$22-2022)+$F$54),M$7)</f>
        <v>37.070169753984914</v>
      </c>
      <c r="N9" s="13">
        <f t="shared" si="6"/>
        <v>42.306656549316926</v>
      </c>
      <c r="O9" s="13">
        <f t="shared" si="6"/>
        <v>48.28284305845289</v>
      </c>
      <c r="P9" s="13">
        <f t="shared" si="6"/>
        <v>55.103218357368185</v>
      </c>
      <c r="Q9" s="13">
        <f t="shared" si="6"/>
        <v>62.887031520987087</v>
      </c>
      <c r="R9" s="13">
        <f t="shared" si="6"/>
        <v>71.770376602563829</v>
      </c>
      <c r="S9" s="13">
        <f t="shared" si="6"/>
        <v>81.908572134698701</v>
      </c>
      <c r="T9" s="13">
        <f t="shared" si="6"/>
        <v>93.478876755754357</v>
      </c>
      <c r="U9" s="13">
        <f t="shared" si="6"/>
        <v>106.68358844233509</v>
      </c>
      <c r="V9" s="13">
        <f t="shared" si="6"/>
        <v>121.75358153555167</v>
      </c>
      <c r="W9" s="13">
        <f t="shared" si="6"/>
        <v>138.95234340328659</v>
      </c>
      <c r="X9" s="16">
        <f t="shared" si="6"/>
        <v>158.58058131642784</v>
      </c>
      <c r="Y9" s="13">
        <f t="shared" ref="Y9:AM9" si="7">MAX(EXP($E$57*(Y$22-2035)+$F$57),Y$7)</f>
        <v>178.03083171640358</v>
      </c>
      <c r="Z9" s="13">
        <f t="shared" si="7"/>
        <v>199.86669728742513</v>
      </c>
      <c r="AA9" s="13">
        <f t="shared" si="7"/>
        <v>224.38077887664338</v>
      </c>
      <c r="AB9" s="13">
        <f t="shared" si="7"/>
        <v>251.90156545633135</v>
      </c>
      <c r="AC9" s="13">
        <f t="shared" si="7"/>
        <v>282.79783587985219</v>
      </c>
      <c r="AD9" s="13">
        <f t="shared" si="7"/>
        <v>317.48360052249041</v>
      </c>
      <c r="AE9" s="13">
        <f t="shared" si="7"/>
        <v>356.42364902519165</v>
      </c>
      <c r="AF9" s="13">
        <f t="shared" si="7"/>
        <v>400.13977848104219</v>
      </c>
      <c r="AG9" s="13">
        <f t="shared" si="7"/>
        <v>449.21778552225351</v>
      </c>
      <c r="AH9" s="13">
        <f t="shared" si="7"/>
        <v>504.31531600170086</v>
      </c>
      <c r="AI9" s="13">
        <f t="shared" si="7"/>
        <v>566.17067745483621</v>
      </c>
      <c r="AJ9" s="13">
        <f t="shared" si="7"/>
        <v>635.61273242906407</v>
      </c>
      <c r="AK9" s="13">
        <f t="shared" si="7"/>
        <v>713.57200525131134</v>
      </c>
      <c r="AL9" s="13">
        <f t="shared" si="7"/>
        <v>801.09315106459781</v>
      </c>
      <c r="AM9" s="13">
        <f t="shared" si="7"/>
        <v>899.34895421883789</v>
      </c>
    </row>
    <row r="10" spans="1:40" s="20" customFormat="1" x14ac:dyDescent="0.3">
      <c r="A10"/>
      <c r="B10"/>
      <c r="C10"/>
      <c r="D10"/>
      <c r="E10"/>
      <c r="F10" s="17"/>
      <c r="G10" s="18"/>
      <c r="H10"/>
      <c r="I10" s="9"/>
      <c r="J10" s="12"/>
      <c r="K10"/>
      <c r="L10"/>
      <c r="M10"/>
      <c r="N10"/>
      <c r="O10"/>
      <c r="P10"/>
      <c r="Q10"/>
      <c r="R10"/>
      <c r="S10"/>
      <c r="T10"/>
      <c r="U10"/>
      <c r="V10" s="12"/>
      <c r="W10" s="12"/>
      <c r="X10" s="3"/>
      <c r="Y10" s="12"/>
      <c r="Z10" s="12"/>
      <c r="AA10" s="12"/>
      <c r="AB10" s="12"/>
      <c r="AC10" s="12"/>
      <c r="AD10" s="12"/>
      <c r="AE10"/>
      <c r="AF10"/>
      <c r="AG10"/>
      <c r="AH10" s="19"/>
      <c r="AI10" s="19"/>
      <c r="AJ10" s="19"/>
      <c r="AK10" s="19"/>
      <c r="AL10" s="19"/>
      <c r="AM10" s="19"/>
      <c r="AN10" s="14"/>
    </row>
    <row r="11" spans="1:40" s="20" customFormat="1" ht="16.2" x14ac:dyDescent="0.3">
      <c r="A11" t="s">
        <v>7</v>
      </c>
      <c r="B11" s="21">
        <f>VLOOKUP(B$5,'Auction Data'!$E$48:$H$61,4,FALSE)</f>
        <v>12.766366054493103</v>
      </c>
      <c r="C11" s="21">
        <f>VLOOKUP(C$5,'Auction Data'!$E$48:$H$61,4,FALSE)</f>
        <v>11.663986959374096</v>
      </c>
      <c r="D11" s="21">
        <f>VLOOKUP(D$5,'Auction Data'!$E$48:$H$61,4,FALSE)</f>
        <v>12.437281556525077</v>
      </c>
      <c r="E11" s="21">
        <f>VLOOKUP(E$5,'Auction Data'!$E$48:$H$61,4,FALSE)</f>
        <v>12.73</v>
      </c>
      <c r="F11" s="21">
        <f>VLOOKUP(F$5,'Auction Data'!$E$48:$H$61,4,FALSE)</f>
        <v>14.486740520427819</v>
      </c>
      <c r="G11" s="21">
        <f>VLOOKUP(G$5,'Auction Data'!$E$48:$H$61,4,FALSE)</f>
        <v>14.880124463738202</v>
      </c>
      <c r="H11" s="21">
        <f>VLOOKUP(H$5,'Auction Data'!$E$48:$H$61,4,FALSE)</f>
        <v>16.77847358151163</v>
      </c>
      <c r="I11" s="21">
        <f>VLOOKUP(I$5,'Auction Data'!$E$48:$H$61,4,FALSE)</f>
        <v>17.1180838726224</v>
      </c>
      <c r="J11" s="21">
        <f>VLOOKUP(J$5,'Auction Data'!$E$48:$H$61,4,FALSE)</f>
        <v>22.235634395651466</v>
      </c>
      <c r="K11" s="21">
        <f>VLOOKUP(K$5,'Auction Data'!$E$48:$H$61,4,FALSE)</f>
        <v>28.461403648612958</v>
      </c>
      <c r="L11"/>
      <c r="M11"/>
      <c r="N11"/>
      <c r="O11"/>
      <c r="P11"/>
      <c r="Q11"/>
      <c r="R11"/>
      <c r="S11"/>
      <c r="T11"/>
      <c r="X11" s="22"/>
      <c r="AH11" s="23"/>
      <c r="AI11" s="23"/>
      <c r="AJ11" s="23"/>
      <c r="AK11" s="23"/>
      <c r="AL11" s="23"/>
      <c r="AM11" s="23"/>
      <c r="AN11" s="14"/>
    </row>
    <row r="12" spans="1:40" s="20" customFormat="1" ht="16.2" x14ac:dyDescent="0.3">
      <c r="A12" t="s">
        <v>8</v>
      </c>
      <c r="B12" s="19">
        <v>12.002742366814928</v>
      </c>
      <c r="C12" s="19">
        <v>11.663986959374096</v>
      </c>
      <c r="D12" s="19">
        <v>12.437281556525077</v>
      </c>
      <c r="E12" s="21">
        <v>12.73</v>
      </c>
      <c r="F12" s="21">
        <v>13.57</v>
      </c>
      <c r="G12" s="17">
        <v>14.53</v>
      </c>
      <c r="H12" s="17">
        <v>15.62</v>
      </c>
      <c r="I12" s="17">
        <v>16.68</v>
      </c>
      <c r="J12" s="17">
        <v>17.71</v>
      </c>
      <c r="K12" s="17">
        <v>19.2</v>
      </c>
      <c r="L12" s="17">
        <v>22.21</v>
      </c>
      <c r="M12" s="17">
        <f>L12*(L$18+1.05)</f>
        <v>23.921254780337215</v>
      </c>
      <c r="N12" s="17">
        <f t="shared" ref="N12:AM12" si="8">M12*(M$18+1.05)</f>
        <v>25.646708558150056</v>
      </c>
      <c r="O12" s="17">
        <f t="shared" si="8"/>
        <v>27.529034910245279</v>
      </c>
      <c r="P12" s="17">
        <f t="shared" si="8"/>
        <v>29.533528067097869</v>
      </c>
      <c r="Q12" s="17">
        <f t="shared" si="8"/>
        <v>31.641354615757841</v>
      </c>
      <c r="R12" s="17">
        <f t="shared" si="8"/>
        <v>33.89845641986215</v>
      </c>
      <c r="S12" s="17">
        <f t="shared" si="8"/>
        <v>36.327149544266518</v>
      </c>
      <c r="T12" s="17">
        <f t="shared" si="8"/>
        <v>38.943274464795117</v>
      </c>
      <c r="U12" s="17">
        <f t="shared" si="8"/>
        <v>41.75314184052219</v>
      </c>
      <c r="V12" s="17">
        <f t="shared" si="8"/>
        <v>44.756060346646073</v>
      </c>
      <c r="W12" s="17">
        <f t="shared" si="8"/>
        <v>47.978244120534015</v>
      </c>
      <c r="X12" s="17">
        <f t="shared" si="8"/>
        <v>51.457616381196772</v>
      </c>
      <c r="Y12" s="17">
        <f t="shared" si="8"/>
        <v>55.216992550836302</v>
      </c>
      <c r="Z12" s="17">
        <f t="shared" si="8"/>
        <v>59.266544457636826</v>
      </c>
      <c r="AA12" s="17">
        <f t="shared" si="8"/>
        <v>63.62503347632552</v>
      </c>
      <c r="AB12" s="17">
        <f t="shared" si="8"/>
        <v>68.316460331147042</v>
      </c>
      <c r="AC12" s="17">
        <f t="shared" si="8"/>
        <v>73.36535738907827</v>
      </c>
      <c r="AD12" s="17">
        <f t="shared" si="8"/>
        <v>78.808055646866649</v>
      </c>
      <c r="AE12" s="17">
        <f t="shared" si="8"/>
        <v>84.666200722911043</v>
      </c>
      <c r="AF12" s="17">
        <f t="shared" si="8"/>
        <v>90.966796302573371</v>
      </c>
      <c r="AG12" s="17">
        <f t="shared" si="8"/>
        <v>97.719528394378656</v>
      </c>
      <c r="AH12" s="17">
        <f t="shared" si="8"/>
        <v>104.95208288240912</v>
      </c>
      <c r="AI12" s="17">
        <f t="shared" si="8"/>
        <v>112.71614222057737</v>
      </c>
      <c r="AJ12" s="17">
        <f t="shared" si="8"/>
        <v>121.06612405037696</v>
      </c>
      <c r="AK12" s="17">
        <f t="shared" si="8"/>
        <v>130.03711335752567</v>
      </c>
      <c r="AL12" s="17">
        <f t="shared" si="8"/>
        <v>139.67025790689468</v>
      </c>
      <c r="AM12" s="17">
        <f t="shared" si="8"/>
        <v>150.00444485785869</v>
      </c>
      <c r="AN12" s="14"/>
    </row>
    <row r="13" spans="1:40" ht="16.2" x14ac:dyDescent="0.3">
      <c r="A13" t="s">
        <v>9</v>
      </c>
      <c r="B13" s="24">
        <v>39</v>
      </c>
      <c r="C13" s="25">
        <v>40</v>
      </c>
      <c r="D13" s="25">
        <f t="shared" ref="D13:I13" si="9">C13*(1.05+D$18)</f>
        <v>42.048454893014807</v>
      </c>
      <c r="E13" s="25">
        <f t="shared" si="9"/>
        <v>44.683783164088815</v>
      </c>
      <c r="F13" s="25">
        <f t="shared" si="9"/>
        <v>47.87038256202532</v>
      </c>
      <c r="G13" s="25">
        <f t="shared" si="9"/>
        <v>51.431346167577473</v>
      </c>
      <c r="H13" s="25">
        <f t="shared" si="9"/>
        <v>54.934372423479651</v>
      </c>
      <c r="I13" s="25">
        <f t="shared" si="9"/>
        <v>58.366947425173777</v>
      </c>
      <c r="J13" s="25">
        <v>65</v>
      </c>
      <c r="K13" s="25">
        <v>72.290000000000006</v>
      </c>
      <c r="L13" s="25">
        <f>K13*(L$12/K$12)</f>
        <v>83.622963541666692</v>
      </c>
      <c r="M13" s="25">
        <f>L13*(1.05+L$18)</f>
        <v>90.066016045342593</v>
      </c>
      <c r="N13" s="25">
        <f t="shared" ref="N13:AM16" si="10">M13*(1.05+M$18)</f>
        <v>96.562529253576471</v>
      </c>
      <c r="O13" s="25">
        <f t="shared" si="10"/>
        <v>103.64968404487666</v>
      </c>
      <c r="P13" s="25">
        <f t="shared" si="10"/>
        <v>111.19680958179717</v>
      </c>
      <c r="Q13" s="25">
        <f t="shared" si="10"/>
        <v>119.13299610276745</v>
      </c>
      <c r="R13" s="25">
        <f t="shared" si="10"/>
        <v>127.63121950999142</v>
      </c>
      <c r="S13" s="25">
        <f t="shared" si="10"/>
        <v>136.77550211224101</v>
      </c>
      <c r="T13" s="25">
        <f t="shared" si="10"/>
        <v>146.62548495104375</v>
      </c>
      <c r="U13" s="25">
        <f t="shared" si="10"/>
        <v>157.20492831517447</v>
      </c>
      <c r="V13" s="25">
        <f t="shared" si="10"/>
        <v>168.51122929474192</v>
      </c>
      <c r="W13" s="25">
        <f t="shared" si="10"/>
        <v>180.64308684757316</v>
      </c>
      <c r="X13" s="25">
        <f t="shared" si="10"/>
        <v>193.74328584357895</v>
      </c>
      <c r="Y13" s="25">
        <f t="shared" si="10"/>
        <v>207.89772872395613</v>
      </c>
      <c r="Z13" s="25">
        <f t="shared" si="10"/>
        <v>223.14471348138375</v>
      </c>
      <c r="AA13" s="25">
        <f t="shared" si="10"/>
        <v>239.55487864601946</v>
      </c>
      <c r="AB13" s="25">
        <f t="shared" si="10"/>
        <v>257.21858944471984</v>
      </c>
      <c r="AC13" s="25">
        <f t="shared" si="10"/>
        <v>276.22821279460777</v>
      </c>
      <c r="AD13" s="25">
        <f t="shared" si="10"/>
        <v>296.72053868291619</v>
      </c>
      <c r="AE13" s="25">
        <f t="shared" si="10"/>
        <v>318.77706511766877</v>
      </c>
      <c r="AF13" s="25">
        <f t="shared" si="10"/>
        <v>342.49946378713696</v>
      </c>
      <c r="AG13" s="25">
        <f t="shared" si="10"/>
        <v>367.92420352237673</v>
      </c>
      <c r="AH13" s="25">
        <f t="shared" si="10"/>
        <v>395.15552456090393</v>
      </c>
      <c r="AI13" s="25">
        <f t="shared" si="10"/>
        <v>424.38801672528842</v>
      </c>
      <c r="AJ13" s="25">
        <f t="shared" si="10"/>
        <v>455.82656810425783</v>
      </c>
      <c r="AK13" s="25">
        <f t="shared" si="10"/>
        <v>489.60327732372554</v>
      </c>
      <c r="AL13" s="25">
        <f t="shared" si="10"/>
        <v>525.87307000465705</v>
      </c>
      <c r="AM13" s="25">
        <f t="shared" si="10"/>
        <v>564.78236035284397</v>
      </c>
      <c r="AN13" s="14"/>
    </row>
    <row r="14" spans="1:40" x14ac:dyDescent="0.3">
      <c r="A14" t="s">
        <v>10</v>
      </c>
      <c r="B14" s="24"/>
      <c r="C14" s="25"/>
      <c r="D14" s="25"/>
      <c r="E14" s="25"/>
      <c r="F14" s="25"/>
      <c r="G14" s="25"/>
      <c r="H14" s="25"/>
      <c r="I14" s="25"/>
      <c r="J14" s="25">
        <v>41.4</v>
      </c>
      <c r="K14" s="25">
        <v>46.05</v>
      </c>
      <c r="L14" s="25">
        <f>K14*(L$12/K$12)</f>
        <v>53.269296875000009</v>
      </c>
      <c r="M14" s="25">
        <f>L14*(1.05+L$18)</f>
        <v>57.373634512215048</v>
      </c>
      <c r="N14" s="25">
        <f t="shared" si="10"/>
        <v>61.512027557438039</v>
      </c>
      <c r="O14" s="25">
        <f t="shared" si="10"/>
        <v>66.026669667541427</v>
      </c>
      <c r="P14" s="25">
        <f t="shared" si="10"/>
        <v>70.834321223430067</v>
      </c>
      <c r="Q14" s="25">
        <f t="shared" si="10"/>
        <v>75.889811461231716</v>
      </c>
      <c r="R14" s="25">
        <f t="shared" si="10"/>
        <v>81.30332906951314</v>
      </c>
      <c r="S14" s="25">
        <f t="shared" si="10"/>
        <v>87.128397735076746</v>
      </c>
      <c r="T14" s="25">
        <f t="shared" si="10"/>
        <v>93.403009849157058</v>
      </c>
      <c r="U14" s="25">
        <f t="shared" si="10"/>
        <v>100.14230113312746</v>
      </c>
      <c r="V14" s="25">
        <f t="shared" si="10"/>
        <v>107.34461348765896</v>
      </c>
      <c r="W14" s="25">
        <f t="shared" si="10"/>
        <v>115.07281988284333</v>
      </c>
      <c r="X14" s="25">
        <f t="shared" si="10"/>
        <v>123.41787678927668</v>
      </c>
      <c r="Y14" s="25">
        <f t="shared" si="10"/>
        <v>132.4345055711465</v>
      </c>
      <c r="Z14" s="25">
        <f t="shared" si="10"/>
        <v>142.1471027226134</v>
      </c>
      <c r="AA14" s="25">
        <f t="shared" si="10"/>
        <v>152.60066622837456</v>
      </c>
      <c r="AB14" s="25">
        <f t="shared" si="10"/>
        <v>163.85276032548555</v>
      </c>
      <c r="AC14" s="25">
        <f t="shared" si="10"/>
        <v>175.96222436286749</v>
      </c>
      <c r="AD14" s="25">
        <f t="shared" si="10"/>
        <v>189.01619596553181</v>
      </c>
      <c r="AE14" s="25">
        <f t="shared" si="10"/>
        <v>203.06659079635705</v>
      </c>
      <c r="AF14" s="25">
        <f t="shared" si="10"/>
        <v>218.17817550695341</v>
      </c>
      <c r="AG14" s="25">
        <f t="shared" si="10"/>
        <v>234.37418138339265</v>
      </c>
      <c r="AH14" s="25">
        <f t="shared" si="10"/>
        <v>251.72101128827822</v>
      </c>
      <c r="AI14" s="25">
        <f t="shared" si="10"/>
        <v>270.34262235716614</v>
      </c>
      <c r="AJ14" s="25">
        <f t="shared" si="10"/>
        <v>290.36953190207612</v>
      </c>
      <c r="AK14" s="25">
        <f t="shared" si="10"/>
        <v>311.88588906844058</v>
      </c>
      <c r="AL14" s="25">
        <f t="shared" si="10"/>
        <v>334.99038419856782</v>
      </c>
      <c r="AM14" s="25">
        <f t="shared" si="10"/>
        <v>359.77628571377056</v>
      </c>
      <c r="AN14" s="14"/>
    </row>
    <row r="15" spans="1:40" x14ac:dyDescent="0.3">
      <c r="A15" t="s">
        <v>11</v>
      </c>
      <c r="B15" s="24"/>
      <c r="C15" s="25"/>
      <c r="D15" s="25"/>
      <c r="E15" s="25"/>
      <c r="F15" s="25"/>
      <c r="G15" s="25"/>
      <c r="H15" s="25"/>
      <c r="I15" s="25"/>
      <c r="J15" s="25">
        <v>53.2</v>
      </c>
      <c r="K15" s="25">
        <v>59.17</v>
      </c>
      <c r="L15" s="25">
        <f t="shared" ref="L15:L16" si="11">K15*(L$12/K$12)</f>
        <v>68.446130208333344</v>
      </c>
      <c r="M15" s="25">
        <f>L15*(1.05+L$18)</f>
        <v>73.719825278778814</v>
      </c>
      <c r="N15" s="25">
        <f t="shared" si="10"/>
        <v>79.037278405507251</v>
      </c>
      <c r="O15" s="25">
        <f t="shared" si="10"/>
        <v>84.838176856209046</v>
      </c>
      <c r="P15" s="25">
        <f t="shared" si="10"/>
        <v>91.015565402613618</v>
      </c>
      <c r="Q15" s="25">
        <f t="shared" si="10"/>
        <v>97.511403781999576</v>
      </c>
      <c r="R15" s="25">
        <f t="shared" si="10"/>
        <v>104.46727428975227</v>
      </c>
      <c r="S15" s="25">
        <f t="shared" si="10"/>
        <v>111.95194992365886</v>
      </c>
      <c r="T15" s="25">
        <f t="shared" si="10"/>
        <v>120.01424740010039</v>
      </c>
      <c r="U15" s="25">
        <f t="shared" si="10"/>
        <v>128.67361472415095</v>
      </c>
      <c r="V15" s="25">
        <f t="shared" si="10"/>
        <v>137.92792139120044</v>
      </c>
      <c r="W15" s="25">
        <f t="shared" si="10"/>
        <v>147.85795336520823</v>
      </c>
      <c r="X15" s="25">
        <f t="shared" si="10"/>
        <v>158.58058131642778</v>
      </c>
      <c r="Y15" s="25">
        <f t="shared" si="10"/>
        <v>170.16611714755129</v>
      </c>
      <c r="Z15" s="25">
        <f t="shared" si="10"/>
        <v>182.64590810199854</v>
      </c>
      <c r="AA15" s="25">
        <f t="shared" si="10"/>
        <v>196.07777243719698</v>
      </c>
      <c r="AB15" s="25">
        <f t="shared" si="10"/>
        <v>210.53567488510268</v>
      </c>
      <c r="AC15" s="25">
        <f t="shared" si="10"/>
        <v>226.09521857873762</v>
      </c>
      <c r="AD15" s="25">
        <f t="shared" si="10"/>
        <v>242.86836732422398</v>
      </c>
      <c r="AE15" s="25">
        <f t="shared" si="10"/>
        <v>260.92182795701291</v>
      </c>
      <c r="AF15" s="25">
        <f t="shared" si="10"/>
        <v>280.33881964704523</v>
      </c>
      <c r="AG15" s="25">
        <f t="shared" si="10"/>
        <v>301.14919245288473</v>
      </c>
      <c r="AH15" s="25">
        <f t="shared" si="10"/>
        <v>323.43826792459112</v>
      </c>
      <c r="AI15" s="25">
        <f t="shared" si="10"/>
        <v>347.36531954122734</v>
      </c>
      <c r="AJ15" s="25">
        <f t="shared" si="10"/>
        <v>373.09805000316703</v>
      </c>
      <c r="AK15" s="25">
        <f t="shared" si="10"/>
        <v>400.74458319608311</v>
      </c>
      <c r="AL15" s="25">
        <f t="shared" si="10"/>
        <v>430.43172710161252</v>
      </c>
      <c r="AM15" s="25">
        <f t="shared" si="10"/>
        <v>462.27932303330732</v>
      </c>
      <c r="AN15" s="14"/>
    </row>
    <row r="16" spans="1:40" x14ac:dyDescent="0.3">
      <c r="A16" t="s">
        <v>12</v>
      </c>
      <c r="B16" s="24"/>
      <c r="C16" s="25"/>
      <c r="D16" s="25"/>
      <c r="E16" s="25"/>
      <c r="F16" s="25"/>
      <c r="G16" s="25"/>
      <c r="H16" s="26"/>
      <c r="I16" s="25"/>
      <c r="J16" s="25">
        <v>65</v>
      </c>
      <c r="K16" s="25">
        <v>72.290000000000006</v>
      </c>
      <c r="L16" s="25">
        <f t="shared" si="11"/>
        <v>83.622963541666692</v>
      </c>
      <c r="M16" s="25">
        <f>L16*(1.05+L$18)</f>
        <v>90.066016045342593</v>
      </c>
      <c r="N16" s="25">
        <f t="shared" si="10"/>
        <v>96.562529253576471</v>
      </c>
      <c r="O16" s="25">
        <f t="shared" si="10"/>
        <v>103.64968404487666</v>
      </c>
      <c r="P16" s="25">
        <f t="shared" si="10"/>
        <v>111.19680958179717</v>
      </c>
      <c r="Q16" s="25">
        <f t="shared" si="10"/>
        <v>119.13299610276745</v>
      </c>
      <c r="R16" s="25">
        <f t="shared" si="10"/>
        <v>127.63121950999142</v>
      </c>
      <c r="S16" s="25">
        <f t="shared" si="10"/>
        <v>136.77550211224101</v>
      </c>
      <c r="T16" s="25">
        <f t="shared" si="10"/>
        <v>146.62548495104375</v>
      </c>
      <c r="U16" s="25">
        <f t="shared" si="10"/>
        <v>157.20492831517447</v>
      </c>
      <c r="V16" s="25">
        <f t="shared" si="10"/>
        <v>168.51122929474192</v>
      </c>
      <c r="W16" s="25">
        <f t="shared" si="10"/>
        <v>180.64308684757316</v>
      </c>
      <c r="X16" s="25">
        <f t="shared" si="10"/>
        <v>193.74328584357895</v>
      </c>
      <c r="Y16" s="25">
        <f t="shared" si="10"/>
        <v>207.89772872395613</v>
      </c>
      <c r="Z16" s="25">
        <f t="shared" si="10"/>
        <v>223.14471348138375</v>
      </c>
      <c r="AA16" s="25">
        <f t="shared" si="10"/>
        <v>239.55487864601946</v>
      </c>
      <c r="AB16" s="25">
        <f t="shared" si="10"/>
        <v>257.21858944471984</v>
      </c>
      <c r="AC16" s="25">
        <f t="shared" si="10"/>
        <v>276.22821279460777</v>
      </c>
      <c r="AD16" s="25">
        <f t="shared" si="10"/>
        <v>296.72053868291619</v>
      </c>
      <c r="AE16" s="25">
        <f t="shared" si="10"/>
        <v>318.77706511766877</v>
      </c>
      <c r="AF16" s="25">
        <f t="shared" si="10"/>
        <v>342.49946378713696</v>
      </c>
      <c r="AG16" s="25">
        <f t="shared" si="10"/>
        <v>367.92420352237673</v>
      </c>
      <c r="AH16" s="25">
        <f t="shared" si="10"/>
        <v>395.15552456090393</v>
      </c>
      <c r="AI16" s="25">
        <f t="shared" si="10"/>
        <v>424.38801672528842</v>
      </c>
      <c r="AJ16" s="25">
        <f t="shared" si="10"/>
        <v>455.82656810425783</v>
      </c>
      <c r="AK16" s="25">
        <f t="shared" si="10"/>
        <v>489.60327732372554</v>
      </c>
      <c r="AL16" s="25">
        <f t="shared" si="10"/>
        <v>525.87307000465705</v>
      </c>
      <c r="AM16" s="25">
        <f t="shared" si="10"/>
        <v>564.78236035284397</v>
      </c>
      <c r="AN16" s="14"/>
    </row>
    <row r="17" spans="1:48" ht="16.2" x14ac:dyDescent="0.3">
      <c r="A17" s="27" t="s">
        <v>13</v>
      </c>
      <c r="B17" s="25">
        <v>0.85971026437875664</v>
      </c>
      <c r="C17" s="25">
        <v>0.87359856808295011</v>
      </c>
      <c r="D17" s="25">
        <v>0.87465682121180888</v>
      </c>
      <c r="E17" s="25">
        <v>0.88574187665400084</v>
      </c>
      <c r="F17" s="25">
        <v>0.90462097715421852</v>
      </c>
      <c r="G17" s="25">
        <v>0.92668252559905373</v>
      </c>
      <c r="H17" s="25">
        <v>0.94346541763478409</v>
      </c>
      <c r="I17" s="25">
        <v>0.9552445960969802</v>
      </c>
      <c r="J17" s="25">
        <v>1</v>
      </c>
      <c r="K17" s="25">
        <v>1.0694177167480419</v>
      </c>
      <c r="L17" s="25">
        <v>1.098344227577114</v>
      </c>
      <c r="M17" s="25">
        <v>1.1226512130146238</v>
      </c>
      <c r="N17" s="25">
        <v>1.1489150330798716</v>
      </c>
      <c r="O17" s="25">
        <v>1.1751261306079241</v>
      </c>
      <c r="P17" s="25">
        <v>1.2002393181146771</v>
      </c>
      <c r="Q17" s="25">
        <v>1.2258451256314631</v>
      </c>
      <c r="R17" s="25">
        <v>1.2523799252880863</v>
      </c>
      <c r="S17" s="25">
        <v>1.2799519397035446</v>
      </c>
      <c r="T17" s="17">
        <v>1.3083064945930849</v>
      </c>
      <c r="U17" s="19">
        <v>1.3369855927286993</v>
      </c>
      <c r="V17" s="19">
        <v>1.3663917307819762</v>
      </c>
      <c r="W17" s="19">
        <v>1.3971625876809075</v>
      </c>
      <c r="X17" s="3">
        <v>1.429377972513483</v>
      </c>
      <c r="Y17" s="19">
        <v>1.462738040963506</v>
      </c>
      <c r="Z17" s="19">
        <v>1.4971715691993956</v>
      </c>
      <c r="AA17" s="19">
        <v>1.5327077602546488</v>
      </c>
      <c r="AB17" s="19">
        <v>1.5693464450482018</v>
      </c>
      <c r="AC17" s="19">
        <v>1.6073029973096473</v>
      </c>
      <c r="AD17" s="19">
        <v>1.6464156604940454</v>
      </c>
      <c r="AE17" s="19">
        <v>1.6866160151160512</v>
      </c>
      <c r="AF17" s="19">
        <v>1.7274876679450046</v>
      </c>
      <c r="AG17" s="19">
        <v>1.7689705193410779</v>
      </c>
      <c r="AH17" s="19">
        <v>1.8113854474611886</v>
      </c>
      <c r="AI17" s="19">
        <v>1.855003127152774</v>
      </c>
      <c r="AJ17" s="19">
        <v>1.8997085418638047</v>
      </c>
      <c r="AK17" s="19">
        <v>1.9454534533096617</v>
      </c>
      <c r="AL17" s="19">
        <v>1.9921246667097612</v>
      </c>
      <c r="AM17" s="19">
        <v>2.0396929737944403</v>
      </c>
      <c r="AN17" s="14"/>
    </row>
    <row r="18" spans="1:48" x14ac:dyDescent="0.3">
      <c r="A18" t="s">
        <v>14</v>
      </c>
      <c r="B18" s="28">
        <v>1.4647595320435247E-2</v>
      </c>
      <c r="C18" s="28">
        <f>+C17/B17-1</f>
        <v>1.6154632879984865E-2</v>
      </c>
      <c r="D18" s="28">
        <f t="shared" ref="D18:AM18" si="12">+D17/C17-1</f>
        <v>1.2113723253701636E-3</v>
      </c>
      <c r="E18" s="28">
        <f t="shared" si="12"/>
        <v>1.2673605433996427E-2</v>
      </c>
      <c r="F18" s="28">
        <f t="shared" si="12"/>
        <v>2.1314449500271726E-2</v>
      </c>
      <c r="G18" s="28">
        <f t="shared" si="12"/>
        <v>2.4387615368192117E-2</v>
      </c>
      <c r="H18" s="28">
        <f t="shared" si="12"/>
        <v>1.811072462479113E-2</v>
      </c>
      <c r="I18" s="28">
        <f t="shared" si="12"/>
        <v>1.2485013485418417E-2</v>
      </c>
      <c r="J18" s="28">
        <f t="shared" si="12"/>
        <v>4.6852297396797971E-2</v>
      </c>
      <c r="K18" s="28">
        <f t="shared" si="12"/>
        <v>6.9417716748041869E-2</v>
      </c>
      <c r="L18" s="28">
        <f t="shared" si="12"/>
        <v>2.7048841978262628E-2</v>
      </c>
      <c r="M18" s="28">
        <f t="shared" si="12"/>
        <v>2.2130571479516581E-2</v>
      </c>
      <c r="N18" s="28">
        <f t="shared" si="12"/>
        <v>2.3394461040773695E-2</v>
      </c>
      <c r="O18" s="28">
        <f t="shared" si="12"/>
        <v>2.281378237152043E-2</v>
      </c>
      <c r="P18" s="28">
        <f t="shared" si="12"/>
        <v>2.1370631502987125E-2</v>
      </c>
      <c r="Q18" s="28">
        <f t="shared" si="12"/>
        <v>2.1333918269739183E-2</v>
      </c>
      <c r="R18" s="28">
        <f t="shared" si="12"/>
        <v>2.1646127313965868E-2</v>
      </c>
      <c r="S18" s="28">
        <f t="shared" si="12"/>
        <v>2.2015694965020982E-2</v>
      </c>
      <c r="T18" s="28">
        <f t="shared" si="12"/>
        <v>2.2152827782039752E-2</v>
      </c>
      <c r="U18" s="28">
        <f t="shared" si="12"/>
        <v>2.1920779461187534E-2</v>
      </c>
      <c r="V18" s="28">
        <f t="shared" si="12"/>
        <v>2.1994356717981445E-2</v>
      </c>
      <c r="W18" s="28">
        <f t="shared" si="12"/>
        <v>2.2519791510536624E-2</v>
      </c>
      <c r="X18" s="29">
        <f t="shared" si="12"/>
        <v>2.3057720781121338E-2</v>
      </c>
      <c r="Y18" s="28">
        <f t="shared" si="12"/>
        <v>2.3338871237368553E-2</v>
      </c>
      <c r="Z18" s="28">
        <f t="shared" si="12"/>
        <v>2.3540461293539705E-2</v>
      </c>
      <c r="AA18" s="28">
        <f t="shared" si="12"/>
        <v>2.3735550277818929E-2</v>
      </c>
      <c r="AB18" s="28">
        <f t="shared" si="12"/>
        <v>2.3904547066079695E-2</v>
      </c>
      <c r="AC18" s="28">
        <f t="shared" si="12"/>
        <v>2.4186216103659453E-2</v>
      </c>
      <c r="AD18" s="28">
        <f t="shared" si="12"/>
        <v>2.4334343462225849E-2</v>
      </c>
      <c r="AE18" s="28">
        <f t="shared" si="12"/>
        <v>2.4416892760812825E-2</v>
      </c>
      <c r="AF18" s="28">
        <f t="shared" si="12"/>
        <v>2.4232932963192066E-2</v>
      </c>
      <c r="AG18" s="28">
        <f t="shared" si="12"/>
        <v>2.4013399438862937E-2</v>
      </c>
      <c r="AH18" s="25">
        <f t="shared" si="12"/>
        <v>2.3977182014265352E-2</v>
      </c>
      <c r="AI18" s="25">
        <f t="shared" si="12"/>
        <v>2.4079733969774031E-2</v>
      </c>
      <c r="AJ18" s="25">
        <f t="shared" si="12"/>
        <v>2.4099913394565853E-2</v>
      </c>
      <c r="AK18" s="25">
        <f t="shared" si="12"/>
        <v>2.4079963024736806E-2</v>
      </c>
      <c r="AL18" s="25">
        <f t="shared" si="12"/>
        <v>2.3989889514293372E-2</v>
      </c>
      <c r="AM18" s="25">
        <f t="shared" si="12"/>
        <v>2.3878177846793136E-2</v>
      </c>
      <c r="AN18" s="14"/>
    </row>
    <row r="19" spans="1:48" x14ac:dyDescent="0.3">
      <c r="B19" s="17"/>
      <c r="C19" s="17"/>
      <c r="D19" s="17"/>
      <c r="E19" s="17"/>
      <c r="F19" s="17"/>
      <c r="G19" s="17"/>
      <c r="H19" s="17"/>
      <c r="I19" s="17"/>
      <c r="J19" s="2"/>
      <c r="K19" s="30"/>
      <c r="L19" s="19"/>
      <c r="M19" s="19"/>
      <c r="N19" s="19"/>
      <c r="O19" s="17"/>
      <c r="P19" s="17"/>
      <c r="Q19" s="17"/>
      <c r="R19" s="17"/>
      <c r="S19" s="17"/>
      <c r="T19" s="17"/>
      <c r="U19" s="17"/>
      <c r="V19" s="17"/>
      <c r="W19" s="17"/>
      <c r="Y19" s="17"/>
      <c r="Z19" s="17"/>
      <c r="AA19" s="17"/>
      <c r="AB19" s="17"/>
      <c r="AC19" s="17"/>
      <c r="AD19" s="17"/>
      <c r="AE19" s="17"/>
      <c r="AF19" s="17"/>
      <c r="AG19" s="17"/>
      <c r="AH19" s="19"/>
      <c r="AI19" s="19"/>
      <c r="AJ19" s="19"/>
      <c r="AK19" s="19"/>
      <c r="AL19" s="19"/>
      <c r="AM19" s="19"/>
      <c r="AN19" s="14"/>
    </row>
    <row r="20" spans="1:48" x14ac:dyDescent="0.3">
      <c r="G20" s="12"/>
      <c r="H20" s="12"/>
      <c r="I20" s="12"/>
      <c r="J20" s="12"/>
      <c r="K20" s="12"/>
      <c r="L20" s="12"/>
      <c r="M20" s="12"/>
      <c r="N20" s="12"/>
      <c r="O20" s="12"/>
      <c r="P20" s="12"/>
      <c r="Q20" s="12"/>
      <c r="R20" s="12"/>
      <c r="S20" s="12"/>
      <c r="AH20" s="19"/>
      <c r="AI20" s="19"/>
      <c r="AJ20" s="19"/>
      <c r="AK20" s="19"/>
      <c r="AL20" s="19"/>
      <c r="AM20" s="19"/>
      <c r="AN20" s="14"/>
    </row>
    <row r="21" spans="1:48" ht="15.6" x14ac:dyDescent="0.35">
      <c r="A21" s="31" t="s">
        <v>15</v>
      </c>
      <c r="B21" s="31"/>
      <c r="C21" s="31"/>
      <c r="D21" s="31"/>
      <c r="E21" s="31"/>
      <c r="F21" s="31"/>
      <c r="G21" s="31"/>
      <c r="H21" s="31"/>
      <c r="I21" s="31"/>
      <c r="J21" s="31"/>
      <c r="K21" s="31"/>
      <c r="L21" s="31"/>
      <c r="M21" s="31"/>
      <c r="N21" s="31"/>
      <c r="O21" s="31"/>
      <c r="P21" s="31"/>
      <c r="Q21" s="31"/>
      <c r="R21" s="31"/>
      <c r="S21" s="31"/>
      <c r="AH21" s="19"/>
      <c r="AI21" s="19"/>
      <c r="AJ21" s="19"/>
      <c r="AK21" s="19"/>
      <c r="AL21" s="19"/>
      <c r="AM21" s="19"/>
      <c r="AN21" s="14"/>
    </row>
    <row r="22" spans="1:48" x14ac:dyDescent="0.3">
      <c r="B22">
        <v>2013</v>
      </c>
      <c r="C22">
        <v>2014</v>
      </c>
      <c r="D22">
        <v>2015</v>
      </c>
      <c r="E22">
        <v>2016</v>
      </c>
      <c r="F22">
        <v>2017</v>
      </c>
      <c r="G22">
        <v>2018</v>
      </c>
      <c r="H22">
        <v>2019</v>
      </c>
      <c r="I22">
        <v>2020</v>
      </c>
      <c r="J22">
        <v>2021</v>
      </c>
      <c r="K22">
        <v>2022</v>
      </c>
      <c r="L22">
        <v>2023</v>
      </c>
      <c r="M22">
        <v>2024</v>
      </c>
      <c r="N22">
        <f>+N5</f>
        <v>2025</v>
      </c>
      <c r="O22">
        <f t="shared" ref="O22:AM22" si="13">+O5</f>
        <v>2026</v>
      </c>
      <c r="P22">
        <f t="shared" si="13"/>
        <v>2027</v>
      </c>
      <c r="Q22">
        <f t="shared" si="13"/>
        <v>2028</v>
      </c>
      <c r="R22">
        <f t="shared" si="13"/>
        <v>2029</v>
      </c>
      <c r="S22">
        <f t="shared" si="13"/>
        <v>2030</v>
      </c>
      <c r="T22">
        <f t="shared" si="13"/>
        <v>2031</v>
      </c>
      <c r="U22">
        <f t="shared" si="13"/>
        <v>2032</v>
      </c>
      <c r="V22">
        <f t="shared" si="13"/>
        <v>2033</v>
      </c>
      <c r="W22">
        <f t="shared" si="13"/>
        <v>2034</v>
      </c>
      <c r="X22" s="3">
        <f t="shared" si="13"/>
        <v>2035</v>
      </c>
      <c r="Y22">
        <f t="shared" si="13"/>
        <v>2036</v>
      </c>
      <c r="Z22">
        <f t="shared" si="13"/>
        <v>2037</v>
      </c>
      <c r="AA22">
        <f t="shared" si="13"/>
        <v>2038</v>
      </c>
      <c r="AB22">
        <f t="shared" si="13"/>
        <v>2039</v>
      </c>
      <c r="AC22">
        <f t="shared" si="13"/>
        <v>2040</v>
      </c>
      <c r="AD22">
        <f t="shared" si="13"/>
        <v>2041</v>
      </c>
      <c r="AE22">
        <f t="shared" si="13"/>
        <v>2042</v>
      </c>
      <c r="AF22">
        <f t="shared" si="13"/>
        <v>2043</v>
      </c>
      <c r="AG22">
        <f t="shared" si="13"/>
        <v>2044</v>
      </c>
      <c r="AH22">
        <f t="shared" si="13"/>
        <v>2045</v>
      </c>
      <c r="AI22">
        <f t="shared" si="13"/>
        <v>2046</v>
      </c>
      <c r="AJ22">
        <f t="shared" si="13"/>
        <v>2047</v>
      </c>
      <c r="AK22">
        <f t="shared" si="13"/>
        <v>2048</v>
      </c>
      <c r="AL22">
        <f t="shared" si="13"/>
        <v>2049</v>
      </c>
      <c r="AM22">
        <f t="shared" si="13"/>
        <v>2050</v>
      </c>
      <c r="AN22" s="14"/>
    </row>
    <row r="23" spans="1:48" x14ac:dyDescent="0.3">
      <c r="A23" t="str">
        <f>+A6</f>
        <v>Annual Average Auction Sale Price</v>
      </c>
      <c r="B23" s="17">
        <f t="shared" ref="B23:K23" si="14">+B11/B$31</f>
        <v>14.848495458078309</v>
      </c>
      <c r="C23" s="17">
        <f t="shared" si="14"/>
        <v>13.317506232567277</v>
      </c>
      <c r="D23" s="17">
        <f t="shared" si="14"/>
        <v>14.059220590052403</v>
      </c>
      <c r="E23" s="17">
        <f t="shared" si="14"/>
        <v>14.247588090233531</v>
      </c>
      <c r="F23" s="17">
        <f t="shared" si="14"/>
        <v>15.912028964338047</v>
      </c>
      <c r="G23" s="17">
        <f t="shared" si="14"/>
        <v>15.962613921165248</v>
      </c>
      <c r="H23" s="17">
        <f t="shared" si="14"/>
        <v>17.682729538702151</v>
      </c>
      <c r="I23" s="17">
        <f t="shared" si="14"/>
        <v>17.827464571505466</v>
      </c>
      <c r="J23" s="17">
        <f t="shared" si="14"/>
        <v>22.235634395651463</v>
      </c>
      <c r="K23" s="17">
        <f t="shared" si="14"/>
        <v>26.859296203098804</v>
      </c>
      <c r="AH23" s="19"/>
      <c r="AI23" s="19"/>
      <c r="AJ23" s="19"/>
      <c r="AK23" s="19"/>
      <c r="AL23" s="19"/>
      <c r="AM23" s="19"/>
      <c r="AN23" s="14"/>
    </row>
    <row r="24" spans="1:48" x14ac:dyDescent="0.3">
      <c r="A24" t="s">
        <v>4</v>
      </c>
      <c r="B24" s="17">
        <f t="shared" ref="B24:AM26" si="15">+B7/B$31</f>
        <v>13.960328628945303</v>
      </c>
      <c r="C24" s="17">
        <f t="shared" si="15"/>
        <v>13.317506232567277</v>
      </c>
      <c r="D24" s="17">
        <f t="shared" si="15"/>
        <v>14.059220590052403</v>
      </c>
      <c r="E24" s="17">
        <f t="shared" si="15"/>
        <v>14.247588090233531</v>
      </c>
      <c r="F24" s="17">
        <f t="shared" si="15"/>
        <v>14.905094264758089</v>
      </c>
      <c r="G24" s="17">
        <f t="shared" si="15"/>
        <v>15.587018834401848</v>
      </c>
      <c r="H24" s="17">
        <f t="shared" si="15"/>
        <v>16.461821395891452</v>
      </c>
      <c r="I24" s="17">
        <f t="shared" si="15"/>
        <v>17.371226316298966</v>
      </c>
      <c r="J24" s="17">
        <f t="shared" si="15"/>
        <v>17.709999999999997</v>
      </c>
      <c r="K24" s="17">
        <f t="shared" si="15"/>
        <v>18.119221858006611</v>
      </c>
      <c r="L24" s="17">
        <f t="shared" si="15"/>
        <v>20.361979985294237</v>
      </c>
      <c r="M24" s="17">
        <f t="shared" si="15"/>
        <v>21.484387544134005</v>
      </c>
      <c r="N24" s="17">
        <f t="shared" si="15"/>
        <v>22.58262860261074</v>
      </c>
      <c r="O24" s="17">
        <f t="shared" si="15"/>
        <v>23.791055780002484</v>
      </c>
      <c r="P24" s="17">
        <f t="shared" si="15"/>
        <v>25.055866308146395</v>
      </c>
      <c r="Q24" s="17">
        <f t="shared" si="15"/>
        <v>26.354544714260911</v>
      </c>
      <c r="R24" s="17">
        <f t="shared" si="15"/>
        <v>27.70374053831695</v>
      </c>
      <c r="S24" s="17">
        <f t="shared" si="15"/>
        <v>29.13289977655926</v>
      </c>
      <c r="T24" s="17">
        <f t="shared" si="15"/>
        <v>30.636449450236594</v>
      </c>
      <c r="U24" s="17">
        <f t="shared" si="15"/>
        <v>32.227868713431214</v>
      </c>
      <c r="V24" s="17">
        <f t="shared" si="15"/>
        <v>33.894132272534989</v>
      </c>
      <c r="W24" s="17">
        <f t="shared" si="15"/>
        <v>35.638180592357571</v>
      </c>
      <c r="X24" s="3">
        <f t="shared" si="15"/>
        <v>37.470001008893895</v>
      </c>
      <c r="Y24" s="17">
        <f t="shared" si="15"/>
        <v>39.405505605205015</v>
      </c>
      <c r="Z24" s="17">
        <f t="shared" si="15"/>
        <v>41.45022215901237</v>
      </c>
      <c r="AA24" s="17">
        <f t="shared" si="15"/>
        <v>43.598522889565793</v>
      </c>
      <c r="AB24" s="17">
        <f t="shared" si="15"/>
        <v>45.861921490576229</v>
      </c>
      <c r="AC24" s="17">
        <f t="shared" si="15"/>
        <v>48.247282126786303</v>
      </c>
      <c r="AD24" s="17">
        <f t="shared" si="15"/>
        <v>50.785035567062707</v>
      </c>
      <c r="AE24" s="17">
        <f t="shared" si="15"/>
        <v>53.470738028404313</v>
      </c>
      <c r="AF24" s="17">
        <f t="shared" si="15"/>
        <v>56.306766943240042</v>
      </c>
      <c r="AG24" s="17">
        <f t="shared" si="15"/>
        <v>59.293827969711884</v>
      </c>
      <c r="AH24" s="21">
        <f t="shared" si="15"/>
        <v>62.432418500287099</v>
      </c>
      <c r="AI24" s="21">
        <f t="shared" si="15"/>
        <v>65.736476233947343</v>
      </c>
      <c r="AJ24" s="21">
        <f t="shared" si="15"/>
        <v>69.224980181793157</v>
      </c>
      <c r="AK24" s="21">
        <f t="shared" si="15"/>
        <v>72.904166581404183</v>
      </c>
      <c r="AL24" s="21">
        <f t="shared" si="15"/>
        <v>76.779137579058713</v>
      </c>
      <c r="AM24" s="21">
        <f t="shared" si="15"/>
        <v>80.859548526594523</v>
      </c>
      <c r="AN24" s="14"/>
    </row>
    <row r="25" spans="1:48" x14ac:dyDescent="0.3">
      <c r="A25" t="s">
        <v>16</v>
      </c>
      <c r="B25" s="17"/>
      <c r="C25" s="17"/>
      <c r="D25" s="17"/>
      <c r="E25" s="17"/>
      <c r="F25" s="17"/>
      <c r="G25" s="17"/>
      <c r="H25" s="17"/>
      <c r="I25" s="17"/>
      <c r="J25" s="17"/>
      <c r="K25" s="17"/>
      <c r="L25" s="17">
        <f t="shared" si="15"/>
        <v>29.21037471323206</v>
      </c>
      <c r="M25" s="17">
        <f t="shared" si="15"/>
        <v>32.034213627872674</v>
      </c>
      <c r="N25" s="17">
        <f t="shared" si="15"/>
        <v>35.158251436491717</v>
      </c>
      <c r="O25" s="17">
        <f t="shared" si="15"/>
        <v>38.629270504332908</v>
      </c>
      <c r="P25" s="17">
        <f t="shared" si="15"/>
        <v>42.451910139865753</v>
      </c>
      <c r="Q25" s="17">
        <f t="shared" si="15"/>
        <v>46.656586292824393</v>
      </c>
      <c r="R25" s="17">
        <f t="shared" si="15"/>
        <v>51.24840623707528</v>
      </c>
      <c r="S25" s="17">
        <f t="shared" si="15"/>
        <v>56.296790276026087</v>
      </c>
      <c r="T25" s="17">
        <f t="shared" si="15"/>
        <v>61.822501543211743</v>
      </c>
      <c r="U25" s="17">
        <f t="shared" si="15"/>
        <v>67.903537235583599</v>
      </c>
      <c r="V25" s="17">
        <f t="shared" si="15"/>
        <v>74.581653620129345</v>
      </c>
      <c r="W25" s="17">
        <f t="shared" si="15"/>
        <v>81.891698589887753</v>
      </c>
      <c r="X25" s="3">
        <f t="shared" si="15"/>
        <v>89.869455544768996</v>
      </c>
      <c r="Y25" s="17">
        <f t="shared" si="15"/>
        <v>99.683540472744085</v>
      </c>
      <c r="Z25" s="17">
        <f t="shared" si="15"/>
        <v>110.56502875325971</v>
      </c>
      <c r="AA25" s="17">
        <f t="shared" si="15"/>
        <v>122.60424491792708</v>
      </c>
      <c r="AB25" s="17">
        <f t="shared" si="15"/>
        <v>135.94081633365522</v>
      </c>
      <c r="AC25" s="17">
        <f t="shared" si="15"/>
        <v>150.71831408581366</v>
      </c>
      <c r="AD25" s="17">
        <f t="shared" si="15"/>
        <v>167.15161910588586</v>
      </c>
      <c r="AE25" s="17">
        <f t="shared" si="15"/>
        <v>185.40129967089558</v>
      </c>
      <c r="AF25" s="17">
        <f t="shared" si="15"/>
        <v>205.65799020488109</v>
      </c>
      <c r="AG25" s="17">
        <f t="shared" si="15"/>
        <v>228.16932126629294</v>
      </c>
      <c r="AH25" s="21">
        <f t="shared" si="15"/>
        <v>253.16837198340247</v>
      </c>
      <c r="AI25" s="21">
        <f>AH25*AI17/AH17</f>
        <v>259.26459903032361</v>
      </c>
      <c r="AJ25" s="21">
        <f t="shared" ref="AJ25:AM25" si="16">AI25*AJ17/AI17</f>
        <v>265.51285341323126</v>
      </c>
      <c r="AK25" s="21">
        <f t="shared" si="16"/>
        <v>271.90639310601421</v>
      </c>
      <c r="AL25" s="21">
        <f t="shared" si="16"/>
        <v>278.42939743485755</v>
      </c>
      <c r="AM25" s="21">
        <f t="shared" si="16"/>
        <v>285.07778410458252</v>
      </c>
      <c r="AN25" s="14"/>
      <c r="AO25" s="17"/>
      <c r="AP25" s="17"/>
      <c r="AQ25" s="17"/>
      <c r="AR25" s="17"/>
      <c r="AS25" s="17"/>
      <c r="AT25" s="17"/>
      <c r="AU25" s="17"/>
      <c r="AV25" s="17"/>
    </row>
    <row r="26" spans="1:48" x14ac:dyDescent="0.3">
      <c r="A26" t="s">
        <v>6</v>
      </c>
      <c r="B26" s="17"/>
      <c r="C26" s="17"/>
      <c r="D26" s="17"/>
      <c r="E26" s="17"/>
      <c r="F26" s="17"/>
      <c r="G26" s="17"/>
      <c r="H26" s="17"/>
      <c r="I26" s="17"/>
      <c r="J26" s="17"/>
      <c r="K26" s="17"/>
      <c r="L26" s="17">
        <f t="shared" si="15"/>
        <v>29.779122233826719</v>
      </c>
      <c r="M26" s="17">
        <f t="shared" si="15"/>
        <v>33.293817595893664</v>
      </c>
      <c r="N26" s="17">
        <f t="shared" si="15"/>
        <v>37.252168640089529</v>
      </c>
      <c r="O26" s="17">
        <f t="shared" si="15"/>
        <v>41.726846442889844</v>
      </c>
      <c r="P26" s="17">
        <f t="shared" si="15"/>
        <v>46.748863500969691</v>
      </c>
      <c r="Q26" s="17">
        <f t="shared" si="15"/>
        <v>52.379523705397915</v>
      </c>
      <c r="R26" s="17">
        <f t="shared" si="15"/>
        <v>58.654820948416727</v>
      </c>
      <c r="S26" s="17">
        <f t="shared" si="15"/>
        <v>65.687350997179166</v>
      </c>
      <c r="T26" s="17">
        <f t="shared" si="15"/>
        <v>73.539293286226027</v>
      </c>
      <c r="U26" s="17">
        <f t="shared" si="15"/>
        <v>82.34553211180102</v>
      </c>
      <c r="V26" s="17">
        <f t="shared" si="15"/>
        <v>92.204987777261124</v>
      </c>
      <c r="W26" s="17">
        <f t="shared" si="15"/>
        <v>103.21362940037697</v>
      </c>
      <c r="X26" s="3">
        <f t="shared" si="15"/>
        <v>115.47395623417982</v>
      </c>
      <c r="Y26" s="17">
        <f t="shared" si="15"/>
        <v>127.05137699488486</v>
      </c>
      <c r="Z26" s="17">
        <f t="shared" si="15"/>
        <v>139.78407346953631</v>
      </c>
      <c r="AA26" s="17">
        <f t="shared" si="15"/>
        <v>153.75505503619121</v>
      </c>
      <c r="AB26" s="17">
        <f t="shared" si="15"/>
        <v>169.10550930643549</v>
      </c>
      <c r="AC26" s="17">
        <f t="shared" si="15"/>
        <v>185.97642617864523</v>
      </c>
      <c r="AD26" s="17">
        <f t="shared" si="15"/>
        <v>204.59096233437981</v>
      </c>
      <c r="AE26" s="17">
        <f t="shared" si="15"/>
        <v>225.09850922124468</v>
      </c>
      <c r="AF26" s="17">
        <f t="shared" si="15"/>
        <v>247.67913312798913</v>
      </c>
      <c r="AG26" s="17">
        <f t="shared" si="15"/>
        <v>272.57440281735603</v>
      </c>
      <c r="AH26" s="17">
        <f t="shared" si="15"/>
        <v>299.99999999999989</v>
      </c>
      <c r="AI26" s="17">
        <f t="shared" si="15"/>
        <v>330.19285924490424</v>
      </c>
      <c r="AJ26" s="17">
        <f t="shared" si="15"/>
        <v>363.44005518330096</v>
      </c>
      <c r="AK26" s="17">
        <f t="shared" si="15"/>
        <v>400.0578834416084</v>
      </c>
      <c r="AL26" s="17">
        <f t="shared" si="15"/>
        <v>440.37465227730621</v>
      </c>
      <c r="AM26" s="17">
        <f t="shared" si="15"/>
        <v>484.79197049733511</v>
      </c>
      <c r="AN26" s="14"/>
      <c r="AO26" s="17"/>
      <c r="AP26" s="17"/>
      <c r="AQ26" s="17"/>
      <c r="AR26" s="17"/>
      <c r="AS26" s="17"/>
      <c r="AT26" s="17"/>
      <c r="AU26" s="17"/>
      <c r="AV26" s="17"/>
    </row>
    <row r="27" spans="1:48" x14ac:dyDescent="0.3">
      <c r="B27" s="17"/>
      <c r="C27" s="17"/>
      <c r="D27" s="17"/>
      <c r="E27" s="17"/>
      <c r="F27" s="17"/>
      <c r="G27" s="17"/>
      <c r="H27" s="17"/>
      <c r="I27" s="17"/>
      <c r="J27" s="17"/>
      <c r="K27" s="17"/>
      <c r="L27" s="17"/>
      <c r="M27" s="17"/>
      <c r="N27" s="17"/>
      <c r="O27" s="17"/>
      <c r="P27" s="17"/>
      <c r="Q27" s="17"/>
      <c r="R27" s="17"/>
      <c r="S27" s="17"/>
      <c r="T27" s="17"/>
      <c r="U27" s="17"/>
      <c r="AH27" s="19"/>
      <c r="AI27" s="19"/>
      <c r="AJ27" s="19"/>
      <c r="AK27" s="19"/>
      <c r="AL27" s="19"/>
      <c r="AM27" s="19"/>
    </row>
    <row r="28" spans="1:48" x14ac:dyDescent="0.3">
      <c r="A28" t="s">
        <v>17</v>
      </c>
      <c r="B28" s="17">
        <f t="shared" ref="B28:AM30" si="17">+B12/B$31</f>
        <v>13.960328628945303</v>
      </c>
      <c r="C28" s="17">
        <f t="shared" si="17"/>
        <v>13.317506232567277</v>
      </c>
      <c r="D28" s="17">
        <f t="shared" si="17"/>
        <v>14.059220590052403</v>
      </c>
      <c r="E28" s="17">
        <f t="shared" si="17"/>
        <v>14.247588090233531</v>
      </c>
      <c r="F28" s="17">
        <f t="shared" si="17"/>
        <v>14.905094264758089</v>
      </c>
      <c r="G28" s="17">
        <f t="shared" si="17"/>
        <v>15.587018834401848</v>
      </c>
      <c r="H28" s="17">
        <f t="shared" si="17"/>
        <v>16.461821395891452</v>
      </c>
      <c r="I28" s="17">
        <f t="shared" si="17"/>
        <v>17.371226316298966</v>
      </c>
      <c r="J28" s="17">
        <f t="shared" si="17"/>
        <v>17.709999999999997</v>
      </c>
      <c r="K28" s="17">
        <f t="shared" si="17"/>
        <v>18.119221858006611</v>
      </c>
      <c r="L28" s="17">
        <f t="shared" si="17"/>
        <v>20.361979985294237</v>
      </c>
      <c r="M28" s="17">
        <f t="shared" si="17"/>
        <v>21.484387544134005</v>
      </c>
      <c r="N28" s="17">
        <f t="shared" si="17"/>
        <v>22.58262860261074</v>
      </c>
      <c r="O28" s="17">
        <f t="shared" si="17"/>
        <v>23.791055780002484</v>
      </c>
      <c r="P28" s="17">
        <f t="shared" si="17"/>
        <v>25.055866308146395</v>
      </c>
      <c r="Q28" s="17">
        <f t="shared" si="17"/>
        <v>26.354544714260911</v>
      </c>
      <c r="R28" s="17">
        <f t="shared" si="17"/>
        <v>27.70374053831695</v>
      </c>
      <c r="S28" s="17">
        <f t="shared" si="17"/>
        <v>29.13289977655926</v>
      </c>
      <c r="T28" s="17">
        <f t="shared" si="17"/>
        <v>30.636449450236594</v>
      </c>
      <c r="U28" s="17">
        <f t="shared" si="17"/>
        <v>32.227868713431214</v>
      </c>
      <c r="V28" s="17">
        <f t="shared" si="17"/>
        <v>33.894132272534989</v>
      </c>
      <c r="W28" s="17">
        <f t="shared" si="17"/>
        <v>35.638180592357571</v>
      </c>
      <c r="X28" s="3">
        <f t="shared" si="17"/>
        <v>37.470001008893895</v>
      </c>
      <c r="Y28" s="17">
        <f t="shared" si="17"/>
        <v>39.405505605205015</v>
      </c>
      <c r="Z28" s="17">
        <f t="shared" si="17"/>
        <v>41.45022215901237</v>
      </c>
      <c r="AA28" s="17">
        <f t="shared" si="17"/>
        <v>43.598522889565793</v>
      </c>
      <c r="AB28" s="17">
        <f t="shared" si="17"/>
        <v>45.861921490576229</v>
      </c>
      <c r="AC28" s="17">
        <f t="shared" si="17"/>
        <v>48.247282126786303</v>
      </c>
      <c r="AD28" s="17">
        <f t="shared" si="17"/>
        <v>50.785035567062707</v>
      </c>
      <c r="AE28" s="17">
        <f t="shared" si="17"/>
        <v>53.470738028404313</v>
      </c>
      <c r="AF28" s="17">
        <f t="shared" si="17"/>
        <v>56.306766943240042</v>
      </c>
      <c r="AG28" s="17">
        <f t="shared" si="17"/>
        <v>59.293827969711884</v>
      </c>
      <c r="AH28" s="17">
        <f t="shared" si="17"/>
        <v>62.432418500287099</v>
      </c>
      <c r="AI28" s="17">
        <f t="shared" si="17"/>
        <v>65.736476233947343</v>
      </c>
      <c r="AJ28" s="17">
        <f t="shared" si="17"/>
        <v>69.224980181793157</v>
      </c>
      <c r="AK28" s="17">
        <f t="shared" si="17"/>
        <v>72.904166581404183</v>
      </c>
      <c r="AL28" s="17">
        <f t="shared" si="17"/>
        <v>76.779137579058713</v>
      </c>
      <c r="AM28" s="17">
        <f t="shared" si="17"/>
        <v>80.859548526594523</v>
      </c>
    </row>
    <row r="29" spans="1:48" x14ac:dyDescent="0.3">
      <c r="A29" t="s">
        <v>18</v>
      </c>
      <c r="B29" s="17">
        <f t="shared" si="17"/>
        <v>45.360701737143422</v>
      </c>
      <c r="C29" s="17">
        <f t="shared" si="17"/>
        <v>45.670511391867713</v>
      </c>
      <c r="D29" s="17">
        <f t="shared" si="17"/>
        <v>47.53197072246175</v>
      </c>
      <c r="E29" s="17">
        <f t="shared" si="17"/>
        <v>50.010694174018013</v>
      </c>
      <c r="F29" s="17">
        <f t="shared" si="17"/>
        <v>52.580144773545996</v>
      </c>
      <c r="G29" s="17">
        <f t="shared" si="17"/>
        <v>55.172839737967749</v>
      </c>
      <c r="H29" s="17">
        <f t="shared" si="17"/>
        <v>57.894995347676478</v>
      </c>
      <c r="I29" s="17">
        <f t="shared" si="17"/>
        <v>60.785698627950659</v>
      </c>
      <c r="J29" s="17">
        <f t="shared" si="17"/>
        <v>64.999999999999986</v>
      </c>
      <c r="K29" s="17">
        <f t="shared" si="17"/>
        <v>68.220757714338447</v>
      </c>
      <c r="L29" s="17">
        <f t="shared" si="17"/>
        <v>76.664975684214625</v>
      </c>
      <c r="M29" s="17">
        <f t="shared" si="17"/>
        <v>80.890957060700401</v>
      </c>
      <c r="N29" s="17">
        <f t="shared" si="17"/>
        <v>85.025949045975565</v>
      </c>
      <c r="O29" s="17">
        <f t="shared" si="17"/>
        <v>89.575803246686476</v>
      </c>
      <c r="P29" s="17">
        <f t="shared" si="17"/>
        <v>94.337946636244979</v>
      </c>
      <c r="Q29" s="17">
        <f t="shared" si="17"/>
        <v>99.227606114266763</v>
      </c>
      <c r="R29" s="17">
        <f t="shared" si="17"/>
        <v>104.30746893306942</v>
      </c>
      <c r="S29" s="17">
        <f t="shared" si="17"/>
        <v>109.6884023358057</v>
      </c>
      <c r="T29" s="17">
        <f t="shared" si="17"/>
        <v>115.34942347695855</v>
      </c>
      <c r="U29" s="17">
        <f t="shared" si="17"/>
        <v>121.34128277572619</v>
      </c>
      <c r="V29" s="17">
        <f t="shared" si="17"/>
        <v>127.61493864487264</v>
      </c>
      <c r="W29" s="17">
        <f t="shared" si="17"/>
        <v>134.18146224070466</v>
      </c>
      <c r="X29" s="3">
        <f t="shared" si="17"/>
        <v>141.07845692359064</v>
      </c>
      <c r="Y29" s="17">
        <f t="shared" si="17"/>
        <v>148.36583334376414</v>
      </c>
      <c r="Z29" s="17">
        <f t="shared" si="17"/>
        <v>156.06440416015656</v>
      </c>
      <c r="AA29" s="17">
        <f t="shared" si="17"/>
        <v>164.15298019201629</v>
      </c>
      <c r="AB29" s="17">
        <f t="shared" si="17"/>
        <v>172.67491169550814</v>
      </c>
      <c r="AC29" s="17">
        <f t="shared" si="17"/>
        <v>181.65604296590536</v>
      </c>
      <c r="AD29" s="17">
        <f t="shared" si="17"/>
        <v>191.21094901786267</v>
      </c>
      <c r="AE29" s="17">
        <f t="shared" si="17"/>
        <v>201.32289854548688</v>
      </c>
      <c r="AF29" s="17">
        <f t="shared" si="17"/>
        <v>212.00084282952201</v>
      </c>
      <c r="AG29" s="17">
        <f t="shared" si="17"/>
        <v>223.24743874637878</v>
      </c>
      <c r="AH29" s="17">
        <f t="shared" si="17"/>
        <v>235.06455903050804</v>
      </c>
      <c r="AI29" s="17">
        <f t="shared" si="17"/>
        <v>247.50468057041945</v>
      </c>
      <c r="AJ29" s="17">
        <f t="shared" si="17"/>
        <v>260.63926131988688</v>
      </c>
      <c r="AK29" s="17">
        <f t="shared" si="17"/>
        <v>274.49178136300566</v>
      </c>
      <c r="AL29" s="17">
        <f t="shared" si="17"/>
        <v>289.08145081198717</v>
      </c>
      <c r="AM29" s="17">
        <f t="shared" si="17"/>
        <v>304.44462307226655</v>
      </c>
    </row>
    <row r="30" spans="1:48" x14ac:dyDescent="0.3">
      <c r="A30" t="str">
        <f>+A14</f>
        <v>Tier Price 1</v>
      </c>
      <c r="B30" s="17"/>
      <c r="C30" s="17"/>
      <c r="D30" s="17"/>
      <c r="E30" s="17"/>
      <c r="F30" s="17"/>
      <c r="G30" s="17"/>
      <c r="H30" s="17"/>
      <c r="I30" s="17"/>
      <c r="J30" s="17">
        <f t="shared" si="17"/>
        <v>41.399999999999991</v>
      </c>
      <c r="K30" s="17">
        <f t="shared" si="17"/>
        <v>43.457821175062733</v>
      </c>
      <c r="L30" s="17">
        <f t="shared" si="17"/>
        <v>48.836936370979153</v>
      </c>
      <c r="M30" s="17">
        <f t="shared" si="17"/>
        <v>51.528960750383916</v>
      </c>
      <c r="N30" s="17">
        <f t="shared" si="17"/>
        <v>54.163023289074204</v>
      </c>
      <c r="O30" s="17">
        <f t="shared" si="17"/>
        <v>57.061360347349726</v>
      </c>
      <c r="P30" s="17">
        <f t="shared" si="17"/>
        <v>60.094929348444893</v>
      </c>
      <c r="Q30" s="17">
        <f t="shared" si="17"/>
        <v>63.209728338110168</v>
      </c>
      <c r="R30" s="17">
        <f t="shared" si="17"/>
        <v>66.445690197369572</v>
      </c>
      <c r="S30" s="17">
        <f t="shared" si="17"/>
        <v>69.873439307841366</v>
      </c>
      <c r="T30" s="17">
        <f t="shared" si="17"/>
        <v>73.47960922830184</v>
      </c>
      <c r="U30" s="17">
        <f t="shared" si="17"/>
        <v>77.296528867370185</v>
      </c>
      <c r="V30" s="17">
        <f t="shared" si="17"/>
        <v>81.292957872408152</v>
      </c>
      <c r="W30" s="17">
        <f t="shared" si="17"/>
        <v>85.475948764482638</v>
      </c>
      <c r="X30" s="3">
        <f t="shared" si="17"/>
        <v>89.869455544768982</v>
      </c>
      <c r="Y30" s="17">
        <f t="shared" si="17"/>
        <v>94.511642349983944</v>
      </c>
      <c r="Z30" s="17">
        <f t="shared" si="17"/>
        <v>99.415767209506285</v>
      </c>
      <c r="AA30" s="17">
        <f t="shared" si="17"/>
        <v>104.56833224294301</v>
      </c>
      <c r="AB30" s="17">
        <f t="shared" si="17"/>
        <v>109.99695232505397</v>
      </c>
      <c r="AC30" s="17">
        <f t="shared" si="17"/>
        <v>115.71809072596407</v>
      </c>
      <c r="AD30" s="17">
        <f t="shared" si="17"/>
        <v>121.80473374287702</v>
      </c>
      <c r="AE30" s="17">
        <f t="shared" si="17"/>
        <v>128.24622324000103</v>
      </c>
      <c r="AF30" s="17">
        <f t="shared" si="17"/>
        <v>135.04826134042733</v>
      </c>
      <c r="AG30" s="17">
        <f t="shared" si="17"/>
        <v>142.21254052110592</v>
      </c>
      <c r="AH30" s="17">
        <f t="shared" si="17"/>
        <v>149.7402537467824</v>
      </c>
      <c r="AI30" s="17">
        <f t="shared" si="17"/>
        <v>157.66482971735815</v>
      </c>
      <c r="AJ30" s="17">
        <f t="shared" si="17"/>
        <v>166.03178840476963</v>
      </c>
      <c r="AK30" s="17">
        <f t="shared" si="17"/>
        <v>174.85608703508666</v>
      </c>
      <c r="AL30" s="17">
        <f t="shared" si="17"/>
        <v>184.14996278727369</v>
      </c>
      <c r="AM30" s="17">
        <f t="shared" si="17"/>
        <v>193.93657341925413</v>
      </c>
    </row>
    <row r="31" spans="1:48" ht="18.75" customHeight="1" x14ac:dyDescent="0.3">
      <c r="A31" t="s">
        <v>19</v>
      </c>
      <c r="B31">
        <v>0.85977505872809312</v>
      </c>
      <c r="C31" s="8">
        <v>0.87583867097057666</v>
      </c>
      <c r="D31" s="8">
        <v>0.88463520981561894</v>
      </c>
      <c r="E31" s="8">
        <v>0.89348456169407298</v>
      </c>
      <c r="F31" s="8">
        <v>0.91042698281252654</v>
      </c>
      <c r="G31" s="8">
        <v>0.93218595257812098</v>
      </c>
      <c r="H31" s="8">
        <v>0.94886219600817967</v>
      </c>
      <c r="I31" s="8">
        <v>0.9602085481063356</v>
      </c>
      <c r="J31" s="8">
        <v>1.0000000000000002</v>
      </c>
      <c r="K31" s="8">
        <v>1.0596481543447633</v>
      </c>
      <c r="L31" s="8">
        <v>1.090758365151151</v>
      </c>
      <c r="M31" s="8">
        <v>1.113425026950259</v>
      </c>
      <c r="N31" s="8">
        <v>1.1356830513160494</v>
      </c>
      <c r="O31" s="8">
        <v>1.1571169924028653</v>
      </c>
      <c r="P31" s="8">
        <v>1.1787071220720735</v>
      </c>
      <c r="Q31" s="8">
        <v>1.2006033478785973</v>
      </c>
      <c r="R31" s="8">
        <v>1.2236057572434058</v>
      </c>
      <c r="S31" s="8">
        <v>1.2469458867083274</v>
      </c>
      <c r="T31" s="19">
        <v>1.2711418967805479</v>
      </c>
      <c r="U31">
        <v>1.2955601318780738</v>
      </c>
      <c r="V31" s="19">
        <v>1.3204663269374415</v>
      </c>
      <c r="W31" s="19">
        <v>1.3462596384851</v>
      </c>
      <c r="X31" s="3">
        <v>1.3733017079178294</v>
      </c>
      <c r="Y31" s="19">
        <v>1.4012507060318691</v>
      </c>
      <c r="Z31" s="19">
        <v>1.4298245309826576</v>
      </c>
      <c r="AA31" s="19">
        <v>1.4593391991165958</v>
      </c>
      <c r="AB31" s="19">
        <v>1.4896118198009825</v>
      </c>
      <c r="AC31" s="19">
        <v>1.5206111962179671</v>
      </c>
      <c r="AD31" s="19">
        <v>1.5517967993307586</v>
      </c>
      <c r="AE31" s="19">
        <v>1.5834118593600732</v>
      </c>
      <c r="AF31" s="19">
        <v>1.6155570856034467</v>
      </c>
      <c r="AG31" s="19">
        <v>1.6480556533522368</v>
      </c>
      <c r="AH31" s="19">
        <v>1.6810510533390035</v>
      </c>
      <c r="AI31" s="19">
        <v>1.7146666307368783</v>
      </c>
      <c r="AJ31" s="19">
        <v>1.7488791435178845</v>
      </c>
      <c r="AK31" s="19">
        <v>1.7836719004575317</v>
      </c>
      <c r="AL31" s="19">
        <v>1.819117305961891</v>
      </c>
      <c r="AM31" s="19">
        <v>1.8551234528414731</v>
      </c>
    </row>
    <row r="32" spans="1:48" ht="12.75" customHeight="1" x14ac:dyDescent="0.3">
      <c r="A32" t="s">
        <v>20</v>
      </c>
      <c r="C32" s="32">
        <f>+C31/B31-1</f>
        <v>1.8683505737241646E-2</v>
      </c>
      <c r="D32" s="32">
        <f t="shared" ref="D32:AM32" si="18">+D31/C31-1</f>
        <v>1.0043560688287823E-2</v>
      </c>
      <c r="E32" s="32">
        <f t="shared" si="18"/>
        <v>1.0003390979993254E-2</v>
      </c>
      <c r="F32" s="32">
        <f t="shared" si="18"/>
        <v>1.8962186751531718E-2</v>
      </c>
      <c r="G32" s="32">
        <f t="shared" si="18"/>
        <v>2.3899741743567127E-2</v>
      </c>
      <c r="H32" s="32">
        <f t="shared" si="18"/>
        <v>1.7889395762656246E-2</v>
      </c>
      <c r="I32" s="32">
        <f t="shared" si="18"/>
        <v>1.1957850303120354E-2</v>
      </c>
      <c r="J32" s="32">
        <f t="shared" si="18"/>
        <v>4.1440426636629057E-2</v>
      </c>
      <c r="K32" s="32">
        <f t="shared" si="18"/>
        <v>5.9648154344763116E-2</v>
      </c>
      <c r="L32" s="32">
        <f t="shared" si="18"/>
        <v>2.935900060678609E-2</v>
      </c>
      <c r="M32" s="32">
        <f t="shared" si="18"/>
        <v>2.0780644479372778E-2</v>
      </c>
      <c r="N32" s="32">
        <f t="shared" si="18"/>
        <v>1.9990591038497207E-2</v>
      </c>
      <c r="O32" s="32">
        <f t="shared" si="18"/>
        <v>1.8873171578969838E-2</v>
      </c>
      <c r="P32" s="32">
        <f t="shared" si="18"/>
        <v>1.8658553811723211E-2</v>
      </c>
      <c r="Q32" s="32">
        <f t="shared" si="18"/>
        <v>1.8576477053970697E-2</v>
      </c>
      <c r="R32" s="32">
        <f t="shared" si="18"/>
        <v>1.9159041498137075E-2</v>
      </c>
      <c r="S32" s="32">
        <f t="shared" si="18"/>
        <v>1.9074877121780798E-2</v>
      </c>
      <c r="T32" s="32">
        <f t="shared" si="18"/>
        <v>1.9404218202357493E-2</v>
      </c>
      <c r="U32" s="32">
        <f t="shared" si="18"/>
        <v>1.9209684740445265E-2</v>
      </c>
      <c r="V32" s="32">
        <f t="shared" si="18"/>
        <v>1.9224267902766545E-2</v>
      </c>
      <c r="W32" s="32">
        <f t="shared" si="18"/>
        <v>1.9533486785294318E-2</v>
      </c>
      <c r="X32" s="3">
        <f t="shared" si="18"/>
        <v>2.0086815841228622E-2</v>
      </c>
      <c r="Y32" s="32">
        <f t="shared" si="18"/>
        <v>2.0351680881847356E-2</v>
      </c>
      <c r="Z32" s="32">
        <f t="shared" si="18"/>
        <v>2.0391657843802591E-2</v>
      </c>
      <c r="AA32" s="32">
        <f t="shared" si="18"/>
        <v>2.0642160974573498E-2</v>
      </c>
      <c r="AB32" s="32">
        <f t="shared" si="18"/>
        <v>2.0744060532816411E-2</v>
      </c>
      <c r="AC32" s="32">
        <f t="shared" si="18"/>
        <v>2.0810372209000283E-2</v>
      </c>
      <c r="AD32" s="32">
        <f t="shared" si="18"/>
        <v>2.0508597589150801E-2</v>
      </c>
      <c r="AE32" s="32">
        <f t="shared" si="18"/>
        <v>2.0373195796607568E-2</v>
      </c>
      <c r="AF32" s="32">
        <f t="shared" si="18"/>
        <v>2.030124130582478E-2</v>
      </c>
      <c r="AG32" s="32">
        <f t="shared" si="18"/>
        <v>2.0116013255360166E-2</v>
      </c>
      <c r="AH32" s="32">
        <f t="shared" si="18"/>
        <v>2.0020804467162368E-2</v>
      </c>
      <c r="AI32" s="32">
        <f t="shared" si="18"/>
        <v>1.9996761746828184E-2</v>
      </c>
      <c r="AJ32" s="32">
        <f t="shared" si="18"/>
        <v>1.9952865570319833E-2</v>
      </c>
      <c r="AK32" s="32">
        <f t="shared" si="18"/>
        <v>1.9894317493924341E-2</v>
      </c>
      <c r="AL32" s="32">
        <f t="shared" si="18"/>
        <v>1.9872155577080663E-2</v>
      </c>
      <c r="AM32" s="32">
        <f t="shared" si="18"/>
        <v>1.9793196822204484E-2</v>
      </c>
    </row>
    <row r="33" spans="1:39" ht="9" customHeight="1" x14ac:dyDescent="0.3">
      <c r="H33" s="9"/>
      <c r="I33" s="9"/>
      <c r="J33" s="9"/>
      <c r="K33" s="9"/>
    </row>
    <row r="34" spans="1:39" ht="22.2" customHeight="1" x14ac:dyDescent="0.3">
      <c r="A34" s="136" t="s">
        <v>21</v>
      </c>
      <c r="B34" s="33"/>
      <c r="C34" s="33"/>
      <c r="D34" s="33"/>
      <c r="E34" s="33"/>
      <c r="F34" s="33"/>
      <c r="G34" s="33"/>
      <c r="H34" s="33"/>
      <c r="I34" s="33"/>
      <c r="J34" s="33"/>
      <c r="K34" s="33"/>
      <c r="L34" s="33"/>
      <c r="M34" s="33"/>
      <c r="N34" s="33"/>
      <c r="O34" s="33"/>
      <c r="P34" s="33"/>
      <c r="Q34" s="33"/>
      <c r="R34" s="33"/>
      <c r="S34" s="33"/>
    </row>
    <row r="35" spans="1:39" ht="21" customHeight="1" x14ac:dyDescent="0.3">
      <c r="A35" s="137" t="s">
        <v>22</v>
      </c>
      <c r="B35" s="34"/>
      <c r="C35" s="34"/>
      <c r="D35" s="34"/>
      <c r="E35" s="34"/>
      <c r="F35" s="34"/>
      <c r="G35" s="34"/>
      <c r="H35" s="34"/>
      <c r="I35" s="34"/>
      <c r="J35" s="34"/>
      <c r="K35" s="34"/>
      <c r="L35" s="34"/>
      <c r="M35" s="34"/>
      <c r="N35" s="34"/>
      <c r="O35" s="34"/>
      <c r="P35" s="34"/>
      <c r="Q35" s="34"/>
      <c r="R35" s="34"/>
      <c r="S35" s="34"/>
    </row>
    <row r="36" spans="1:39" ht="17.399999999999999" customHeight="1" x14ac:dyDescent="0.3">
      <c r="A36" s="137" t="s">
        <v>23</v>
      </c>
      <c r="B36" s="34"/>
      <c r="C36" s="34"/>
      <c r="D36" s="34"/>
      <c r="E36" s="34"/>
      <c r="F36" s="34"/>
      <c r="G36" s="34"/>
      <c r="H36" s="34"/>
      <c r="I36" s="34"/>
      <c r="J36" s="34"/>
      <c r="K36" s="34"/>
      <c r="L36" s="34"/>
      <c r="M36" s="34"/>
      <c r="N36" s="34"/>
      <c r="O36" s="34"/>
      <c r="P36" s="34"/>
      <c r="Q36" s="34"/>
      <c r="R36" s="34"/>
      <c r="S36" s="34"/>
    </row>
    <row r="37" spans="1:39" ht="22.5" customHeight="1" x14ac:dyDescent="0.3">
      <c r="A37" s="35" t="s">
        <v>24</v>
      </c>
      <c r="B37" s="27"/>
      <c r="C37" s="27"/>
      <c r="D37" s="27"/>
      <c r="E37" s="27"/>
      <c r="F37" s="27"/>
      <c r="G37" s="27"/>
      <c r="H37" s="27"/>
      <c r="I37" s="27"/>
      <c r="J37" s="27"/>
      <c r="K37" s="27"/>
      <c r="L37" s="27"/>
      <c r="M37" s="27"/>
    </row>
    <row r="38" spans="1:39" ht="17.399999999999999" x14ac:dyDescent="0.3">
      <c r="A38" s="36" t="s">
        <v>25</v>
      </c>
    </row>
    <row r="39" spans="1:39" ht="31.2" customHeight="1" x14ac:dyDescent="0.3"/>
    <row r="41" spans="1:39" ht="20.25" customHeight="1" x14ac:dyDescent="0.3"/>
    <row r="42" spans="1:39" x14ac:dyDescent="0.3">
      <c r="A42" s="37" t="s">
        <v>26</v>
      </c>
      <c r="B42" s="38"/>
      <c r="C42" s="38"/>
      <c r="D42" s="38"/>
      <c r="E42" s="38"/>
      <c r="F42" s="39"/>
    </row>
    <row r="43" spans="1:39" ht="57.6" x14ac:dyDescent="0.3">
      <c r="A43" s="40"/>
      <c r="B43" s="4" t="s">
        <v>27</v>
      </c>
      <c r="D43" s="4" t="s">
        <v>28</v>
      </c>
      <c r="E43" s="4" t="s">
        <v>29</v>
      </c>
      <c r="F43" s="41"/>
      <c r="G43" s="42" t="s">
        <v>30</v>
      </c>
    </row>
    <row r="44" spans="1:39" x14ac:dyDescent="0.3">
      <c r="A44" s="40" t="s">
        <v>31</v>
      </c>
      <c r="B44" t="s">
        <v>32</v>
      </c>
      <c r="C44" t="s">
        <v>33</v>
      </c>
      <c r="F44" s="41"/>
    </row>
    <row r="45" spans="1:39" x14ac:dyDescent="0.3">
      <c r="A45" s="43">
        <v>2022</v>
      </c>
      <c r="B45" s="44">
        <f>HLOOKUP(A45,B$5:Z$6,2,FALSE)</f>
        <v>28.461403648612958</v>
      </c>
      <c r="C45" s="45">
        <v>0</v>
      </c>
      <c r="D45" s="46">
        <f>LN(B45)</f>
        <v>3.3485489114951599</v>
      </c>
      <c r="E45" s="47">
        <f t="array" ref="E45:F47">LINEST(D45:D46,C45:C46,1,TRUE)</f>
        <v>0.11284823523972254</v>
      </c>
      <c r="F45" s="48">
        <v>3.3485489114951594</v>
      </c>
      <c r="H45">
        <f>S5</f>
        <v>2030</v>
      </c>
      <c r="I45">
        <f t="shared" ref="I45:AM45" si="19">T5</f>
        <v>2031</v>
      </c>
      <c r="J45">
        <f t="shared" si="19"/>
        <v>2032</v>
      </c>
      <c r="K45">
        <f t="shared" si="19"/>
        <v>2033</v>
      </c>
      <c r="L45">
        <f t="shared" si="19"/>
        <v>2034</v>
      </c>
      <c r="M45">
        <f t="shared" si="19"/>
        <v>2035</v>
      </c>
      <c r="N45">
        <f t="shared" si="19"/>
        <v>2036</v>
      </c>
      <c r="O45">
        <f t="shared" si="19"/>
        <v>2037</v>
      </c>
      <c r="P45">
        <f t="shared" si="19"/>
        <v>2038</v>
      </c>
      <c r="Q45">
        <f t="shared" si="19"/>
        <v>2039</v>
      </c>
      <c r="R45">
        <f t="shared" si="19"/>
        <v>2040</v>
      </c>
      <c r="S45">
        <f t="shared" si="19"/>
        <v>2041</v>
      </c>
      <c r="T45">
        <f t="shared" si="19"/>
        <v>2042</v>
      </c>
      <c r="U45">
        <f t="shared" si="19"/>
        <v>2043</v>
      </c>
      <c r="V45">
        <f t="shared" si="19"/>
        <v>2044</v>
      </c>
      <c r="W45">
        <f t="shared" si="19"/>
        <v>2045</v>
      </c>
      <c r="X45" s="3">
        <f t="shared" si="19"/>
        <v>2046</v>
      </c>
      <c r="Y45">
        <f t="shared" si="19"/>
        <v>2047</v>
      </c>
      <c r="Z45">
        <f t="shared" si="19"/>
        <v>2048</v>
      </c>
      <c r="AA45">
        <f t="shared" si="19"/>
        <v>2049</v>
      </c>
      <c r="AB45">
        <f t="shared" si="19"/>
        <v>2050</v>
      </c>
      <c r="AC45">
        <f t="shared" si="19"/>
        <v>0</v>
      </c>
      <c r="AD45">
        <f t="shared" si="19"/>
        <v>0</v>
      </c>
      <c r="AE45">
        <f t="shared" si="19"/>
        <v>0</v>
      </c>
      <c r="AF45">
        <f t="shared" si="19"/>
        <v>0</v>
      </c>
      <c r="AG45">
        <f t="shared" si="19"/>
        <v>0</v>
      </c>
      <c r="AH45">
        <f t="shared" si="19"/>
        <v>0</v>
      </c>
      <c r="AI45">
        <f t="shared" si="19"/>
        <v>0</v>
      </c>
      <c r="AJ45">
        <f t="shared" si="19"/>
        <v>0</v>
      </c>
      <c r="AK45">
        <f t="shared" si="19"/>
        <v>0</v>
      </c>
      <c r="AL45">
        <f t="shared" si="19"/>
        <v>0</v>
      </c>
      <c r="AM45">
        <f t="shared" si="19"/>
        <v>0</v>
      </c>
    </row>
    <row r="46" spans="1:39" x14ac:dyDescent="0.3">
      <c r="A46" s="43">
        <v>2035</v>
      </c>
      <c r="B46" s="19">
        <f>HLOOKUP(A46,H$45:AC$47,2,FALSE)</f>
        <v>123.41787678927668</v>
      </c>
      <c r="C46" s="45">
        <f>+A46-A45</f>
        <v>13</v>
      </c>
      <c r="D46" s="46">
        <f>LN(B46)</f>
        <v>4.8155759696115528</v>
      </c>
      <c r="E46" s="46">
        <v>0</v>
      </c>
      <c r="F46" s="49">
        <v>0</v>
      </c>
      <c r="H46" s="12">
        <f t="shared" ref="H46:W47" si="20">+S14</f>
        <v>87.128397735076746</v>
      </c>
      <c r="I46" s="12">
        <f t="shared" si="20"/>
        <v>93.403009849157058</v>
      </c>
      <c r="J46" s="12">
        <f t="shared" si="20"/>
        <v>100.14230113312746</v>
      </c>
      <c r="K46" s="12">
        <f t="shared" si="20"/>
        <v>107.34461348765896</v>
      </c>
      <c r="L46" s="12">
        <f t="shared" si="20"/>
        <v>115.07281988284333</v>
      </c>
      <c r="M46" s="12">
        <f t="shared" si="20"/>
        <v>123.41787678927668</v>
      </c>
      <c r="N46" s="12">
        <f t="shared" si="20"/>
        <v>132.4345055711465</v>
      </c>
      <c r="O46" s="12">
        <f t="shared" si="20"/>
        <v>142.1471027226134</v>
      </c>
      <c r="P46" s="12">
        <f t="shared" si="20"/>
        <v>152.60066622837456</v>
      </c>
      <c r="Q46" s="12">
        <f t="shared" si="20"/>
        <v>163.85276032548555</v>
      </c>
      <c r="R46" s="12">
        <f t="shared" si="20"/>
        <v>175.96222436286749</v>
      </c>
      <c r="S46" s="12">
        <f t="shared" si="20"/>
        <v>189.01619596553181</v>
      </c>
      <c r="T46" s="12">
        <f t="shared" si="20"/>
        <v>203.06659079635705</v>
      </c>
      <c r="U46" s="12">
        <f t="shared" si="20"/>
        <v>218.17817550695341</v>
      </c>
      <c r="V46" s="12">
        <f t="shared" si="20"/>
        <v>234.37418138339265</v>
      </c>
      <c r="W46" s="12">
        <f t="shared" si="20"/>
        <v>251.72101128827822</v>
      </c>
      <c r="X46" s="3">
        <f t="shared" ref="X46:AM47" si="21">+AI14</f>
        <v>270.34262235716614</v>
      </c>
      <c r="Y46" s="12">
        <f t="shared" si="21"/>
        <v>290.36953190207612</v>
      </c>
      <c r="Z46" s="12">
        <f t="shared" si="21"/>
        <v>311.88588906844058</v>
      </c>
      <c r="AA46" s="12">
        <f t="shared" si="21"/>
        <v>334.99038419856782</v>
      </c>
      <c r="AB46" s="12">
        <f t="shared" si="21"/>
        <v>359.77628571377056</v>
      </c>
      <c r="AC46" s="12">
        <f t="shared" si="21"/>
        <v>0</v>
      </c>
      <c r="AD46" s="12">
        <f t="shared" si="21"/>
        <v>0</v>
      </c>
      <c r="AE46" s="12">
        <f t="shared" si="21"/>
        <v>0</v>
      </c>
      <c r="AF46" s="12">
        <f t="shared" si="21"/>
        <v>0</v>
      </c>
      <c r="AG46" s="12">
        <f t="shared" si="21"/>
        <v>0</v>
      </c>
      <c r="AH46" s="12">
        <f t="shared" si="21"/>
        <v>0</v>
      </c>
      <c r="AI46" s="12">
        <f t="shared" si="21"/>
        <v>0</v>
      </c>
      <c r="AJ46" s="12">
        <f t="shared" si="21"/>
        <v>0</v>
      </c>
      <c r="AK46" s="12">
        <f t="shared" si="21"/>
        <v>0</v>
      </c>
      <c r="AL46" s="12">
        <f t="shared" si="21"/>
        <v>0</v>
      </c>
      <c r="AM46" s="12">
        <f t="shared" si="21"/>
        <v>0</v>
      </c>
    </row>
    <row r="47" spans="1:39" x14ac:dyDescent="0.3">
      <c r="A47" s="43">
        <v>2045</v>
      </c>
      <c r="B47" s="19">
        <f>G47*AH31</f>
        <v>425.5889583948192</v>
      </c>
      <c r="C47" s="45">
        <f>+A47-A46</f>
        <v>10</v>
      </c>
      <c r="D47" s="46">
        <f>LN(B47)</f>
        <v>6.053473994069698</v>
      </c>
      <c r="E47" s="46">
        <v>1</v>
      </c>
      <c r="F47" s="49">
        <v>0</v>
      </c>
      <c r="G47" s="50">
        <f>236/G31</f>
        <v>253.16837198340235</v>
      </c>
      <c r="H47" s="12">
        <f t="shared" si="20"/>
        <v>111.95194992365886</v>
      </c>
      <c r="I47" s="12">
        <f t="shared" si="20"/>
        <v>120.01424740010039</v>
      </c>
      <c r="J47" s="12">
        <f t="shared" si="20"/>
        <v>128.67361472415095</v>
      </c>
      <c r="K47" s="12">
        <f t="shared" si="20"/>
        <v>137.92792139120044</v>
      </c>
      <c r="L47" s="12">
        <f t="shared" si="20"/>
        <v>147.85795336520823</v>
      </c>
      <c r="M47" s="12">
        <f t="shared" si="20"/>
        <v>158.58058131642778</v>
      </c>
      <c r="N47" s="12">
        <f t="shared" si="20"/>
        <v>170.16611714755129</v>
      </c>
      <c r="O47" s="12">
        <f t="shared" si="20"/>
        <v>182.64590810199854</v>
      </c>
      <c r="P47" s="12">
        <f t="shared" si="20"/>
        <v>196.07777243719698</v>
      </c>
      <c r="Q47" s="12">
        <f t="shared" si="20"/>
        <v>210.53567488510268</v>
      </c>
      <c r="R47" s="12">
        <f t="shared" si="20"/>
        <v>226.09521857873762</v>
      </c>
      <c r="S47" s="12">
        <f t="shared" si="20"/>
        <v>242.86836732422398</v>
      </c>
      <c r="T47" s="12">
        <f t="shared" si="20"/>
        <v>260.92182795701291</v>
      </c>
      <c r="U47" s="12">
        <f t="shared" si="20"/>
        <v>280.33881964704523</v>
      </c>
      <c r="V47" s="12">
        <f t="shared" si="20"/>
        <v>301.14919245288473</v>
      </c>
      <c r="W47" s="12">
        <f t="shared" si="20"/>
        <v>323.43826792459112</v>
      </c>
      <c r="X47" s="3">
        <f t="shared" si="21"/>
        <v>347.36531954122734</v>
      </c>
      <c r="Y47" s="12">
        <f t="shared" si="21"/>
        <v>373.09805000316703</v>
      </c>
      <c r="Z47" s="12">
        <f t="shared" si="21"/>
        <v>400.74458319608311</v>
      </c>
      <c r="AA47" s="12">
        <f t="shared" si="21"/>
        <v>430.43172710161252</v>
      </c>
      <c r="AB47" s="12">
        <f t="shared" si="21"/>
        <v>462.27932303330732</v>
      </c>
      <c r="AC47" s="12">
        <f t="shared" si="21"/>
        <v>0</v>
      </c>
      <c r="AD47" s="12">
        <f t="shared" si="21"/>
        <v>0</v>
      </c>
      <c r="AE47" s="12">
        <f t="shared" si="21"/>
        <v>0</v>
      </c>
      <c r="AF47" s="12">
        <f t="shared" si="21"/>
        <v>0</v>
      </c>
      <c r="AG47" s="12">
        <f t="shared" si="21"/>
        <v>0</v>
      </c>
      <c r="AH47" s="12">
        <f t="shared" si="21"/>
        <v>0</v>
      </c>
      <c r="AI47" s="12">
        <f t="shared" si="21"/>
        <v>0</v>
      </c>
      <c r="AJ47" s="12">
        <f t="shared" si="21"/>
        <v>0</v>
      </c>
      <c r="AK47" s="12">
        <f t="shared" si="21"/>
        <v>0</v>
      </c>
      <c r="AL47" s="12">
        <f t="shared" si="21"/>
        <v>0</v>
      </c>
      <c r="AM47" s="12">
        <f t="shared" si="21"/>
        <v>0</v>
      </c>
    </row>
    <row r="48" spans="1:39" x14ac:dyDescent="0.3">
      <c r="A48" s="43"/>
      <c r="B48" s="19"/>
      <c r="C48" s="45"/>
      <c r="D48" s="46"/>
      <c r="E48" s="46"/>
      <c r="F48" s="49"/>
      <c r="H48" s="12"/>
      <c r="I48" s="12"/>
      <c r="J48" s="12"/>
      <c r="K48" s="12"/>
      <c r="L48" s="12"/>
      <c r="M48" s="12"/>
      <c r="N48" s="12"/>
      <c r="O48" s="12"/>
      <c r="P48" s="12"/>
      <c r="Q48" s="12"/>
      <c r="R48" s="12"/>
      <c r="S48" s="12"/>
      <c r="T48" s="12"/>
      <c r="U48" s="12"/>
      <c r="V48" s="12"/>
      <c r="W48" s="12"/>
      <c r="Y48" s="12"/>
      <c r="Z48" s="12"/>
      <c r="AA48" s="12"/>
      <c r="AB48" s="12"/>
      <c r="AC48" s="12"/>
      <c r="AD48" s="12"/>
      <c r="AE48" s="12"/>
      <c r="AF48" s="12"/>
      <c r="AG48" s="12"/>
      <c r="AH48" s="12"/>
      <c r="AI48" s="12"/>
      <c r="AJ48" s="12"/>
      <c r="AK48" s="12"/>
      <c r="AL48" s="12"/>
      <c r="AM48" s="12"/>
    </row>
    <row r="49" spans="1:46" x14ac:dyDescent="0.3">
      <c r="A49" s="51">
        <f>+A46</f>
        <v>2035</v>
      </c>
      <c r="B49" s="51">
        <f>+B46</f>
        <v>123.41787678927668</v>
      </c>
      <c r="C49" s="51">
        <v>0</v>
      </c>
      <c r="D49" s="46">
        <f>LN(B49)</f>
        <v>4.8155759696115528</v>
      </c>
      <c r="E49" s="47">
        <f t="array" ref="E49:F51">LINEST(D49:D50,C49:C50,1,TRUE)</f>
        <v>0.12378980244581447</v>
      </c>
      <c r="F49" s="48">
        <v>4.8155759696115528</v>
      </c>
      <c r="I49" s="12"/>
    </row>
    <row r="50" spans="1:46" x14ac:dyDescent="0.3">
      <c r="A50" s="51">
        <f>+A47</f>
        <v>2045</v>
      </c>
      <c r="B50" s="53">
        <f>+B47</f>
        <v>425.5889583948192</v>
      </c>
      <c r="C50" s="51">
        <f>+C47</f>
        <v>10</v>
      </c>
      <c r="D50" s="46">
        <f>LN(B50)</f>
        <v>6.053473994069698</v>
      </c>
      <c r="E50" s="52">
        <v>0</v>
      </c>
      <c r="F50" s="49">
        <v>0</v>
      </c>
      <c r="G50" s="12"/>
      <c r="I50" s="12"/>
    </row>
    <row r="51" spans="1:46" x14ac:dyDescent="0.3">
      <c r="A51" s="51"/>
      <c r="B51" s="44"/>
      <c r="D51" s="18"/>
      <c r="E51" s="46">
        <v>1</v>
      </c>
      <c r="F51" s="49">
        <v>0</v>
      </c>
      <c r="G51" s="12"/>
      <c r="I51" s="12"/>
    </row>
    <row r="52" spans="1:46" x14ac:dyDescent="0.3">
      <c r="A52" s="51"/>
      <c r="B52" s="44"/>
      <c r="D52" s="18"/>
      <c r="E52" s="18"/>
      <c r="F52" s="18"/>
      <c r="G52" s="12"/>
      <c r="I52" s="12"/>
    </row>
    <row r="53" spans="1:46" x14ac:dyDescent="0.3">
      <c r="A53" s="51"/>
      <c r="B53" s="44" t="s">
        <v>34</v>
      </c>
      <c r="C53" t="s">
        <v>33</v>
      </c>
      <c r="D53" s="54" t="s">
        <v>35</v>
      </c>
      <c r="E53" s="18" t="s">
        <v>29</v>
      </c>
      <c r="F53" s="55"/>
    </row>
    <row r="54" spans="1:46" x14ac:dyDescent="0.3">
      <c r="A54" s="43">
        <f>+A45</f>
        <v>2022</v>
      </c>
      <c r="B54" s="44">
        <f>HLOOKUP(A54,B$5:Z$6,2,FALSE)</f>
        <v>28.461403648612958</v>
      </c>
      <c r="C54" s="45">
        <v>0</v>
      </c>
      <c r="D54" s="46">
        <f>LN(B54)</f>
        <v>3.3485489114951599</v>
      </c>
      <c r="E54" s="46">
        <f t="array" ref="E54:F56">LINEST(D54:D55,C54:C55,1,TRUE)</f>
        <v>0.13213184246951379</v>
      </c>
      <c r="F54" s="49">
        <v>3.3485489114951603</v>
      </c>
    </row>
    <row r="55" spans="1:46" x14ac:dyDescent="0.3">
      <c r="A55" s="43">
        <v>2035</v>
      </c>
      <c r="B55" s="19">
        <f>HLOOKUP(A55,H$45:AC$58,3,FALSE)</f>
        <v>158.58058131642778</v>
      </c>
      <c r="C55" s="45">
        <f>+A55-A54</f>
        <v>13</v>
      </c>
      <c r="D55" s="46">
        <f>LN(B55)</f>
        <v>5.0662628635988396</v>
      </c>
      <c r="E55" s="46">
        <v>0</v>
      </c>
      <c r="F55" s="49">
        <v>0</v>
      </c>
    </row>
    <row r="56" spans="1:46" x14ac:dyDescent="0.3">
      <c r="A56" s="58"/>
      <c r="B56" s="59"/>
      <c r="C56" s="60"/>
      <c r="D56" s="56"/>
      <c r="E56" s="56">
        <v>1</v>
      </c>
      <c r="F56" s="57">
        <v>0</v>
      </c>
    </row>
    <row r="57" spans="1:46" x14ac:dyDescent="0.3">
      <c r="A57" s="51">
        <v>2035</v>
      </c>
      <c r="B57" s="19">
        <f>HLOOKUP(A57,H$45:AC$58,3,FALSE)</f>
        <v>158.58058131642778</v>
      </c>
      <c r="C57" s="51">
        <v>0</v>
      </c>
      <c r="D57" s="46">
        <f>LN(B57)</f>
        <v>5.0662628635988396</v>
      </c>
      <c r="E57" s="47">
        <f t="array" ref="E57:F59">LINEST(D57:D58,C57:C58,1,TRUE)</f>
        <v>0.11569388358370536</v>
      </c>
      <c r="F57" s="48">
        <v>5.0662628635988405</v>
      </c>
    </row>
    <row r="58" spans="1:46" x14ac:dyDescent="0.3">
      <c r="A58" s="51">
        <v>2045</v>
      </c>
      <c r="B58" s="19">
        <f>300*AH31</f>
        <v>504.31531600170104</v>
      </c>
      <c r="C58" s="45">
        <f>+A58-A57</f>
        <v>10</v>
      </c>
      <c r="D58" s="46">
        <f>LN(B58)</f>
        <v>6.2232016994358936</v>
      </c>
      <c r="E58" s="46">
        <v>0</v>
      </c>
      <c r="F58" s="49">
        <v>0</v>
      </c>
    </row>
    <row r="59" spans="1:46" x14ac:dyDescent="0.3">
      <c r="A59" s="51"/>
      <c r="B59" s="44"/>
      <c r="D59" s="18"/>
      <c r="E59" s="46">
        <v>1</v>
      </c>
      <c r="F59" s="49">
        <v>0</v>
      </c>
    </row>
    <row r="61" spans="1:46" x14ac:dyDescent="0.3">
      <c r="A61" t="s">
        <v>36</v>
      </c>
      <c r="J61">
        <v>22.235634395651466</v>
      </c>
      <c r="K61">
        <v>24.921458143615091</v>
      </c>
      <c r="L61">
        <v>27.931700303789</v>
      </c>
      <c r="M61">
        <v>31.305547105820903</v>
      </c>
      <c r="N61">
        <v>35.086918051380763</v>
      </c>
      <c r="O61">
        <v>39.32503764214367</v>
      </c>
      <c r="P61">
        <v>44.075076166319469</v>
      </c>
      <c r="Q61">
        <v>49.398867885253182</v>
      </c>
      <c r="R61">
        <v>55.36571596918634</v>
      </c>
      <c r="S61">
        <v>62.053294660538185</v>
      </c>
      <c r="T61">
        <v>69.548660408737945</v>
      </c>
      <c r="U61">
        <v>77.949385139190312</v>
      </c>
      <c r="V61">
        <v>87.364826408855308</v>
      </c>
      <c r="W61">
        <v>97.917550982862195</v>
      </c>
      <c r="X61" s="3">
        <v>109.74493036375556</v>
      </c>
    </row>
    <row r="62" spans="1:46" x14ac:dyDescent="0.3">
      <c r="A62" t="s">
        <v>37</v>
      </c>
      <c r="B62" s="14"/>
      <c r="C62" s="13"/>
      <c r="D62" s="12"/>
      <c r="E62" s="12"/>
      <c r="F62" s="12"/>
      <c r="G62" s="14"/>
      <c r="H62" s="14"/>
      <c r="I62" s="14"/>
      <c r="J62" s="14">
        <f>J61/J31</f>
        <v>22.235634395651463</v>
      </c>
      <c r="K62" s="14">
        <f t="shared" ref="K62:AM62" si="22">K61/K31</f>
        <v>23.518616100478514</v>
      </c>
      <c r="L62" s="14">
        <f t="shared" si="22"/>
        <v>25.607596692525377</v>
      </c>
      <c r="M62" s="14">
        <f t="shared" si="22"/>
        <v>28.116439228574517</v>
      </c>
      <c r="N62" s="14">
        <f t="shared" si="22"/>
        <v>30.894991354076677</v>
      </c>
      <c r="O62" s="14">
        <f t="shared" si="22"/>
        <v>33.985360080557996</v>
      </c>
      <c r="P62" s="14">
        <f t="shared" si="22"/>
        <v>37.392729152971427</v>
      </c>
      <c r="Q62" s="14">
        <f t="shared" si="22"/>
        <v>41.145035929258711</v>
      </c>
      <c r="R62" s="14">
        <f t="shared" si="22"/>
        <v>45.248002178346006</v>
      </c>
      <c r="S62" s="14">
        <f t="shared" si="22"/>
        <v>49.764224191272419</v>
      </c>
      <c r="T62" s="14">
        <f t="shared" si="22"/>
        <v>54.713530082586004</v>
      </c>
      <c r="U62" s="14">
        <f t="shared" si="22"/>
        <v>60.166551301785653</v>
      </c>
      <c r="V62" s="14">
        <f t="shared" si="22"/>
        <v>66.162100938598428</v>
      </c>
      <c r="W62" s="14">
        <f t="shared" si="22"/>
        <v>72.73303617201617</v>
      </c>
      <c r="X62" s="15">
        <f t="shared" si="22"/>
        <v>79.913197319290077</v>
      </c>
      <c r="Y62" s="14">
        <f t="shared" si="22"/>
        <v>0</v>
      </c>
      <c r="Z62" s="14">
        <f t="shared" si="22"/>
        <v>0</v>
      </c>
      <c r="AA62" s="14">
        <f t="shared" si="22"/>
        <v>0</v>
      </c>
      <c r="AB62" s="14">
        <f t="shared" si="22"/>
        <v>0</v>
      </c>
      <c r="AC62" s="14">
        <f t="shared" si="22"/>
        <v>0</v>
      </c>
      <c r="AD62" s="14">
        <f t="shared" si="22"/>
        <v>0</v>
      </c>
      <c r="AE62" s="14">
        <f t="shared" si="22"/>
        <v>0</v>
      </c>
      <c r="AF62" s="14">
        <f t="shared" si="22"/>
        <v>0</v>
      </c>
      <c r="AG62" s="14">
        <f t="shared" si="22"/>
        <v>0</v>
      </c>
      <c r="AH62" s="14">
        <f t="shared" si="22"/>
        <v>0</v>
      </c>
      <c r="AI62" s="14">
        <f t="shared" si="22"/>
        <v>0</v>
      </c>
      <c r="AJ62" s="14">
        <f t="shared" si="22"/>
        <v>0</v>
      </c>
      <c r="AK62" s="14">
        <f t="shared" si="22"/>
        <v>0</v>
      </c>
      <c r="AL62" s="14">
        <f t="shared" si="22"/>
        <v>0</v>
      </c>
      <c r="AM62" s="14">
        <f t="shared" si="22"/>
        <v>0</v>
      </c>
      <c r="AN62" s="14"/>
      <c r="AO62" s="14"/>
      <c r="AP62" s="14"/>
      <c r="AQ62" s="14"/>
      <c r="AR62" s="14"/>
      <c r="AS62" s="14"/>
      <c r="AT62" s="14"/>
    </row>
    <row r="63" spans="1:46" x14ac:dyDescent="0.3">
      <c r="B63" s="13"/>
      <c r="C63" s="13"/>
      <c r="D63" s="14"/>
      <c r="E63" s="14"/>
      <c r="F63" s="13"/>
      <c r="G63" s="13"/>
      <c r="H63" s="13"/>
      <c r="I63" s="13"/>
      <c r="J63" s="13"/>
      <c r="K63" s="13"/>
      <c r="L63" s="13"/>
      <c r="M63" s="13"/>
      <c r="N63" s="13"/>
      <c r="O63" s="13"/>
      <c r="P63" s="13"/>
      <c r="Q63" s="13"/>
      <c r="R63" s="13"/>
      <c r="S63" s="13"/>
      <c r="T63" s="13"/>
      <c r="U63" s="13"/>
      <c r="V63" s="13"/>
      <c r="W63" s="13"/>
      <c r="X63" s="16"/>
      <c r="Y63" s="13"/>
      <c r="Z63" s="13"/>
      <c r="AA63" s="13"/>
      <c r="AB63" s="13"/>
      <c r="AC63" s="13"/>
      <c r="AD63" s="13"/>
      <c r="AE63" s="13"/>
      <c r="AF63" s="13"/>
      <c r="AG63" s="13"/>
      <c r="AH63" s="13"/>
      <c r="AI63" s="13"/>
      <c r="AJ63" s="13"/>
      <c r="AK63" s="13"/>
      <c r="AL63" s="13"/>
      <c r="AM63" s="13"/>
      <c r="AN63" s="13"/>
      <c r="AO63" s="13"/>
      <c r="AP63" s="13"/>
      <c r="AQ63" s="13"/>
      <c r="AR63" s="13"/>
      <c r="AS63" s="13"/>
      <c r="AT63" s="13"/>
    </row>
    <row r="64" spans="1:46" x14ac:dyDescent="0.3">
      <c r="B64" s="13"/>
      <c r="C64" s="13"/>
      <c r="D64" s="14"/>
      <c r="E64" s="14"/>
      <c r="F64" s="13"/>
      <c r="G64" s="13"/>
      <c r="H64" s="13"/>
      <c r="I64" s="13"/>
      <c r="J64" s="13"/>
      <c r="K64" s="13"/>
      <c r="L64" s="13"/>
      <c r="M64" s="13"/>
      <c r="N64" s="13"/>
      <c r="O64" s="13"/>
      <c r="P64" s="13"/>
      <c r="Q64" s="13"/>
      <c r="R64" s="13"/>
      <c r="S64" s="13"/>
      <c r="T64" s="13"/>
      <c r="U64" s="13"/>
      <c r="V64" s="13"/>
      <c r="W64" s="13"/>
      <c r="X64" s="16"/>
      <c r="Y64" s="13"/>
      <c r="Z64" s="13"/>
      <c r="AA64" s="13"/>
      <c r="AB64" s="13"/>
      <c r="AC64" s="13"/>
      <c r="AD64" s="13"/>
      <c r="AE64" s="13"/>
      <c r="AF64" s="13"/>
      <c r="AG64" s="13"/>
      <c r="AH64" s="13"/>
      <c r="AI64" s="13"/>
      <c r="AJ64" s="13"/>
      <c r="AK64" s="13"/>
      <c r="AL64" s="13"/>
      <c r="AM64" s="13"/>
      <c r="AN64" s="13"/>
      <c r="AO64" s="13"/>
      <c r="AP64" s="13"/>
      <c r="AQ64" s="13"/>
      <c r="AR64" s="13"/>
      <c r="AS64" s="13"/>
      <c r="AT64" s="13"/>
    </row>
    <row r="65" spans="7:46" x14ac:dyDescent="0.3">
      <c r="I65" s="12"/>
      <c r="J65" s="12"/>
      <c r="K65" s="12"/>
      <c r="L65" s="12"/>
      <c r="M65" s="12"/>
      <c r="N65" s="12"/>
      <c r="O65" s="12"/>
      <c r="P65" s="12"/>
      <c r="Q65" s="12"/>
      <c r="R65" s="12"/>
      <c r="S65" s="12"/>
      <c r="T65" s="12"/>
      <c r="U65" s="12"/>
      <c r="V65" s="12"/>
      <c r="W65" s="12"/>
      <c r="Y65" s="12"/>
      <c r="Z65" s="12"/>
      <c r="AA65" s="12"/>
      <c r="AB65" s="12"/>
      <c r="AC65" s="12"/>
      <c r="AD65" s="12"/>
      <c r="AE65" s="12"/>
      <c r="AF65" s="12"/>
      <c r="AG65" s="12"/>
      <c r="AH65" s="12"/>
      <c r="AI65" s="12"/>
      <c r="AJ65" s="12"/>
      <c r="AK65" s="12"/>
      <c r="AL65" s="12"/>
      <c r="AM65" s="12"/>
      <c r="AN65" s="12"/>
      <c r="AO65" s="12"/>
      <c r="AP65" s="12"/>
      <c r="AQ65" s="12"/>
      <c r="AR65" s="12"/>
      <c r="AS65" s="12"/>
      <c r="AT65" s="12"/>
    </row>
    <row r="66" spans="7:46" s="61" customFormat="1" ht="32.4" customHeight="1" x14ac:dyDescent="0.3">
      <c r="I66" s="62"/>
      <c r="J66" s="62"/>
      <c r="K66" s="62"/>
      <c r="L66" s="62"/>
      <c r="M66" s="62"/>
      <c r="N66" s="62"/>
      <c r="O66" s="62"/>
      <c r="P66" s="62"/>
      <c r="Q66" s="62"/>
      <c r="R66" s="62"/>
      <c r="S66" s="62"/>
      <c r="T66" s="62"/>
      <c r="U66" s="62"/>
      <c r="V66" s="62"/>
      <c r="W66" s="62"/>
      <c r="X66" s="63"/>
      <c r="Y66" s="62"/>
      <c r="Z66" s="62"/>
      <c r="AA66" s="62"/>
      <c r="AB66" s="62"/>
      <c r="AC66" s="62"/>
      <c r="AD66" s="62"/>
      <c r="AE66" s="62"/>
      <c r="AF66" s="62"/>
      <c r="AG66" s="62"/>
      <c r="AH66" s="62"/>
      <c r="AI66" s="62"/>
      <c r="AJ66" s="62"/>
      <c r="AK66" s="62"/>
      <c r="AL66" s="62"/>
      <c r="AM66" s="62"/>
      <c r="AN66" s="62"/>
      <c r="AO66" s="62"/>
      <c r="AP66" s="62"/>
      <c r="AQ66" s="62"/>
      <c r="AR66" s="62"/>
      <c r="AS66" s="62"/>
      <c r="AT66" s="62"/>
    </row>
    <row r="67" spans="7:46" x14ac:dyDescent="0.3">
      <c r="I67" s="12"/>
      <c r="J67" s="12"/>
      <c r="K67" s="12"/>
      <c r="L67" s="12"/>
      <c r="M67" s="12"/>
      <c r="N67" s="12"/>
      <c r="O67" s="12"/>
      <c r="P67" s="12"/>
      <c r="Q67" s="12"/>
      <c r="R67" s="12"/>
      <c r="S67" s="12"/>
      <c r="T67" s="12"/>
      <c r="U67" s="12"/>
      <c r="V67" s="12"/>
      <c r="W67" s="12"/>
      <c r="Y67" s="12"/>
      <c r="Z67" s="12"/>
      <c r="AA67" s="12"/>
      <c r="AB67" s="12"/>
      <c r="AC67" s="12"/>
      <c r="AD67" s="12"/>
      <c r="AE67" s="12"/>
      <c r="AF67" s="12"/>
      <c r="AG67" s="12"/>
      <c r="AH67" s="12"/>
      <c r="AI67" s="12"/>
      <c r="AJ67" s="12"/>
      <c r="AK67" s="12"/>
      <c r="AL67" s="12"/>
      <c r="AM67" s="12"/>
      <c r="AN67" s="12"/>
      <c r="AO67" s="12"/>
      <c r="AP67" s="12"/>
      <c r="AQ67" s="12"/>
      <c r="AR67" s="12"/>
      <c r="AS67" s="12"/>
      <c r="AT67" s="12"/>
    </row>
    <row r="68" spans="7:46" x14ac:dyDescent="0.3">
      <c r="S68" s="64"/>
      <c r="T68" s="64"/>
      <c r="U68" s="64"/>
      <c r="V68" s="64"/>
      <c r="W68" s="64"/>
      <c r="X68" s="65"/>
      <c r="Y68" s="64"/>
      <c r="Z68" s="64"/>
      <c r="AA68" s="64"/>
      <c r="AB68" s="64"/>
      <c r="AC68" s="64"/>
      <c r="AD68" s="64"/>
      <c r="AE68" s="64"/>
      <c r="AF68" s="64"/>
      <c r="AG68" s="64"/>
      <c r="AH68" s="64"/>
      <c r="AI68" s="64"/>
      <c r="AJ68" s="64"/>
      <c r="AK68" s="64"/>
      <c r="AL68" s="64"/>
      <c r="AM68" s="64"/>
    </row>
    <row r="69" spans="7:46" x14ac:dyDescent="0.3">
      <c r="I69" s="12"/>
      <c r="J69" s="12"/>
      <c r="K69" s="12"/>
      <c r="L69" s="12"/>
      <c r="M69" s="12"/>
      <c r="N69" s="12"/>
      <c r="O69" s="12"/>
      <c r="P69" s="12"/>
      <c r="Q69" s="12"/>
      <c r="R69" s="12"/>
      <c r="S69" s="12"/>
      <c r="T69" s="12"/>
      <c r="U69" s="12"/>
      <c r="V69" s="12"/>
      <c r="W69" s="12"/>
      <c r="Y69" s="12"/>
      <c r="Z69" s="12"/>
      <c r="AA69" s="12"/>
      <c r="AB69" s="12"/>
      <c r="AC69" s="12"/>
      <c r="AD69" s="12"/>
      <c r="AE69" s="12"/>
      <c r="AF69" s="12"/>
      <c r="AG69" s="12"/>
      <c r="AH69" s="12"/>
      <c r="AI69" s="12"/>
      <c r="AJ69" s="12"/>
      <c r="AK69" s="12"/>
      <c r="AL69" s="12"/>
      <c r="AM69" s="12"/>
    </row>
    <row r="73" spans="7:46" x14ac:dyDescent="0.3">
      <c r="G73" s="12"/>
      <c r="H73" s="12"/>
      <c r="I73" s="12"/>
      <c r="J73" s="12"/>
      <c r="K73" s="12"/>
      <c r="L73" s="12"/>
      <c r="M73" s="12"/>
      <c r="N73" s="12"/>
      <c r="O73" s="12"/>
      <c r="P73" s="12"/>
      <c r="Q73" s="12"/>
      <c r="R73" s="12"/>
      <c r="S73" s="12"/>
      <c r="T73" s="12"/>
      <c r="U73" s="12"/>
      <c r="V73" s="12"/>
      <c r="W73" s="12"/>
      <c r="Y73" s="12"/>
      <c r="Z73" s="12"/>
      <c r="AA73" s="12"/>
      <c r="AB73" s="12"/>
      <c r="AC73" s="12"/>
      <c r="AD73" s="12"/>
      <c r="AE73" s="12"/>
      <c r="AF73" s="12"/>
      <c r="AG73" s="12"/>
      <c r="AH73" s="12"/>
      <c r="AI73" s="12"/>
      <c r="AJ73" s="12"/>
      <c r="AK73" s="12"/>
      <c r="AL73" s="12"/>
      <c r="AM73" s="12"/>
    </row>
  </sheetData>
  <pageMargins left="0" right="0" top="0.25" bottom="0.25" header="0" footer="0"/>
  <pageSetup scale="8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375BB-7F5A-4657-AB39-B0895D829FD6}">
  <dimension ref="A1:J61"/>
  <sheetViews>
    <sheetView topLeftCell="A37" workbookViewId="0">
      <selection activeCell="O48" sqref="O48"/>
    </sheetView>
  </sheetViews>
  <sheetFormatPr defaultRowHeight="14.4" x14ac:dyDescent="0.3"/>
  <cols>
    <col min="1" max="1" width="8.109375" customWidth="1"/>
    <col min="2" max="2" width="41.44140625" customWidth="1"/>
    <col min="3" max="3" width="15.5546875" style="132" customWidth="1"/>
    <col min="4" max="4" width="16.109375" style="132" customWidth="1"/>
    <col min="5" max="5" width="14.88671875" style="132" customWidth="1"/>
    <col min="6" max="6" width="20.44140625" style="135" bestFit="1" customWidth="1"/>
    <col min="7" max="7" width="15.5546875" style="132" customWidth="1"/>
    <col min="8" max="8" width="15" style="132" customWidth="1"/>
    <col min="9" max="9" width="20.33203125" style="132" customWidth="1"/>
    <col min="10" max="10" width="10.88671875" customWidth="1"/>
  </cols>
  <sheetData>
    <row r="1" spans="1:10" ht="15.6" x14ac:dyDescent="0.3">
      <c r="A1" s="66"/>
      <c r="B1" s="67" t="s">
        <v>38</v>
      </c>
      <c r="C1" s="68"/>
      <c r="D1" s="69"/>
      <c r="E1" s="68"/>
      <c r="F1" s="70"/>
      <c r="G1" s="69"/>
      <c r="H1" s="69"/>
      <c r="I1" s="69"/>
      <c r="J1" s="66"/>
    </row>
    <row r="2" spans="1:10" ht="15.6" x14ac:dyDescent="0.3">
      <c r="A2" s="66"/>
      <c r="B2" s="67" t="s">
        <v>39</v>
      </c>
      <c r="C2" s="68"/>
      <c r="D2" s="69"/>
      <c r="E2" s="68"/>
      <c r="F2" s="70"/>
      <c r="G2" s="69"/>
      <c r="H2" s="69"/>
      <c r="I2" s="69"/>
      <c r="J2" s="66"/>
    </row>
    <row r="3" spans="1:10" x14ac:dyDescent="0.3">
      <c r="A3" s="66"/>
      <c r="B3" s="71"/>
      <c r="C3" s="68"/>
      <c r="D3" s="72"/>
      <c r="E3" s="68"/>
      <c r="F3" s="70"/>
      <c r="G3" s="69"/>
      <c r="H3" s="69"/>
      <c r="I3" s="69"/>
      <c r="J3" s="66"/>
    </row>
    <row r="4" spans="1:10" ht="62.4" x14ac:dyDescent="0.3">
      <c r="A4" s="66"/>
      <c r="B4" s="73" t="s">
        <v>40</v>
      </c>
      <c r="C4" s="74" t="s">
        <v>41</v>
      </c>
      <c r="D4" s="74" t="s">
        <v>42</v>
      </c>
      <c r="E4" s="74" t="s">
        <v>43</v>
      </c>
      <c r="F4" s="74" t="s">
        <v>44</v>
      </c>
      <c r="G4" s="74" t="s">
        <v>45</v>
      </c>
      <c r="H4" s="74" t="s">
        <v>46</v>
      </c>
      <c r="I4" s="75" t="s">
        <v>47</v>
      </c>
    </row>
    <row r="5" spans="1:10" ht="16.2" x14ac:dyDescent="0.3">
      <c r="A5" s="66">
        <v>2022</v>
      </c>
      <c r="B5" s="76" t="s">
        <v>48</v>
      </c>
      <c r="C5" s="77">
        <v>58020854</v>
      </c>
      <c r="D5" s="77">
        <v>58020854</v>
      </c>
      <c r="E5" s="78">
        <v>26.8</v>
      </c>
      <c r="F5" s="79">
        <v>7942750</v>
      </c>
      <c r="G5" s="80">
        <v>7942750</v>
      </c>
      <c r="H5" s="81">
        <v>26</v>
      </c>
      <c r="I5" s="82">
        <f t="shared" ref="I5:I11" si="0">+D5*E5</f>
        <v>1554958887.2</v>
      </c>
    </row>
    <row r="6" spans="1:10" ht="16.2" x14ac:dyDescent="0.3">
      <c r="A6" s="66">
        <v>2022</v>
      </c>
      <c r="B6" s="83" t="s">
        <v>49</v>
      </c>
      <c r="C6" s="84">
        <v>56956085</v>
      </c>
      <c r="D6" s="84">
        <v>56956085</v>
      </c>
      <c r="E6" s="85">
        <v>27</v>
      </c>
      <c r="F6" s="84">
        <v>7942750</v>
      </c>
      <c r="G6" s="84">
        <v>7942750</v>
      </c>
      <c r="H6" s="86">
        <v>30</v>
      </c>
      <c r="I6" s="82">
        <f t="shared" si="0"/>
        <v>1537814295</v>
      </c>
    </row>
    <row r="7" spans="1:10" ht="16.2" x14ac:dyDescent="0.3">
      <c r="A7" s="66">
        <v>2022</v>
      </c>
      <c r="B7" s="87" t="s">
        <v>50</v>
      </c>
      <c r="C7" s="88">
        <v>58331300</v>
      </c>
      <c r="D7" s="88">
        <v>58331300</v>
      </c>
      <c r="E7" s="89">
        <v>30.85</v>
      </c>
      <c r="F7" s="88">
        <v>7942750</v>
      </c>
      <c r="G7" s="88">
        <v>7942750</v>
      </c>
      <c r="H7" s="90">
        <v>28.13</v>
      </c>
      <c r="I7" s="82">
        <f t="shared" si="0"/>
        <v>1799520605</v>
      </c>
    </row>
    <row r="8" spans="1:10" ht="16.2" x14ac:dyDescent="0.3">
      <c r="A8" s="66">
        <v>2022</v>
      </c>
      <c r="B8" s="91" t="s">
        <v>51</v>
      </c>
      <c r="C8" s="92">
        <v>58527697</v>
      </c>
      <c r="D8" s="92">
        <v>58527697</v>
      </c>
      <c r="E8" s="93">
        <v>29.15</v>
      </c>
      <c r="F8" s="92">
        <v>7942750</v>
      </c>
      <c r="G8" s="92">
        <v>7079000</v>
      </c>
      <c r="H8" s="94">
        <v>19.7</v>
      </c>
      <c r="I8" s="82">
        <f t="shared" si="0"/>
        <v>1706082367.55</v>
      </c>
    </row>
    <row r="9" spans="1:10" ht="16.2" x14ac:dyDescent="0.3">
      <c r="A9" s="66">
        <v>2021</v>
      </c>
      <c r="B9" s="87" t="s">
        <v>52</v>
      </c>
      <c r="C9" s="88">
        <v>68598217</v>
      </c>
      <c r="D9" s="88">
        <v>68598217</v>
      </c>
      <c r="E9" s="89">
        <v>28.26</v>
      </c>
      <c r="F9" s="88">
        <v>8306250</v>
      </c>
      <c r="G9" s="88">
        <v>8306250</v>
      </c>
      <c r="H9" s="90">
        <v>34.01</v>
      </c>
      <c r="I9" s="82">
        <f t="shared" si="0"/>
        <v>1938585612.4200001</v>
      </c>
    </row>
    <row r="10" spans="1:10" ht="16.2" x14ac:dyDescent="0.3">
      <c r="A10" s="66">
        <v>2021</v>
      </c>
      <c r="B10" s="91" t="s">
        <v>53</v>
      </c>
      <c r="C10" s="92">
        <v>71261536</v>
      </c>
      <c r="D10" s="92">
        <v>71261536</v>
      </c>
      <c r="E10" s="93">
        <v>23.3</v>
      </c>
      <c r="F10" s="92">
        <v>8306250</v>
      </c>
      <c r="G10" s="92">
        <v>8306250</v>
      </c>
      <c r="H10" s="94">
        <v>23.69</v>
      </c>
      <c r="I10" s="82">
        <f t="shared" si="0"/>
        <v>1660393788.8</v>
      </c>
    </row>
    <row r="11" spans="1:10" ht="16.2" x14ac:dyDescent="0.3">
      <c r="A11" s="66">
        <v>2021</v>
      </c>
      <c r="B11" s="87" t="s">
        <v>54</v>
      </c>
      <c r="C11" s="88">
        <v>71647138</v>
      </c>
      <c r="D11" s="88">
        <v>71647138</v>
      </c>
      <c r="E11" s="89">
        <v>18.8</v>
      </c>
      <c r="F11" s="88">
        <v>8306250</v>
      </c>
      <c r="G11" s="88">
        <v>8306250</v>
      </c>
      <c r="H11" s="90">
        <v>19.04</v>
      </c>
      <c r="I11" s="82">
        <f t="shared" si="0"/>
        <v>1346966194.4000001</v>
      </c>
    </row>
    <row r="12" spans="1:10" ht="15.6" x14ac:dyDescent="0.3">
      <c r="A12" s="66">
        <v>2021</v>
      </c>
      <c r="B12" s="95" t="s">
        <v>55</v>
      </c>
      <c r="C12" s="96">
        <v>54773607</v>
      </c>
      <c r="D12" s="96">
        <v>54773607</v>
      </c>
      <c r="E12" s="97">
        <v>17.8</v>
      </c>
      <c r="F12" s="96">
        <v>8306250</v>
      </c>
      <c r="G12" s="96">
        <v>8306250</v>
      </c>
      <c r="H12" s="98">
        <v>18.010000000000002</v>
      </c>
      <c r="I12" s="82">
        <f>+D12*E12</f>
        <v>974970204.60000002</v>
      </c>
      <c r="J12" s="99"/>
    </row>
    <row r="13" spans="1:10" ht="15.6" x14ac:dyDescent="0.3">
      <c r="A13" s="66">
        <v>2020</v>
      </c>
      <c r="B13" s="100" t="s">
        <v>56</v>
      </c>
      <c r="C13" s="88">
        <v>56366432</v>
      </c>
      <c r="D13" s="88">
        <v>56366432</v>
      </c>
      <c r="E13" s="101">
        <v>16.93</v>
      </c>
      <c r="F13" s="88">
        <v>8672250</v>
      </c>
      <c r="G13" s="88">
        <v>8672250</v>
      </c>
      <c r="H13" s="89">
        <v>17.350000000000001</v>
      </c>
      <c r="I13" s="82">
        <f>+D13*E13</f>
        <v>954283693.75999999</v>
      </c>
      <c r="J13" s="99"/>
    </row>
    <row r="14" spans="1:10" ht="15.6" x14ac:dyDescent="0.3">
      <c r="A14" s="66">
        <v>2020</v>
      </c>
      <c r="B14" s="102" t="s">
        <v>57</v>
      </c>
      <c r="C14" s="103">
        <v>59250484</v>
      </c>
      <c r="D14" s="103">
        <v>52627000</v>
      </c>
      <c r="E14" s="104">
        <v>16.68</v>
      </c>
      <c r="F14" s="103">
        <v>8672250</v>
      </c>
      <c r="G14" s="103">
        <v>8672250</v>
      </c>
      <c r="H14" s="105">
        <v>16.73</v>
      </c>
      <c r="I14" s="82">
        <f t="shared" ref="I14:I24" si="1">+D14*E14</f>
        <v>877818360</v>
      </c>
    </row>
    <row r="15" spans="1:10" ht="15.6" x14ac:dyDescent="0.3">
      <c r="A15" s="66">
        <v>2020</v>
      </c>
      <c r="B15" s="100" t="s">
        <v>58</v>
      </c>
      <c r="C15" s="88">
        <v>57540731</v>
      </c>
      <c r="D15" s="88">
        <v>21161000</v>
      </c>
      <c r="E15" s="101">
        <v>16.68</v>
      </c>
      <c r="F15" s="88">
        <v>8672250</v>
      </c>
      <c r="G15" s="88">
        <v>1763000</v>
      </c>
      <c r="H15" s="89">
        <v>16.68</v>
      </c>
      <c r="I15" s="82">
        <f t="shared" si="1"/>
        <v>352965480</v>
      </c>
    </row>
    <row r="16" spans="1:10" ht="15.6" x14ac:dyDescent="0.3">
      <c r="A16" s="66">
        <v>2020</v>
      </c>
      <c r="B16" s="95" t="s">
        <v>59</v>
      </c>
      <c r="C16" s="96">
        <v>57090077</v>
      </c>
      <c r="D16" s="96">
        <v>57090077</v>
      </c>
      <c r="E16" s="97">
        <v>17.87</v>
      </c>
      <c r="F16" s="96">
        <v>8672250</v>
      </c>
      <c r="G16" s="96">
        <v>8672250</v>
      </c>
      <c r="H16" s="98">
        <v>18</v>
      </c>
      <c r="I16" s="82">
        <f t="shared" si="1"/>
        <v>1020199675.99</v>
      </c>
    </row>
    <row r="17" spans="1:9" ht="15.6" x14ac:dyDescent="0.3">
      <c r="A17" s="66">
        <v>2019</v>
      </c>
      <c r="B17" s="106" t="s">
        <v>60</v>
      </c>
      <c r="C17" s="107">
        <v>67435661</v>
      </c>
      <c r="D17" s="107">
        <v>67435661</v>
      </c>
      <c r="E17" s="108">
        <v>17</v>
      </c>
      <c r="F17" s="107">
        <v>9038000</v>
      </c>
      <c r="G17" s="107">
        <v>9038000</v>
      </c>
      <c r="H17" s="109">
        <v>16.8</v>
      </c>
      <c r="I17" s="82">
        <f t="shared" si="1"/>
        <v>1146406237</v>
      </c>
    </row>
    <row r="18" spans="1:9" ht="15.6" x14ac:dyDescent="0.3">
      <c r="A18" s="66">
        <v>2019</v>
      </c>
      <c r="B18" s="102" t="s">
        <v>61</v>
      </c>
      <c r="C18" s="110">
        <v>66289515</v>
      </c>
      <c r="D18" s="110">
        <v>66289515</v>
      </c>
      <c r="E18" s="111">
        <v>17.16</v>
      </c>
      <c r="F18" s="110">
        <v>9038000</v>
      </c>
      <c r="G18" s="110">
        <v>9038000</v>
      </c>
      <c r="H18" s="112">
        <v>16.850000000000001</v>
      </c>
      <c r="I18" s="82">
        <f t="shared" si="1"/>
        <v>1137528077.4000001</v>
      </c>
    </row>
    <row r="19" spans="1:9" ht="15.6" x14ac:dyDescent="0.3">
      <c r="A19" s="66">
        <v>2019</v>
      </c>
      <c r="B19" s="100" t="s">
        <v>62</v>
      </c>
      <c r="C19" s="113">
        <v>66321122</v>
      </c>
      <c r="D19" s="113">
        <v>66321122</v>
      </c>
      <c r="E19" s="114">
        <v>17.45</v>
      </c>
      <c r="F19" s="113">
        <v>9038000</v>
      </c>
      <c r="G19" s="113">
        <v>9038000</v>
      </c>
      <c r="H19" s="115">
        <v>17.399999999999999</v>
      </c>
      <c r="I19" s="82">
        <f t="shared" si="1"/>
        <v>1157303578.8999999</v>
      </c>
    </row>
    <row r="20" spans="1:9" ht="15.6" x14ac:dyDescent="0.3">
      <c r="A20" s="66">
        <v>2019</v>
      </c>
      <c r="B20" s="102" t="s">
        <v>63</v>
      </c>
      <c r="C20" s="110">
        <v>80847404</v>
      </c>
      <c r="D20" s="110">
        <v>80847404</v>
      </c>
      <c r="E20" s="111">
        <v>15.73</v>
      </c>
      <c r="F20" s="110">
        <v>9038000</v>
      </c>
      <c r="G20" s="110">
        <v>5983000</v>
      </c>
      <c r="H20" s="112">
        <v>15.62</v>
      </c>
      <c r="I20" s="82">
        <f t="shared" si="1"/>
        <v>1271729664.9200001</v>
      </c>
    </row>
    <row r="21" spans="1:9" ht="15.6" x14ac:dyDescent="0.3">
      <c r="A21" s="66">
        <v>2018</v>
      </c>
      <c r="B21" s="116" t="s">
        <v>64</v>
      </c>
      <c r="C21" s="117">
        <v>78825717</v>
      </c>
      <c r="D21" s="117">
        <v>78825717</v>
      </c>
      <c r="E21" s="118">
        <v>15.31</v>
      </c>
      <c r="F21" s="117">
        <v>9401500</v>
      </c>
      <c r="G21" s="117">
        <v>9401500</v>
      </c>
      <c r="H21" s="118">
        <v>15.33</v>
      </c>
      <c r="I21" s="82">
        <f t="shared" si="1"/>
        <v>1206821727.27</v>
      </c>
    </row>
    <row r="22" spans="1:9" ht="15.6" x14ac:dyDescent="0.3">
      <c r="A22" s="66">
        <v>2018</v>
      </c>
      <c r="B22" s="119" t="s">
        <v>65</v>
      </c>
      <c r="C22" s="120">
        <v>79421265</v>
      </c>
      <c r="D22" s="120">
        <v>79421265</v>
      </c>
      <c r="E22" s="121">
        <v>15.05</v>
      </c>
      <c r="F22" s="120">
        <v>9401500</v>
      </c>
      <c r="G22" s="120">
        <v>9401500</v>
      </c>
      <c r="H22" s="121">
        <v>14.9</v>
      </c>
      <c r="I22" s="82">
        <f t="shared" si="1"/>
        <v>1195290038.25</v>
      </c>
    </row>
    <row r="23" spans="1:9" ht="15.6" x14ac:dyDescent="0.3">
      <c r="A23" s="66">
        <v>2018</v>
      </c>
      <c r="B23" s="116" t="s">
        <v>66</v>
      </c>
      <c r="C23" s="117">
        <v>90587738</v>
      </c>
      <c r="D23" s="117">
        <v>90587738</v>
      </c>
      <c r="E23" s="118">
        <v>14.65</v>
      </c>
      <c r="F23" s="117">
        <v>12427950</v>
      </c>
      <c r="G23" s="117">
        <v>6057000</v>
      </c>
      <c r="H23" s="118">
        <v>14.53</v>
      </c>
      <c r="I23" s="82">
        <f t="shared" si="1"/>
        <v>1327110361.7</v>
      </c>
    </row>
    <row r="24" spans="1:9" ht="15.6" x14ac:dyDescent="0.3">
      <c r="A24" s="66">
        <v>2018</v>
      </c>
      <c r="B24" s="119" t="s">
        <v>67</v>
      </c>
      <c r="C24" s="120">
        <v>98215920</v>
      </c>
      <c r="D24" s="120">
        <v>98215920</v>
      </c>
      <c r="E24" s="121">
        <v>14.61</v>
      </c>
      <c r="F24" s="120">
        <v>12428950</v>
      </c>
      <c r="G24" s="120">
        <v>8576000</v>
      </c>
      <c r="H24" s="121">
        <v>14.53</v>
      </c>
      <c r="I24" s="82">
        <f t="shared" si="1"/>
        <v>1434934591.2</v>
      </c>
    </row>
    <row r="25" spans="1:9" ht="15.6" x14ac:dyDescent="0.3">
      <c r="A25" s="66">
        <v>2017</v>
      </c>
      <c r="B25" s="122" t="s">
        <v>68</v>
      </c>
      <c r="C25" s="117">
        <v>79548286</v>
      </c>
      <c r="D25" s="117">
        <v>79548286</v>
      </c>
      <c r="E25" s="118">
        <v>15.06</v>
      </c>
      <c r="F25" s="117">
        <v>9723500</v>
      </c>
      <c r="G25" s="117">
        <v>9723500</v>
      </c>
      <c r="H25" s="118">
        <v>14.76</v>
      </c>
      <c r="I25" s="82">
        <f t="shared" ref="I25:I45" si="2">D25*E25</f>
        <v>1197997187.1600001</v>
      </c>
    </row>
    <row r="26" spans="1:9" ht="15.6" x14ac:dyDescent="0.3">
      <c r="A26" s="66">
        <f>+A25</f>
        <v>2017</v>
      </c>
      <c r="B26" s="123" t="s">
        <v>69</v>
      </c>
      <c r="C26" s="124">
        <v>63887833</v>
      </c>
      <c r="D26" s="120">
        <v>63887833</v>
      </c>
      <c r="E26" s="121">
        <v>14.75</v>
      </c>
      <c r="F26" s="124">
        <v>9723500</v>
      </c>
      <c r="G26" s="124">
        <v>9723500</v>
      </c>
      <c r="H26" s="121">
        <v>14.55</v>
      </c>
      <c r="I26" s="82">
        <f t="shared" si="2"/>
        <v>942345536.75</v>
      </c>
    </row>
    <row r="27" spans="1:9" ht="15.6" x14ac:dyDescent="0.3">
      <c r="A27" s="66">
        <f>+A26</f>
        <v>2017</v>
      </c>
      <c r="B27" s="122" t="s">
        <v>70</v>
      </c>
      <c r="C27" s="125">
        <v>75311960</v>
      </c>
      <c r="D27" s="117">
        <v>75311960</v>
      </c>
      <c r="E27" s="118">
        <v>13.8</v>
      </c>
      <c r="F27" s="125">
        <v>9723500</v>
      </c>
      <c r="G27" s="125">
        <v>2117000</v>
      </c>
      <c r="H27" s="118">
        <v>13.57</v>
      </c>
      <c r="I27" s="82">
        <f t="shared" si="2"/>
        <v>1039305048</v>
      </c>
    </row>
    <row r="28" spans="1:9" ht="15.6" x14ac:dyDescent="0.3">
      <c r="A28" s="66">
        <f>+A27</f>
        <v>2017</v>
      </c>
      <c r="B28" s="123" t="s">
        <v>71</v>
      </c>
      <c r="C28" s="124">
        <v>65104273</v>
      </c>
      <c r="D28" s="120">
        <v>11673000</v>
      </c>
      <c r="E28" s="121">
        <v>13.57</v>
      </c>
      <c r="F28" s="124">
        <v>9723500</v>
      </c>
      <c r="G28" s="124">
        <v>701000</v>
      </c>
      <c r="H28" s="121">
        <v>13.57</v>
      </c>
      <c r="I28" s="82">
        <f t="shared" si="2"/>
        <v>158402610</v>
      </c>
    </row>
    <row r="29" spans="1:9" ht="15.6" x14ac:dyDescent="0.3">
      <c r="A29" s="66">
        <f t="shared" ref="A29:A44" si="3">+A25-1</f>
        <v>2016</v>
      </c>
      <c r="B29" s="122" t="s">
        <v>72</v>
      </c>
      <c r="C29" s="125">
        <v>87069495</v>
      </c>
      <c r="D29" s="117">
        <v>76960000</v>
      </c>
      <c r="E29" s="118">
        <v>12.73</v>
      </c>
      <c r="F29" s="125">
        <v>10078750</v>
      </c>
      <c r="G29" s="125">
        <v>1020000</v>
      </c>
      <c r="H29" s="118">
        <v>12.73</v>
      </c>
      <c r="I29" s="82">
        <f t="shared" si="2"/>
        <v>979700800</v>
      </c>
    </row>
    <row r="30" spans="1:9" ht="15.6" x14ac:dyDescent="0.3">
      <c r="A30" s="66">
        <f t="shared" si="3"/>
        <v>2016</v>
      </c>
      <c r="B30" s="123" t="s">
        <v>73</v>
      </c>
      <c r="C30" s="124">
        <v>86278410</v>
      </c>
      <c r="D30" s="120">
        <v>30021000</v>
      </c>
      <c r="E30" s="121">
        <v>12.73</v>
      </c>
      <c r="F30" s="124">
        <v>10078750</v>
      </c>
      <c r="G30" s="124">
        <v>769000</v>
      </c>
      <c r="H30" s="121">
        <v>12.73</v>
      </c>
      <c r="I30" s="82">
        <f t="shared" si="2"/>
        <v>382167330</v>
      </c>
    </row>
    <row r="31" spans="1:9" ht="15.6" x14ac:dyDescent="0.3">
      <c r="A31" s="66">
        <f t="shared" si="3"/>
        <v>2016</v>
      </c>
      <c r="B31" s="122" t="s">
        <v>74</v>
      </c>
      <c r="C31" s="125">
        <v>67675951</v>
      </c>
      <c r="D31" s="117">
        <v>7260000</v>
      </c>
      <c r="E31" s="118">
        <v>12.73</v>
      </c>
      <c r="F31" s="125">
        <v>10078750</v>
      </c>
      <c r="G31" s="125">
        <v>914000</v>
      </c>
      <c r="H31" s="118">
        <v>12.73</v>
      </c>
      <c r="I31" s="82">
        <f t="shared" si="2"/>
        <v>92419800</v>
      </c>
    </row>
    <row r="32" spans="1:9" ht="15.6" x14ac:dyDescent="0.3">
      <c r="A32" s="66">
        <f t="shared" si="3"/>
        <v>2016</v>
      </c>
      <c r="B32" s="123" t="s">
        <v>75</v>
      </c>
      <c r="C32" s="124">
        <v>71555827</v>
      </c>
      <c r="D32" s="120">
        <v>68026000</v>
      </c>
      <c r="E32" s="121">
        <v>12.73</v>
      </c>
      <c r="F32" s="124">
        <v>10078750</v>
      </c>
      <c r="G32" s="124">
        <v>9361000</v>
      </c>
      <c r="H32" s="121">
        <v>12.73</v>
      </c>
      <c r="I32" s="82">
        <f t="shared" si="2"/>
        <v>865970980</v>
      </c>
    </row>
    <row r="33" spans="1:10" ht="15.6" x14ac:dyDescent="0.3">
      <c r="A33" s="66">
        <f t="shared" si="3"/>
        <v>2015</v>
      </c>
      <c r="B33" s="122" t="s">
        <v>76</v>
      </c>
      <c r="C33" s="125">
        <v>75113008</v>
      </c>
      <c r="D33" s="117">
        <v>75113008</v>
      </c>
      <c r="E33" s="118">
        <v>12.73</v>
      </c>
      <c r="F33" s="125">
        <v>10431500</v>
      </c>
      <c r="G33" s="125">
        <v>10431500</v>
      </c>
      <c r="H33" s="118">
        <v>12.65</v>
      </c>
      <c r="I33" s="82">
        <f t="shared" si="2"/>
        <v>956188591.84000003</v>
      </c>
    </row>
    <row r="34" spans="1:10" ht="15.6" x14ac:dyDescent="0.3">
      <c r="A34" s="66">
        <f t="shared" si="3"/>
        <v>2015</v>
      </c>
      <c r="B34" s="123" t="s">
        <v>77</v>
      </c>
      <c r="C34" s="124">
        <v>73429360</v>
      </c>
      <c r="D34" s="120">
        <v>73429360</v>
      </c>
      <c r="E34" s="121">
        <v>12.52</v>
      </c>
      <c r="F34" s="124">
        <v>10431500</v>
      </c>
      <c r="G34" s="124">
        <v>10431500</v>
      </c>
      <c r="H34" s="121">
        <v>12.3</v>
      </c>
      <c r="I34" s="82">
        <f t="shared" si="2"/>
        <v>919335587.19999993</v>
      </c>
    </row>
    <row r="35" spans="1:10" ht="15.6" x14ac:dyDescent="0.3">
      <c r="A35" s="66">
        <f t="shared" si="3"/>
        <v>2015</v>
      </c>
      <c r="B35" s="122" t="s">
        <v>78</v>
      </c>
      <c r="C35" s="125">
        <v>76931627</v>
      </c>
      <c r="D35" s="117">
        <v>76931627</v>
      </c>
      <c r="E35" s="118">
        <v>12.29</v>
      </c>
      <c r="F35" s="125">
        <v>10431500</v>
      </c>
      <c r="G35" s="125">
        <v>9812000</v>
      </c>
      <c r="H35" s="118">
        <v>12.1</v>
      </c>
      <c r="I35" s="82">
        <f t="shared" si="2"/>
        <v>945489695.82999992</v>
      </c>
    </row>
    <row r="36" spans="1:10" ht="15.6" x14ac:dyDescent="0.3">
      <c r="A36" s="66">
        <f t="shared" si="3"/>
        <v>2015</v>
      </c>
      <c r="B36" s="123" t="s">
        <v>79</v>
      </c>
      <c r="C36" s="124">
        <v>73610528</v>
      </c>
      <c r="D36" s="120">
        <v>73610528</v>
      </c>
      <c r="E36" s="121">
        <v>12.21</v>
      </c>
      <c r="F36" s="124">
        <v>10431500</v>
      </c>
      <c r="G36" s="124">
        <v>10431500</v>
      </c>
      <c r="H36" s="121">
        <v>12.1</v>
      </c>
      <c r="I36" s="82">
        <f t="shared" si="2"/>
        <v>898784546.88000011</v>
      </c>
    </row>
    <row r="37" spans="1:10" ht="15.6" x14ac:dyDescent="0.3">
      <c r="A37" s="66">
        <f t="shared" si="3"/>
        <v>2014</v>
      </c>
      <c r="B37" s="122" t="s">
        <v>80</v>
      </c>
      <c r="C37" s="125">
        <v>23070987</v>
      </c>
      <c r="D37" s="117">
        <v>23070987</v>
      </c>
      <c r="E37" s="118">
        <v>12.1</v>
      </c>
      <c r="F37" s="125">
        <v>10787000</v>
      </c>
      <c r="G37" s="125">
        <v>10787000</v>
      </c>
      <c r="H37" s="118">
        <v>11.86</v>
      </c>
      <c r="I37" s="82">
        <f t="shared" si="2"/>
        <v>279158942.69999999</v>
      </c>
    </row>
    <row r="38" spans="1:10" ht="15.6" x14ac:dyDescent="0.3">
      <c r="A38" s="66">
        <f t="shared" si="3"/>
        <v>2014</v>
      </c>
      <c r="B38" s="126" t="s">
        <v>81</v>
      </c>
      <c r="C38" s="124">
        <v>22473043</v>
      </c>
      <c r="D38" s="120">
        <v>22473043</v>
      </c>
      <c r="E38" s="121">
        <v>11.5</v>
      </c>
      <c r="F38" s="124">
        <v>9260000</v>
      </c>
      <c r="G38" s="124">
        <v>6470000</v>
      </c>
      <c r="H38" s="121">
        <v>11.34</v>
      </c>
      <c r="I38" s="82">
        <f t="shared" si="2"/>
        <v>258439994.5</v>
      </c>
    </row>
    <row r="39" spans="1:10" ht="15.6" x14ac:dyDescent="0.3">
      <c r="A39" s="66">
        <f t="shared" si="3"/>
        <v>2014</v>
      </c>
      <c r="B39" s="127" t="s">
        <v>82</v>
      </c>
      <c r="C39" s="125">
        <v>16947080</v>
      </c>
      <c r="D39" s="117">
        <v>16947080</v>
      </c>
      <c r="E39" s="118">
        <v>11.5</v>
      </c>
      <c r="F39" s="125">
        <v>9260000</v>
      </c>
      <c r="G39" s="125">
        <v>4036000</v>
      </c>
      <c r="H39" s="118">
        <v>11.34</v>
      </c>
      <c r="I39" s="82">
        <f t="shared" si="2"/>
        <v>194891420</v>
      </c>
    </row>
    <row r="40" spans="1:10" ht="15.6" x14ac:dyDescent="0.3">
      <c r="A40" s="66">
        <f t="shared" si="3"/>
        <v>2014</v>
      </c>
      <c r="B40" s="126" t="s">
        <v>83</v>
      </c>
      <c r="C40" s="124">
        <v>19538695</v>
      </c>
      <c r="D40" s="120">
        <v>19538695</v>
      </c>
      <c r="E40" s="121">
        <v>11.48</v>
      </c>
      <c r="F40" s="124">
        <v>9260000</v>
      </c>
      <c r="G40" s="124">
        <v>9260000</v>
      </c>
      <c r="H40" s="121">
        <v>11.38</v>
      </c>
      <c r="I40" s="82">
        <f t="shared" si="2"/>
        <v>224304218.59999999</v>
      </c>
    </row>
    <row r="41" spans="1:10" ht="15.6" x14ac:dyDescent="0.3">
      <c r="A41" s="66">
        <f t="shared" si="3"/>
        <v>2013</v>
      </c>
      <c r="B41" s="127" t="s">
        <v>84</v>
      </c>
      <c r="C41" s="125">
        <v>16614526</v>
      </c>
      <c r="D41" s="117">
        <v>16614526</v>
      </c>
      <c r="E41" s="118">
        <v>11.48</v>
      </c>
      <c r="F41" s="125">
        <v>9560000</v>
      </c>
      <c r="G41" s="125">
        <v>9560000</v>
      </c>
      <c r="H41" s="118">
        <v>11.1</v>
      </c>
      <c r="I41" s="82">
        <f t="shared" si="2"/>
        <v>190734758.48000002</v>
      </c>
    </row>
    <row r="42" spans="1:10" ht="15.6" x14ac:dyDescent="0.3">
      <c r="A42" s="66">
        <f t="shared" si="3"/>
        <v>2013</v>
      </c>
      <c r="B42" s="126" t="s">
        <v>85</v>
      </c>
      <c r="C42" s="124">
        <v>13865422</v>
      </c>
      <c r="D42" s="120">
        <v>13865422</v>
      </c>
      <c r="E42" s="121">
        <v>12.22</v>
      </c>
      <c r="F42" s="124">
        <v>9560000</v>
      </c>
      <c r="G42" s="124">
        <v>9560000</v>
      </c>
      <c r="H42" s="121">
        <v>11.1</v>
      </c>
      <c r="I42" s="82">
        <f t="shared" si="2"/>
        <v>169435456.84</v>
      </c>
    </row>
    <row r="43" spans="1:10" ht="15.6" x14ac:dyDescent="0.3">
      <c r="A43" s="66">
        <f t="shared" si="3"/>
        <v>2013</v>
      </c>
      <c r="B43" s="127" t="s">
        <v>86</v>
      </c>
      <c r="C43" s="125">
        <v>14522048</v>
      </c>
      <c r="D43" s="117">
        <v>14522048</v>
      </c>
      <c r="E43" s="118">
        <v>14</v>
      </c>
      <c r="F43" s="125">
        <v>9560000</v>
      </c>
      <c r="G43" s="125">
        <v>7515000</v>
      </c>
      <c r="H43" s="118">
        <v>10.71</v>
      </c>
      <c r="I43" s="82">
        <f t="shared" si="2"/>
        <v>203308672</v>
      </c>
    </row>
    <row r="44" spans="1:10" ht="15.6" x14ac:dyDescent="0.3">
      <c r="A44" s="66">
        <f t="shared" si="3"/>
        <v>2013</v>
      </c>
      <c r="B44" s="126" t="s">
        <v>87</v>
      </c>
      <c r="C44" s="124">
        <v>12924822</v>
      </c>
      <c r="D44" s="120">
        <v>12924822</v>
      </c>
      <c r="E44" s="121">
        <v>13.62</v>
      </c>
      <c r="F44" s="124">
        <v>9560000</v>
      </c>
      <c r="G44" s="124">
        <v>4440000</v>
      </c>
      <c r="H44" s="121">
        <v>10.71</v>
      </c>
      <c r="I44" s="82">
        <f t="shared" si="2"/>
        <v>176036075.63999999</v>
      </c>
    </row>
    <row r="45" spans="1:10" ht="15.6" x14ac:dyDescent="0.3">
      <c r="A45" s="128">
        <v>2012</v>
      </c>
      <c r="B45" s="127" t="s">
        <v>88</v>
      </c>
      <c r="C45" s="125">
        <v>23126110</v>
      </c>
      <c r="D45" s="117">
        <v>23126110</v>
      </c>
      <c r="E45" s="118">
        <v>10.09</v>
      </c>
      <c r="F45" s="125">
        <v>39450000</v>
      </c>
      <c r="G45" s="125">
        <v>5576000</v>
      </c>
      <c r="H45" s="118">
        <v>10</v>
      </c>
      <c r="I45" s="82">
        <f t="shared" si="2"/>
        <v>233342449.90000001</v>
      </c>
    </row>
    <row r="46" spans="1:10" x14ac:dyDescent="0.3">
      <c r="A46" s="66"/>
      <c r="B46" s="66"/>
      <c r="C46" s="68"/>
      <c r="D46" s="69"/>
      <c r="E46" s="68"/>
      <c r="F46" s="70"/>
      <c r="G46" s="69"/>
      <c r="H46" s="69"/>
      <c r="I46" s="69"/>
      <c r="J46" s="66"/>
    </row>
    <row r="47" spans="1:10" x14ac:dyDescent="0.3">
      <c r="A47" s="66" t="s">
        <v>89</v>
      </c>
      <c r="B47" s="66"/>
      <c r="C47" s="68"/>
      <c r="D47" s="69"/>
      <c r="E47" s="68"/>
      <c r="F47" s="70"/>
      <c r="G47" s="69"/>
      <c r="H47" s="69" t="s">
        <v>90</v>
      </c>
      <c r="I47" s="69"/>
      <c r="J47" s="66"/>
    </row>
    <row r="48" spans="1:10" x14ac:dyDescent="0.3">
      <c r="A48" s="66"/>
      <c r="B48" s="66"/>
      <c r="C48" s="68"/>
      <c r="D48" s="69"/>
      <c r="E48" s="68">
        <v>2012</v>
      </c>
      <c r="F48" s="70" t="s">
        <v>91</v>
      </c>
      <c r="G48" s="69" t="s">
        <v>92</v>
      </c>
      <c r="H48" s="69" t="s">
        <v>93</v>
      </c>
      <c r="I48" s="69"/>
      <c r="J48" s="66"/>
    </row>
    <row r="49" spans="1:10" x14ac:dyDescent="0.3">
      <c r="A49" s="66"/>
      <c r="B49" s="66"/>
      <c r="C49" s="68"/>
      <c r="D49" s="69"/>
      <c r="E49" s="68">
        <v>2013</v>
      </c>
      <c r="F49" s="70">
        <f>SUMIF($A$4:$A$45,$E49,D$4:D$45)</f>
        <v>57926818</v>
      </c>
      <c r="G49" s="69">
        <f>SUMIF($A$4:$A$45,$E49,I$4:I$45)</f>
        <v>739514962.96000004</v>
      </c>
      <c r="H49" s="129">
        <f t="shared" ref="H49:H54" si="4">+G49/F49</f>
        <v>12.766366054493103</v>
      </c>
      <c r="I49" s="69"/>
      <c r="J49" s="66"/>
    </row>
    <row r="50" spans="1:10" x14ac:dyDescent="0.3">
      <c r="A50" s="66"/>
      <c r="B50" s="66"/>
      <c r="C50" s="68"/>
      <c r="D50" s="69"/>
      <c r="E50" s="68">
        <f t="shared" ref="E50:E57" si="5">+E49+1</f>
        <v>2014</v>
      </c>
      <c r="F50" s="70">
        <f t="shared" ref="F50:F61" si="6">SUMIF($A$4:$A$45,$E50,D$4:D$45)</f>
        <v>82029805</v>
      </c>
      <c r="G50" s="69">
        <f t="shared" ref="G50:G61" si="7">SUMIF($A$4:$A$45,$E50,I$4:I$45)</f>
        <v>956794575.80000007</v>
      </c>
      <c r="H50" s="129">
        <f t="shared" si="4"/>
        <v>11.663986959374096</v>
      </c>
      <c r="I50" s="69"/>
      <c r="J50" s="66"/>
    </row>
    <row r="51" spans="1:10" x14ac:dyDescent="0.3">
      <c r="A51" s="66"/>
      <c r="B51" s="66"/>
      <c r="C51" s="68"/>
      <c r="D51" s="69"/>
      <c r="E51" s="68">
        <f t="shared" si="5"/>
        <v>2015</v>
      </c>
      <c r="F51" s="70">
        <f t="shared" si="6"/>
        <v>299084523</v>
      </c>
      <c r="G51" s="69">
        <f t="shared" si="7"/>
        <v>3719798421.75</v>
      </c>
      <c r="H51" s="129">
        <f t="shared" si="4"/>
        <v>12.437281556525077</v>
      </c>
      <c r="I51" s="69"/>
      <c r="J51" s="66"/>
    </row>
    <row r="52" spans="1:10" x14ac:dyDescent="0.3">
      <c r="A52" s="66"/>
      <c r="B52" s="66"/>
      <c r="C52" s="68"/>
      <c r="D52" s="69"/>
      <c r="E52" s="68">
        <f t="shared" si="5"/>
        <v>2016</v>
      </c>
      <c r="F52" s="70">
        <f t="shared" si="6"/>
        <v>182267000</v>
      </c>
      <c r="G52" s="69">
        <f t="shared" si="7"/>
        <v>2320258910</v>
      </c>
      <c r="H52" s="129">
        <f t="shared" si="4"/>
        <v>12.73</v>
      </c>
      <c r="I52" s="69"/>
      <c r="J52" s="66"/>
    </row>
    <row r="53" spans="1:10" x14ac:dyDescent="0.3">
      <c r="A53" s="66"/>
      <c r="B53" s="66"/>
      <c r="C53" s="68"/>
      <c r="D53" s="69"/>
      <c r="E53" s="68">
        <f t="shared" si="5"/>
        <v>2017</v>
      </c>
      <c r="F53" s="70">
        <f t="shared" si="6"/>
        <v>230421079</v>
      </c>
      <c r="G53" s="69">
        <f t="shared" si="7"/>
        <v>3338050381.9099998</v>
      </c>
      <c r="H53" s="129">
        <f t="shared" si="4"/>
        <v>14.486740520427819</v>
      </c>
      <c r="I53" s="69"/>
      <c r="J53" s="66"/>
    </row>
    <row r="54" spans="1:10" x14ac:dyDescent="0.3">
      <c r="A54" s="66"/>
      <c r="B54" s="66"/>
      <c r="C54" s="68"/>
      <c r="D54" s="69"/>
      <c r="E54" s="68">
        <f t="shared" si="5"/>
        <v>2018</v>
      </c>
      <c r="F54" s="70">
        <f t="shared" si="6"/>
        <v>347050640</v>
      </c>
      <c r="G54" s="69">
        <f t="shared" si="7"/>
        <v>5164156718.4200001</v>
      </c>
      <c r="H54" s="129">
        <f t="shared" si="4"/>
        <v>14.880124463738202</v>
      </c>
      <c r="I54" s="69"/>
      <c r="J54" s="66"/>
    </row>
    <row r="55" spans="1:10" x14ac:dyDescent="0.3">
      <c r="A55" s="66"/>
      <c r="B55" s="66"/>
      <c r="C55" s="68"/>
      <c r="D55" s="69"/>
      <c r="E55" s="68">
        <f t="shared" si="5"/>
        <v>2019</v>
      </c>
      <c r="F55" s="70">
        <f t="shared" si="6"/>
        <v>280893702</v>
      </c>
      <c r="G55" s="69">
        <f t="shared" si="7"/>
        <v>4712967558.2200003</v>
      </c>
      <c r="H55" s="129">
        <f>+G55/F55</f>
        <v>16.77847358151163</v>
      </c>
      <c r="I55" s="69"/>
      <c r="J55" s="66"/>
    </row>
    <row r="56" spans="1:10" x14ac:dyDescent="0.3">
      <c r="A56" s="66"/>
      <c r="B56" s="66"/>
      <c r="C56" s="68"/>
      <c r="D56" s="69"/>
      <c r="E56" s="68">
        <f t="shared" si="5"/>
        <v>2020</v>
      </c>
      <c r="F56" s="70">
        <f t="shared" si="6"/>
        <v>187244509</v>
      </c>
      <c r="G56" s="69">
        <f t="shared" si="7"/>
        <v>3205267209.75</v>
      </c>
      <c r="H56" s="129">
        <f>+G56/F56</f>
        <v>17.1180838726224</v>
      </c>
      <c r="I56" s="130"/>
      <c r="J56" s="66"/>
    </row>
    <row r="57" spans="1:10" x14ac:dyDescent="0.3">
      <c r="B57" s="131" t="s">
        <v>94</v>
      </c>
      <c r="E57" s="68">
        <f t="shared" si="5"/>
        <v>2021</v>
      </c>
      <c r="F57" s="70">
        <f t="shared" si="6"/>
        <v>266280498</v>
      </c>
      <c r="G57" s="69">
        <f t="shared" si="7"/>
        <v>5920915800.2200012</v>
      </c>
      <c r="H57" s="129">
        <f>+G57/F57</f>
        <v>22.235634395651466</v>
      </c>
      <c r="I57" s="133"/>
    </row>
    <row r="58" spans="1:10" x14ac:dyDescent="0.3">
      <c r="B58" s="134" t="s">
        <v>95</v>
      </c>
      <c r="E58" s="132">
        <v>2022</v>
      </c>
      <c r="F58" s="70">
        <f t="shared" si="6"/>
        <v>231835936</v>
      </c>
      <c r="G58" s="69">
        <f t="shared" si="7"/>
        <v>6598376154.75</v>
      </c>
      <c r="H58" s="129">
        <f t="shared" ref="H58:H61" si="8">+G58/F58</f>
        <v>28.461403648612958</v>
      </c>
    </row>
    <row r="59" spans="1:10" x14ac:dyDescent="0.3">
      <c r="B59" t="s">
        <v>96</v>
      </c>
      <c r="E59" s="132">
        <v>2023</v>
      </c>
      <c r="F59" s="70">
        <f t="shared" si="6"/>
        <v>0</v>
      </c>
      <c r="G59" s="69">
        <f t="shared" si="7"/>
        <v>0</v>
      </c>
      <c r="H59" s="129" t="e">
        <f t="shared" si="8"/>
        <v>#DIV/0!</v>
      </c>
    </row>
    <row r="60" spans="1:10" x14ac:dyDescent="0.3">
      <c r="E60" s="132">
        <v>2024</v>
      </c>
      <c r="F60" s="70">
        <f t="shared" si="6"/>
        <v>0</v>
      </c>
      <c r="G60" s="69">
        <f t="shared" si="7"/>
        <v>0</v>
      </c>
      <c r="H60" s="129" t="e">
        <f t="shared" si="8"/>
        <v>#DIV/0!</v>
      </c>
    </row>
    <row r="61" spans="1:10" x14ac:dyDescent="0.3">
      <c r="E61" s="132">
        <v>2025</v>
      </c>
      <c r="F61" s="70">
        <f t="shared" si="6"/>
        <v>0</v>
      </c>
      <c r="G61" s="69">
        <f t="shared" si="7"/>
        <v>0</v>
      </c>
      <c r="H61" s="129" t="e">
        <f t="shared" si="8"/>
        <v>#DIV/0!</v>
      </c>
    </row>
  </sheetData>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Cover</vt:lpstr>
      <vt:lpstr>GHG Price Calculations</vt:lpstr>
      <vt:lpstr>Auction Data</vt:lpstr>
      <vt:lpstr>'Auction Data'!Print_Area</vt:lpstr>
      <vt:lpstr>'GHG Price Calculations'!Print_Area</vt:lpstr>
      <vt:lpstr>'GHG Price Calculations'!Print_Titles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Marshall, Lynn@Energy</dc:creator>
  <cp:lastModifiedBy>Marshall, Lynn@Energy</cp:lastModifiedBy>
  <dcterms:created xsi:type="dcterms:W3CDTF">2023-01-13T23:18:18Z</dcterms:created>
  <dcterms:modified xsi:type="dcterms:W3CDTF">2023-01-13T23:33:54Z</dcterms:modified>
</cp:coreProperties>
</file>