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Rates\2021IEPR\Carbon Prices\"/>
    </mc:Choice>
  </mc:AlternateContent>
  <xr:revisionPtr revIDLastSave="0" documentId="13_ncr:1_{E322D7DF-C76E-4674-9607-5EDBEC6B0E51}" xr6:coauthVersionLast="46" xr6:coauthVersionMax="46" xr10:uidLastSave="{00000000-0000-0000-0000-000000000000}"/>
  <bookViews>
    <workbookView xWindow="-108" yWindow="-108" windowWidth="23256" windowHeight="12576" xr2:uid="{B6374F83-AA9E-4634-BFDE-360E275AB4D7}"/>
  </bookViews>
  <sheets>
    <sheet name="Cover" sheetId="1" r:id="rId1"/>
    <sheet name="GHG Price Calculations" sheetId="2" r:id="rId2"/>
    <sheet name="Auction Data" sheetId="3" r:id="rId3"/>
  </sheets>
  <externalReferences>
    <externalReference r:id="rId4"/>
  </externalReferences>
  <definedNames>
    <definedName name="DEFL">[1]Sheet4!$A$1:$D$82</definedName>
    <definedName name="_xlnm.Print_Area" localSheetId="2">'Auction Data'!$A$1:$I$55</definedName>
    <definedName name="_xlnm.Print_Area" localSheetId="1">'GHG Price Calculations'!$A$3:$S$64</definedName>
    <definedName name="_xlnm.Print_Titles" localSheetId="1">'GHG Price Calculations'!$A:$A,'GHG Price Calculations'!$5:$5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1" i="2" l="1"/>
  <c r="D11" i="2"/>
  <c r="E11" i="2"/>
  <c r="F11" i="2"/>
  <c r="G11" i="2"/>
  <c r="H11" i="2"/>
  <c r="I11" i="2"/>
  <c r="J11" i="2"/>
  <c r="J6" i="2" s="1"/>
  <c r="B11" i="2"/>
  <c r="F54" i="3"/>
  <c r="G54" i="3"/>
  <c r="H54" i="3" s="1"/>
  <c r="F55" i="3"/>
  <c r="G55" i="3"/>
  <c r="H55" i="3" s="1"/>
  <c r="F56" i="3"/>
  <c r="G56" i="3"/>
  <c r="H56" i="3" s="1"/>
  <c r="F57" i="3"/>
  <c r="G57" i="3"/>
  <c r="H57" i="3" s="1"/>
  <c r="I6" i="3"/>
  <c r="I5" i="3" l="1"/>
  <c r="I7" i="3"/>
  <c r="A30" i="2" l="1"/>
  <c r="B30" i="2"/>
  <c r="C30" i="2"/>
  <c r="J30" i="2"/>
  <c r="I8" i="3" l="1"/>
  <c r="I9" i="3"/>
  <c r="D32" i="2" l="1"/>
  <c r="E32" i="2"/>
  <c r="F32" i="2"/>
  <c r="G32" i="2"/>
  <c r="H32" i="2"/>
  <c r="I32" i="2"/>
  <c r="J32" i="2"/>
  <c r="K32" i="2"/>
  <c r="L32" i="2"/>
  <c r="M32" i="2"/>
  <c r="N32" i="2"/>
  <c r="O32" i="2"/>
  <c r="P32" i="2"/>
  <c r="Q32" i="2"/>
  <c r="R32" i="2"/>
  <c r="S32" i="2"/>
  <c r="T32" i="2"/>
  <c r="U32" i="2"/>
  <c r="V32" i="2"/>
  <c r="W32" i="2"/>
  <c r="X32" i="2"/>
  <c r="Y32" i="2"/>
  <c r="Z32" i="2"/>
  <c r="AA32" i="2"/>
  <c r="AB32" i="2"/>
  <c r="AC32" i="2"/>
  <c r="AD32" i="2"/>
  <c r="AE32" i="2"/>
  <c r="AF32" i="2"/>
  <c r="AG32" i="2"/>
  <c r="AH32" i="2"/>
  <c r="AI32" i="2"/>
  <c r="AJ32" i="2"/>
  <c r="AK32" i="2"/>
  <c r="AL32" i="2"/>
  <c r="AM32" i="2"/>
  <c r="C32" i="2"/>
  <c r="B49" i="2"/>
  <c r="B57" i="2"/>
  <c r="D57" i="2" s="1"/>
  <c r="AC45" i="2"/>
  <c r="AD45" i="2"/>
  <c r="AE45" i="2"/>
  <c r="AF45" i="2"/>
  <c r="AG45" i="2"/>
  <c r="AH45" i="2"/>
  <c r="AI45" i="2"/>
  <c r="AJ45" i="2"/>
  <c r="AK45" i="2"/>
  <c r="AL45" i="2"/>
  <c r="AM45" i="2"/>
  <c r="AC46" i="2"/>
  <c r="AD46" i="2"/>
  <c r="AE46" i="2"/>
  <c r="AF46" i="2"/>
  <c r="AG46" i="2"/>
  <c r="AH46" i="2"/>
  <c r="AI46" i="2"/>
  <c r="AJ46" i="2"/>
  <c r="AK46" i="2"/>
  <c r="AL46" i="2"/>
  <c r="AM46" i="2"/>
  <c r="AC47" i="2"/>
  <c r="AD47" i="2"/>
  <c r="AE47" i="2"/>
  <c r="AF47" i="2"/>
  <c r="AG47" i="2"/>
  <c r="AH47" i="2"/>
  <c r="AI47" i="2"/>
  <c r="AJ47" i="2"/>
  <c r="AK47" i="2"/>
  <c r="AL47" i="2"/>
  <c r="AM47" i="2"/>
  <c r="C57" i="2" l="1"/>
  <c r="AI18" i="2" l="1"/>
  <c r="AJ18" i="2"/>
  <c r="AK18" i="2"/>
  <c r="AL18" i="2"/>
  <c r="AM18" i="2"/>
  <c r="E46" i="3"/>
  <c r="I41" i="3"/>
  <c r="I40" i="3"/>
  <c r="I39" i="3"/>
  <c r="I38" i="3"/>
  <c r="I37" i="3"/>
  <c r="I36" i="3"/>
  <c r="I35" i="3"/>
  <c r="I34" i="3"/>
  <c r="I33" i="3"/>
  <c r="I32" i="3"/>
  <c r="I31" i="3"/>
  <c r="I30" i="3"/>
  <c r="I29" i="3"/>
  <c r="I28" i="3"/>
  <c r="I27" i="3"/>
  <c r="I26" i="3"/>
  <c r="I25" i="3"/>
  <c r="A25" i="3"/>
  <c r="A29" i="3" s="1"/>
  <c r="A33" i="3" s="1"/>
  <c r="A37" i="3" s="1"/>
  <c r="I24" i="3"/>
  <c r="I23" i="3"/>
  <c r="I22" i="3"/>
  <c r="A22" i="3"/>
  <c r="A23" i="3" s="1"/>
  <c r="I21" i="3"/>
  <c r="I20" i="3"/>
  <c r="I19" i="3"/>
  <c r="I18" i="3"/>
  <c r="I17" i="3"/>
  <c r="I16" i="3"/>
  <c r="I15" i="3"/>
  <c r="I14" i="3"/>
  <c r="I13" i="3"/>
  <c r="I12" i="3"/>
  <c r="I11" i="3"/>
  <c r="I10" i="3"/>
  <c r="A53" i="2"/>
  <c r="C54" i="2" s="1"/>
  <c r="A49" i="2"/>
  <c r="A48" i="2"/>
  <c r="C47" i="2"/>
  <c r="C49" i="2" s="1"/>
  <c r="C46" i="2"/>
  <c r="V45" i="2"/>
  <c r="U45" i="2"/>
  <c r="T45" i="2"/>
  <c r="S45" i="2"/>
  <c r="R45" i="2"/>
  <c r="Q45" i="2"/>
  <c r="P45" i="2"/>
  <c r="O45" i="2"/>
  <c r="N45" i="2"/>
  <c r="M45" i="2"/>
  <c r="L45" i="2"/>
  <c r="K45" i="2"/>
  <c r="J45" i="2"/>
  <c r="I45" i="2"/>
  <c r="H45" i="2"/>
  <c r="J29" i="2"/>
  <c r="C29" i="2"/>
  <c r="B29" i="2"/>
  <c r="J28" i="2"/>
  <c r="I28" i="2"/>
  <c r="H28" i="2"/>
  <c r="G28" i="2"/>
  <c r="F28" i="2"/>
  <c r="E28" i="2"/>
  <c r="D28" i="2"/>
  <c r="C28" i="2"/>
  <c r="B28" i="2"/>
  <c r="A23" i="2"/>
  <c r="AG22" i="2"/>
  <c r="AF22" i="2"/>
  <c r="AE22" i="2"/>
  <c r="AD22" i="2"/>
  <c r="AC22" i="2"/>
  <c r="AB22" i="2"/>
  <c r="AA22" i="2"/>
  <c r="Z22" i="2"/>
  <c r="Y22" i="2"/>
  <c r="X22" i="2"/>
  <c r="W22" i="2"/>
  <c r="V22" i="2"/>
  <c r="U22" i="2"/>
  <c r="T22" i="2"/>
  <c r="S22" i="2"/>
  <c r="R22" i="2"/>
  <c r="Q22" i="2"/>
  <c r="P22" i="2"/>
  <c r="O22" i="2"/>
  <c r="N22" i="2"/>
  <c r="AH18" i="2"/>
  <c r="AG18" i="2"/>
  <c r="AF18" i="2"/>
  <c r="AE18" i="2"/>
  <c r="AD18" i="2"/>
  <c r="AC18" i="2"/>
  <c r="AB18" i="2"/>
  <c r="AA18" i="2"/>
  <c r="Z18" i="2"/>
  <c r="Y18" i="2"/>
  <c r="X18" i="2"/>
  <c r="W18" i="2"/>
  <c r="V18" i="2"/>
  <c r="U18" i="2"/>
  <c r="T18" i="2"/>
  <c r="S18" i="2"/>
  <c r="R18" i="2"/>
  <c r="Q18" i="2"/>
  <c r="P18" i="2"/>
  <c r="O18" i="2"/>
  <c r="N18" i="2"/>
  <c r="M18" i="2"/>
  <c r="L18" i="2"/>
  <c r="K18" i="2"/>
  <c r="K16" i="2" s="1"/>
  <c r="J18" i="2"/>
  <c r="I18" i="2"/>
  <c r="H18" i="2"/>
  <c r="G18" i="2"/>
  <c r="F18" i="2"/>
  <c r="E18" i="2"/>
  <c r="D18" i="2"/>
  <c r="D13" i="2" s="1"/>
  <c r="D29" i="2" s="1"/>
  <c r="C18" i="2"/>
  <c r="AH5" i="2"/>
  <c r="L16" i="2" l="1"/>
  <c r="AI5" i="2"/>
  <c r="X45" i="2" s="1"/>
  <c r="W45" i="2"/>
  <c r="E13" i="2"/>
  <c r="E29" i="2" s="1"/>
  <c r="A24" i="3"/>
  <c r="A28" i="3" s="1"/>
  <c r="A32" i="3" s="1"/>
  <c r="A36" i="3" s="1"/>
  <c r="A40" i="3" s="1"/>
  <c r="A27" i="3"/>
  <c r="A31" i="3" s="1"/>
  <c r="A35" i="3" s="1"/>
  <c r="A39" i="3" s="1"/>
  <c r="M16" i="2"/>
  <c r="N16" i="2" s="1"/>
  <c r="O16" i="2" s="1"/>
  <c r="P16" i="2" s="1"/>
  <c r="Q16" i="2" s="1"/>
  <c r="R16" i="2" s="1"/>
  <c r="S16" i="2" s="1"/>
  <c r="T16" i="2" s="1"/>
  <c r="U16" i="2" s="1"/>
  <c r="V16" i="2" s="1"/>
  <c r="W16" i="2" s="1"/>
  <c r="X16" i="2" s="1"/>
  <c r="Y16" i="2" s="1"/>
  <c r="Z16" i="2" s="1"/>
  <c r="AA16" i="2" s="1"/>
  <c r="AB16" i="2" s="1"/>
  <c r="AC16" i="2" s="1"/>
  <c r="AD16" i="2" s="1"/>
  <c r="AE16" i="2" s="1"/>
  <c r="AF16" i="2" s="1"/>
  <c r="AG16" i="2" s="1"/>
  <c r="AH16" i="2" s="1"/>
  <c r="AI16" i="2" s="1"/>
  <c r="AJ16" i="2" s="1"/>
  <c r="AK16" i="2" s="1"/>
  <c r="AL16" i="2" s="1"/>
  <c r="AM16" i="2" s="1"/>
  <c r="K28" i="2"/>
  <c r="K15" i="2"/>
  <c r="L15" i="2" s="1"/>
  <c r="M15" i="2" s="1"/>
  <c r="N15" i="2" s="1"/>
  <c r="O15" i="2" s="1"/>
  <c r="P15" i="2" s="1"/>
  <c r="Q15" i="2" s="1"/>
  <c r="R15" i="2" s="1"/>
  <c r="S15" i="2" s="1"/>
  <c r="T15" i="2" s="1"/>
  <c r="K13" i="2"/>
  <c r="K29" i="2" s="1"/>
  <c r="AI22" i="2"/>
  <c r="AH22" i="2"/>
  <c r="F46" i="3"/>
  <c r="K14" i="2"/>
  <c r="E47" i="3"/>
  <c r="F45" i="3"/>
  <c r="A26" i="3"/>
  <c r="A30" i="3" s="1"/>
  <c r="A34" i="3" s="1"/>
  <c r="A38" i="3" s="1"/>
  <c r="F13" i="2" l="1"/>
  <c r="AJ5" i="2"/>
  <c r="Y45" i="2" s="1"/>
  <c r="L14" i="2"/>
  <c r="K30" i="2"/>
  <c r="L13" i="2"/>
  <c r="L29" i="2" s="1"/>
  <c r="L12" i="2"/>
  <c r="K7" i="2"/>
  <c r="H47" i="2"/>
  <c r="G45" i="3"/>
  <c r="H45" i="3" s="1"/>
  <c r="G46" i="3"/>
  <c r="H46" i="3" s="1"/>
  <c r="AJ22" i="2"/>
  <c r="AK5" i="2"/>
  <c r="Z45" i="2" s="1"/>
  <c r="G47" i="3"/>
  <c r="F47" i="3"/>
  <c r="E48" i="3"/>
  <c r="M13" i="2"/>
  <c r="I47" i="2"/>
  <c r="U15" i="2"/>
  <c r="G13" i="2" l="1"/>
  <c r="F29" i="2"/>
  <c r="K24" i="2"/>
  <c r="M12" i="2"/>
  <c r="L7" i="2"/>
  <c r="L24" i="2" s="1"/>
  <c r="L28" i="2"/>
  <c r="M14" i="2"/>
  <c r="L30" i="2"/>
  <c r="J47" i="2"/>
  <c r="V15" i="2"/>
  <c r="AK22" i="2"/>
  <c r="AL5" i="2"/>
  <c r="AA45" i="2" s="1"/>
  <c r="C23" i="2"/>
  <c r="C6" i="2"/>
  <c r="B23" i="2"/>
  <c r="B6" i="2"/>
  <c r="G48" i="3"/>
  <c r="F48" i="3"/>
  <c r="E49" i="3"/>
  <c r="M29" i="2"/>
  <c r="N13" i="2"/>
  <c r="H47" i="3"/>
  <c r="H13" i="2" l="1"/>
  <c r="G29" i="2"/>
  <c r="N12" i="2"/>
  <c r="O12" i="2" s="1"/>
  <c r="M7" i="2"/>
  <c r="M24" i="2" s="1"/>
  <c r="M28" i="2"/>
  <c r="N14" i="2"/>
  <c r="M30" i="2"/>
  <c r="H48" i="3"/>
  <c r="E23" i="2" s="1"/>
  <c r="N29" i="2"/>
  <c r="O13" i="2"/>
  <c r="K47" i="2"/>
  <c r="W15" i="2"/>
  <c r="G49" i="3"/>
  <c r="F49" i="3"/>
  <c r="E50" i="3"/>
  <c r="AL22" i="2"/>
  <c r="AM5" i="2"/>
  <c r="AB45" i="2" s="1"/>
  <c r="D23" i="2"/>
  <c r="D6" i="2"/>
  <c r="N28" i="2"/>
  <c r="H29" i="2" l="1"/>
  <c r="I13" i="2"/>
  <c r="I29" i="2" s="1"/>
  <c r="N7" i="2"/>
  <c r="N24" i="2" s="1"/>
  <c r="O14" i="2"/>
  <c r="N30" i="2"/>
  <c r="E6" i="2"/>
  <c r="O28" i="2"/>
  <c r="P12" i="2"/>
  <c r="O7" i="2"/>
  <c r="L47" i="2"/>
  <c r="X15" i="2"/>
  <c r="AM22" i="2"/>
  <c r="G50" i="3"/>
  <c r="F50" i="3"/>
  <c r="E51" i="3"/>
  <c r="O29" i="2"/>
  <c r="P13" i="2"/>
  <c r="H49" i="3"/>
  <c r="P14" i="2" l="1"/>
  <c r="O30" i="2"/>
  <c r="H50" i="3"/>
  <c r="F23" i="2"/>
  <c r="F6" i="2"/>
  <c r="O24" i="2"/>
  <c r="G51" i="3"/>
  <c r="F51" i="3"/>
  <c r="E52" i="3"/>
  <c r="E53" i="3" s="1"/>
  <c r="P28" i="2"/>
  <c r="Q12" i="2"/>
  <c r="P7" i="2"/>
  <c r="P29" i="2"/>
  <c r="Q13" i="2"/>
  <c r="M47" i="2"/>
  <c r="Y15" i="2"/>
  <c r="Q14" i="2" l="1"/>
  <c r="P30" i="2"/>
  <c r="G53" i="3"/>
  <c r="F53" i="3"/>
  <c r="B56" i="2"/>
  <c r="D56" i="2" s="1"/>
  <c r="B54" i="2"/>
  <c r="D54" i="2" s="1"/>
  <c r="Q29" i="2"/>
  <c r="R13" i="2"/>
  <c r="G23" i="2"/>
  <c r="G6" i="2"/>
  <c r="H51" i="3"/>
  <c r="N47" i="2"/>
  <c r="Z15" i="2"/>
  <c r="P24" i="2"/>
  <c r="Q28" i="2"/>
  <c r="R12" i="2"/>
  <c r="Q7" i="2"/>
  <c r="G52" i="3"/>
  <c r="F52" i="3"/>
  <c r="R14" i="2" l="1"/>
  <c r="Q30" i="2"/>
  <c r="H53" i="3"/>
  <c r="E56" i="2" a="1"/>
  <c r="R28" i="2"/>
  <c r="S12" i="2"/>
  <c r="R7" i="2"/>
  <c r="O47" i="2"/>
  <c r="AA15" i="2"/>
  <c r="H52" i="3"/>
  <c r="G9" i="2"/>
  <c r="G8" i="2"/>
  <c r="G7" i="2"/>
  <c r="R29" i="2"/>
  <c r="S13" i="2"/>
  <c r="Q24" i="2"/>
  <c r="H23" i="2"/>
  <c r="H6" i="2"/>
  <c r="B53" i="2" l="1"/>
  <c r="D53" i="2" s="1"/>
  <c r="E53" i="2" s="1" a="1"/>
  <c r="F53" i="2" s="1"/>
  <c r="J7" i="2"/>
  <c r="B45" i="2"/>
  <c r="D45" i="2" s="1"/>
  <c r="J8" i="2"/>
  <c r="J9" i="2"/>
  <c r="S14" i="2"/>
  <c r="R30" i="2"/>
  <c r="F57" i="2"/>
  <c r="E57" i="2"/>
  <c r="E58" i="2"/>
  <c r="F56" i="2"/>
  <c r="F58" i="2"/>
  <c r="E56" i="2"/>
  <c r="P47" i="2"/>
  <c r="AB15" i="2"/>
  <c r="R24" i="2"/>
  <c r="S28" i="2"/>
  <c r="T12" i="2"/>
  <c r="S7" i="2"/>
  <c r="H8" i="2"/>
  <c r="H7" i="2"/>
  <c r="H9" i="2"/>
  <c r="S29" i="2"/>
  <c r="T13" i="2"/>
  <c r="E53" i="2" l="1"/>
  <c r="L9" i="2" s="1"/>
  <c r="F54" i="2"/>
  <c r="J26" i="2"/>
  <c r="E54" i="2"/>
  <c r="F55" i="2"/>
  <c r="J25" i="2"/>
  <c r="E55" i="2"/>
  <c r="J24" i="2"/>
  <c r="S30" i="2"/>
  <c r="T14" i="2"/>
  <c r="H46" i="2"/>
  <c r="R9" i="2"/>
  <c r="R26" i="2" s="1"/>
  <c r="K9" i="2"/>
  <c r="M9" i="2"/>
  <c r="N9" i="2"/>
  <c r="O9" i="2"/>
  <c r="P9" i="2"/>
  <c r="Q9" i="2"/>
  <c r="T28" i="2"/>
  <c r="U12" i="2"/>
  <c r="T7" i="2"/>
  <c r="S24" i="2"/>
  <c r="S9" i="2"/>
  <c r="Q47" i="2"/>
  <c r="AC15" i="2"/>
  <c r="T29" i="2"/>
  <c r="U13" i="2"/>
  <c r="I23" i="2"/>
  <c r="I6" i="2"/>
  <c r="T30" i="2" l="1"/>
  <c r="I46" i="2"/>
  <c r="U14" i="2"/>
  <c r="Q26" i="2"/>
  <c r="M26" i="2"/>
  <c r="P26" i="2"/>
  <c r="L26" i="2"/>
  <c r="N26" i="2"/>
  <c r="O26" i="2"/>
  <c r="K26" i="2"/>
  <c r="I7" i="2"/>
  <c r="I8" i="2"/>
  <c r="I9" i="2"/>
  <c r="U28" i="2"/>
  <c r="V12" i="2"/>
  <c r="U7" i="2"/>
  <c r="S26" i="2"/>
  <c r="R47" i="2"/>
  <c r="AD15" i="2"/>
  <c r="U29" i="2"/>
  <c r="V13" i="2"/>
  <c r="T24" i="2"/>
  <c r="T9" i="2"/>
  <c r="U30" i="2" l="1"/>
  <c r="J46" i="2"/>
  <c r="V14" i="2"/>
  <c r="T26" i="2"/>
  <c r="V29" i="2"/>
  <c r="W13" i="2"/>
  <c r="S47" i="2"/>
  <c r="AE15" i="2"/>
  <c r="U24" i="2"/>
  <c r="U9" i="2"/>
  <c r="V28" i="2"/>
  <c r="W12" i="2"/>
  <c r="V7" i="2"/>
  <c r="V30" i="2" l="1"/>
  <c r="K46" i="2"/>
  <c r="W14" i="2"/>
  <c r="U26" i="2"/>
  <c r="V24" i="2"/>
  <c r="V9" i="2"/>
  <c r="W28" i="2"/>
  <c r="X12" i="2"/>
  <c r="W7" i="2"/>
  <c r="W29" i="2"/>
  <c r="X13" i="2"/>
  <c r="T47" i="2"/>
  <c r="AF15" i="2"/>
  <c r="W30" i="2" l="1"/>
  <c r="X14" i="2"/>
  <c r="L46" i="2"/>
  <c r="V26" i="2"/>
  <c r="X29" i="2"/>
  <c r="Y13" i="2"/>
  <c r="W24" i="2"/>
  <c r="W9" i="2"/>
  <c r="X28" i="2"/>
  <c r="Y12" i="2"/>
  <c r="Y7" i="2" s="1"/>
  <c r="Y9" i="2" s="1"/>
  <c r="Y26" i="2" s="1"/>
  <c r="X7" i="2"/>
  <c r="U47" i="2"/>
  <c r="AG15" i="2"/>
  <c r="X30" i="2" l="1"/>
  <c r="M46" i="2"/>
  <c r="B46" i="2" s="1"/>
  <c r="Y14" i="2"/>
  <c r="W26" i="2"/>
  <c r="V47" i="2"/>
  <c r="AH15" i="2"/>
  <c r="W47" i="2" s="1"/>
  <c r="Y28" i="2"/>
  <c r="Z12" i="2"/>
  <c r="Z7" i="2" s="1"/>
  <c r="Z9" i="2" s="1"/>
  <c r="Z26" i="2" s="1"/>
  <c r="Y29" i="2"/>
  <c r="Z13" i="2"/>
  <c r="X24" i="2"/>
  <c r="X9" i="2"/>
  <c r="Y30" i="2" l="1"/>
  <c r="Z14" i="2"/>
  <c r="N46" i="2"/>
  <c r="D46" i="2"/>
  <c r="E45" i="2" s="1" a="1"/>
  <c r="B48" i="2"/>
  <c r="D48" i="2" s="1"/>
  <c r="X26" i="2"/>
  <c r="Z29" i="2"/>
  <c r="AA13" i="2"/>
  <c r="Y24" i="2"/>
  <c r="AI15" i="2"/>
  <c r="Z28" i="2"/>
  <c r="AA12" i="2"/>
  <c r="AA7" i="2" s="1"/>
  <c r="AA9" i="2" s="1"/>
  <c r="F47" i="2" l="1"/>
  <c r="F46" i="2"/>
  <c r="E45" i="2"/>
  <c r="F45" i="2"/>
  <c r="E47" i="2"/>
  <c r="E46" i="2"/>
  <c r="Z30" i="2"/>
  <c r="O46" i="2"/>
  <c r="AA14" i="2"/>
  <c r="AA26" i="2"/>
  <c r="AJ15" i="2"/>
  <c r="X47" i="2"/>
  <c r="AA29" i="2"/>
  <c r="AB13" i="2"/>
  <c r="AA28" i="2"/>
  <c r="AB12" i="2"/>
  <c r="AB7" i="2" s="1"/>
  <c r="AB9" i="2" s="1"/>
  <c r="Z24" i="2"/>
  <c r="P8" i="2" l="1"/>
  <c r="Q8" i="2"/>
  <c r="U8" i="2"/>
  <c r="S8" i="2"/>
  <c r="M8" i="2"/>
  <c r="T8" i="2"/>
  <c r="O8" i="2"/>
  <c r="R8" i="2"/>
  <c r="L8" i="2"/>
  <c r="K8" i="2"/>
  <c r="N8" i="2"/>
  <c r="V8" i="2"/>
  <c r="W8" i="2"/>
  <c r="X8" i="2"/>
  <c r="AB26" i="2"/>
  <c r="AA30" i="2"/>
  <c r="AB14" i="2"/>
  <c r="P46" i="2"/>
  <c r="AK15" i="2"/>
  <c r="Y47" i="2"/>
  <c r="AB28" i="2"/>
  <c r="AC12" i="2"/>
  <c r="AC7" i="2" s="1"/>
  <c r="AC9" i="2" s="1"/>
  <c r="AB29" i="2"/>
  <c r="AC13" i="2"/>
  <c r="AA24" i="2"/>
  <c r="R25" i="2" l="1"/>
  <c r="S25" i="2"/>
  <c r="N25" i="2"/>
  <c r="O25" i="2"/>
  <c r="U25" i="2"/>
  <c r="V25" i="2"/>
  <c r="AB30" i="2"/>
  <c r="AC14" i="2"/>
  <c r="Q46" i="2"/>
  <c r="X25" i="2"/>
  <c r="K25" i="2"/>
  <c r="T25" i="2"/>
  <c r="Q25" i="2"/>
  <c r="AC26" i="2"/>
  <c r="W25" i="2"/>
  <c r="L25" i="2"/>
  <c r="M25" i="2"/>
  <c r="P25" i="2"/>
  <c r="AL15" i="2"/>
  <c r="Z47" i="2"/>
  <c r="AC29" i="2"/>
  <c r="AD13" i="2"/>
  <c r="AB24" i="2"/>
  <c r="AC28" i="2"/>
  <c r="AD12" i="2"/>
  <c r="AD7" i="2" s="1"/>
  <c r="AD9" i="2" s="1"/>
  <c r="AD26" i="2" l="1"/>
  <c r="AC30" i="2"/>
  <c r="AD14" i="2"/>
  <c r="R46" i="2"/>
  <c r="AM15" i="2"/>
  <c r="AB47" i="2" s="1"/>
  <c r="AA47" i="2"/>
  <c r="AD28" i="2"/>
  <c r="AE12" i="2"/>
  <c r="AE7" i="2" s="1"/>
  <c r="AE9" i="2" s="1"/>
  <c r="AC24" i="2"/>
  <c r="AD29" i="2"/>
  <c r="AE13" i="2"/>
  <c r="AE26" i="2" l="1"/>
  <c r="AD30" i="2"/>
  <c r="S46" i="2"/>
  <c r="AE14" i="2"/>
  <c r="AE29" i="2"/>
  <c r="AF13" i="2"/>
  <c r="AD24" i="2"/>
  <c r="AE28" i="2"/>
  <c r="AF12" i="2"/>
  <c r="AF7" i="2" s="1"/>
  <c r="AF9" i="2" s="1"/>
  <c r="AF26" i="2" l="1"/>
  <c r="AE30" i="2"/>
  <c r="T46" i="2"/>
  <c r="AF14" i="2"/>
  <c r="AF28" i="2"/>
  <c r="AG12" i="2"/>
  <c r="AG7" i="2" s="1"/>
  <c r="AG9" i="2" s="1"/>
  <c r="AE24" i="2"/>
  <c r="AF29" i="2"/>
  <c r="AG13" i="2"/>
  <c r="AG26" i="2" l="1"/>
  <c r="AF30" i="2"/>
  <c r="U46" i="2"/>
  <c r="AG14" i="2"/>
  <c r="AG29" i="2"/>
  <c r="AH13" i="2"/>
  <c r="AF24" i="2"/>
  <c r="AG28" i="2"/>
  <c r="AH12" i="2"/>
  <c r="AH7" i="2" s="1"/>
  <c r="AH9" i="2" s="1"/>
  <c r="AH26" i="2" l="1"/>
  <c r="AG30" i="2"/>
  <c r="V46" i="2"/>
  <c r="AH14" i="2"/>
  <c r="AG24" i="2"/>
  <c r="AH28" i="2"/>
  <c r="AI12" i="2"/>
  <c r="AI7" i="2" s="1"/>
  <c r="AH29" i="2"/>
  <c r="AI13" i="2"/>
  <c r="AI6" i="2" l="1"/>
  <c r="AI9" i="2"/>
  <c r="W46" i="2"/>
  <c r="AH30" i="2"/>
  <c r="AI14" i="2"/>
  <c r="AI29" i="2"/>
  <c r="AJ13" i="2"/>
  <c r="AI28" i="2"/>
  <c r="AJ12" i="2"/>
  <c r="AJ7" i="2" s="1"/>
  <c r="AJ9" i="2" s="1"/>
  <c r="AH24" i="2"/>
  <c r="AI26" i="2" l="1"/>
  <c r="AJ26" i="2"/>
  <c r="AI30" i="2"/>
  <c r="X46" i="2"/>
  <c r="AJ14" i="2"/>
  <c r="AK12" i="2"/>
  <c r="AK7" i="2" s="1"/>
  <c r="AK9" i="2" s="1"/>
  <c r="AJ28" i="2"/>
  <c r="AJ29" i="2"/>
  <c r="AK13" i="2"/>
  <c r="AI24" i="2"/>
  <c r="AK26" i="2" l="1"/>
  <c r="AJ30" i="2"/>
  <c r="AK14" i="2"/>
  <c r="Y46" i="2"/>
  <c r="AJ24" i="2"/>
  <c r="AK29" i="2"/>
  <c r="AL13" i="2"/>
  <c r="AK28" i="2"/>
  <c r="AL12" i="2"/>
  <c r="AL7" i="2" s="1"/>
  <c r="AL9" i="2" s="1"/>
  <c r="AL26" i="2" l="1"/>
  <c r="AK30" i="2"/>
  <c r="Z46" i="2"/>
  <c r="AL14" i="2"/>
  <c r="AL28" i="2"/>
  <c r="AM12" i="2"/>
  <c r="AM7" i="2" s="1"/>
  <c r="AM9" i="2" s="1"/>
  <c r="AL29" i="2"/>
  <c r="AM13" i="2"/>
  <c r="AM29" i="2" s="1"/>
  <c r="AK24" i="2"/>
  <c r="AM26" i="2" l="1"/>
  <c r="AL30" i="2"/>
  <c r="AM14" i="2"/>
  <c r="AA46" i="2"/>
  <c r="AL24" i="2"/>
  <c r="AM28" i="2"/>
  <c r="AB46" i="2" l="1"/>
  <c r="AM30" i="2"/>
  <c r="AM24" i="2"/>
  <c r="D49" i="2" l="1"/>
  <c r="D47" i="2"/>
  <c r="E48" i="2" l="1" a="1"/>
  <c r="F50" i="2" s="1"/>
  <c r="E48" i="2" l="1"/>
  <c r="E50" i="2"/>
  <c r="F49" i="2"/>
  <c r="E49" i="2"/>
  <c r="F48" i="2"/>
  <c r="AK8" i="2" s="1"/>
  <c r="AM8" i="2"/>
  <c r="AL8" i="2"/>
  <c r="AJ8" i="2"/>
  <c r="AI8" i="2"/>
  <c r="AH8" i="2"/>
  <c r="AF8" i="2"/>
  <c r="AE8" i="2"/>
  <c r="AA8" i="2"/>
  <c r="AB8" i="2"/>
  <c r="AD8" i="2"/>
  <c r="Z8" i="2"/>
  <c r="AC8" i="2" l="1"/>
  <c r="Y8" i="2"/>
  <c r="AG8" i="2"/>
  <c r="AF25" i="2"/>
  <c r="AC25" i="2"/>
  <c r="AK25" i="2"/>
  <c r="AB25" i="2"/>
  <c r="Z25" i="2"/>
  <c r="AA25" i="2"/>
  <c r="AH25" i="2"/>
  <c r="AL25" i="2"/>
  <c r="AJ25" i="2"/>
  <c r="AD25" i="2"/>
  <c r="AE25" i="2"/>
  <c r="AI25" i="2"/>
  <c r="AM25" i="2"/>
  <c r="Y25" i="2" l="1"/>
  <c r="AG25" i="2"/>
</calcChain>
</file>

<file path=xl/sharedStrings.xml><?xml version="1.0" encoding="utf-8"?>
<sst xmlns="http://schemas.openxmlformats.org/spreadsheetml/2006/main" count="93" uniqueCount="90">
  <si>
    <t>PROPOSED AMENDMENTS TO THE CALIFORNIA CAP ON GREENHOUSE GAS EMISSIONS AND</t>
  </si>
  <si>
    <t>MARKET-BASED COMPLIANCE MECHANISMS</t>
  </si>
  <si>
    <r>
      <t xml:space="preserve">Carbon Price </t>
    </r>
    <r>
      <rPr>
        <b/>
        <sz val="11"/>
        <color indexed="8"/>
        <rFont val="Calibri"/>
        <family val="2"/>
      </rPr>
      <t>(Nominal$/metric ton CO</t>
    </r>
    <r>
      <rPr>
        <b/>
        <vertAlign val="subscript"/>
        <sz val="11"/>
        <color indexed="8"/>
        <rFont val="Calibri"/>
        <family val="2"/>
      </rPr>
      <t>2</t>
    </r>
    <r>
      <rPr>
        <b/>
        <sz val="11"/>
        <color indexed="8"/>
        <rFont val="Calibri"/>
        <family val="2"/>
      </rPr>
      <t>e)</t>
    </r>
    <r>
      <rPr>
        <b/>
        <vertAlign val="superscript"/>
        <sz val="11"/>
        <color indexed="8"/>
        <rFont val="Calibri"/>
        <family val="2"/>
      </rPr>
      <t>1</t>
    </r>
  </si>
  <si>
    <t>Annual Average Auction Sale Price</t>
  </si>
  <si>
    <t>Low Price (High Demand Scenario)</t>
  </si>
  <si>
    <t>Mid Price (Mid Demand Scenario)</t>
  </si>
  <si>
    <t>High Price (Low Demand Scenario)</t>
  </si>
  <si>
    <r>
      <t>Annual Average Auction Sale Price</t>
    </r>
    <r>
      <rPr>
        <vertAlign val="superscript"/>
        <sz val="11"/>
        <color theme="1"/>
        <rFont val="Calibri"/>
        <family val="2"/>
        <scheme val="minor"/>
      </rPr>
      <t>2</t>
    </r>
  </si>
  <si>
    <r>
      <t>Annual Auction Reserve  Price</t>
    </r>
    <r>
      <rPr>
        <vertAlign val="superscript"/>
        <sz val="11"/>
        <color theme="1"/>
        <rFont val="Calibri"/>
        <family val="2"/>
        <scheme val="minor"/>
      </rPr>
      <t>3</t>
    </r>
  </si>
  <si>
    <r>
      <t xml:space="preserve">Tier 1 APCR / post-2020 price ceiling </t>
    </r>
    <r>
      <rPr>
        <vertAlign val="superscript"/>
        <sz val="11"/>
        <color theme="1"/>
        <rFont val="Calibri"/>
        <family val="2"/>
        <scheme val="minor"/>
      </rPr>
      <t>4</t>
    </r>
  </si>
  <si>
    <t>Post 2020 Tier Price 1</t>
  </si>
  <si>
    <t>Post 2020 Tier Price 2</t>
  </si>
  <si>
    <t>Post 2020 Price Ceiling</t>
  </si>
  <si>
    <t>CPI Annual Rate of Change</t>
  </si>
  <si>
    <t>Reserve Price</t>
  </si>
  <si>
    <t>Tier 1 APCR / Post-2020 Price Ceiling</t>
  </si>
  <si>
    <r>
      <rPr>
        <vertAlign val="superscript"/>
        <sz val="11"/>
        <color theme="1"/>
        <rFont val="Calibri"/>
        <family val="2"/>
      </rPr>
      <t xml:space="preserve">3 </t>
    </r>
    <r>
      <rPr>
        <sz val="11"/>
        <color theme="1"/>
        <rFont val="Calibri"/>
        <family val="2"/>
      </rPr>
      <t>Price increases in calendar years subsequent to 2019 will be equal to the offer price for each tier from the previous calendar year increased by five percent plus the rate of inflation as measured by the Consumer Price Index for All Urban Consumers.</t>
    </r>
  </si>
  <si>
    <r>
      <rPr>
        <vertAlign val="superscript"/>
        <sz val="12"/>
        <color indexed="8"/>
        <rFont val="Calibri"/>
        <family val="2"/>
      </rPr>
      <t>4</t>
    </r>
    <r>
      <rPr>
        <sz val="11"/>
        <color indexed="8"/>
        <rFont val="Calibri"/>
        <family val="2"/>
      </rPr>
      <t xml:space="preserve"> 17 CCR § § 95915. Price Ceiling Sales.</t>
    </r>
  </si>
  <si>
    <t>Regression Estimates for exponential curves</t>
  </si>
  <si>
    <t>Current and Target Price in 2030</t>
  </si>
  <si>
    <t>Mid case</t>
  </si>
  <si>
    <t>Fitted exponential coefs</t>
  </si>
  <si>
    <t>Mid</t>
  </si>
  <si>
    <t>t</t>
  </si>
  <si>
    <t>APCR</t>
  </si>
  <si>
    <t>high price</t>
  </si>
  <si>
    <r>
      <rPr>
        <b/>
        <sz val="12"/>
        <rFont val="Arial"/>
        <family val="2"/>
      </rPr>
      <t>CALIFORNIA CAP-AND-TRADE PROGRAM</t>
    </r>
  </si>
  <si>
    <r>
      <rPr>
        <b/>
        <sz val="12"/>
        <rFont val="Arial"/>
        <family val="2"/>
      </rPr>
      <t>SUMMARY OF JOINT AUCTION SETTLEMENT PRICES AND RESULTS</t>
    </r>
  </si>
  <si>
    <r>
      <rPr>
        <b/>
        <sz val="12"/>
        <rFont val="Arial"/>
        <family val="2"/>
      </rPr>
      <t>Auction Name</t>
    </r>
  </si>
  <si>
    <r>
      <rPr>
        <b/>
        <sz val="12"/>
        <rFont val="Arial"/>
        <family val="2"/>
      </rPr>
      <t>Total Current Vintage Allowances Offered</t>
    </r>
  </si>
  <si>
    <r>
      <rPr>
        <b/>
        <sz val="12"/>
        <rFont val="Arial"/>
        <family val="2"/>
      </rPr>
      <t>Total Current Vintage Allowances Sold</t>
    </r>
  </si>
  <si>
    <r>
      <rPr>
        <b/>
        <sz val="12"/>
        <rFont val="Arial"/>
        <family val="2"/>
      </rPr>
      <t>Current Auction Settlement Price</t>
    </r>
  </si>
  <si>
    <r>
      <rPr>
        <b/>
        <sz val="12"/>
        <rFont val="Arial"/>
        <family val="2"/>
      </rPr>
      <t>Total Future Vintage Allowances Offered</t>
    </r>
  </si>
  <si>
    <r>
      <rPr>
        <b/>
        <sz val="12"/>
        <rFont val="Arial"/>
        <family val="2"/>
      </rPr>
      <t>Total Future Vintage Allowances Sold</t>
    </r>
  </si>
  <si>
    <r>
      <rPr>
        <b/>
        <sz val="12"/>
        <rFont val="Arial"/>
        <family val="2"/>
      </rPr>
      <t>Advance Auction Settlement Price</t>
    </r>
  </si>
  <si>
    <t>Revenues</t>
  </si>
  <si>
    <r>
      <rPr>
        <b/>
        <sz val="12"/>
        <rFont val="Arial"/>
        <family val="2"/>
      </rPr>
      <t>November 2020 Joint Auction #25</t>
    </r>
  </si>
  <si>
    <r>
      <rPr>
        <b/>
        <sz val="12"/>
        <rFont val="Arial"/>
        <family val="2"/>
      </rPr>
      <t>August 2020 Joint Auction #24</t>
    </r>
  </si>
  <si>
    <r>
      <rPr>
        <b/>
        <sz val="12"/>
        <rFont val="Arial"/>
        <family val="2"/>
      </rPr>
      <t>May 2020 Joint Auction #23</t>
    </r>
  </si>
  <si>
    <t>February 2020 Joint Auction #22</t>
  </si>
  <si>
    <r>
      <rPr>
        <b/>
        <sz val="12"/>
        <rFont val="Arial"/>
        <family val="2"/>
      </rPr>
      <t>November 2019 Joint Auction #21</t>
    </r>
  </si>
  <si>
    <r>
      <rPr>
        <b/>
        <sz val="12"/>
        <rFont val="Arial"/>
        <family val="2"/>
      </rPr>
      <t>August 2019 Joint Auction #20</t>
    </r>
  </si>
  <si>
    <r>
      <rPr>
        <b/>
        <sz val="12"/>
        <rFont val="Arial"/>
        <family val="2"/>
      </rPr>
      <t>May 2019 Joint Auction #19</t>
    </r>
  </si>
  <si>
    <r>
      <rPr>
        <b/>
        <sz val="12"/>
        <rFont val="Arial"/>
        <family val="2"/>
      </rPr>
      <t>February 2019 Joint Auction #18</t>
    </r>
  </si>
  <si>
    <t>November 2018 Joint Auction #17</t>
  </si>
  <si>
    <t>August 2018 Joint Auction #16</t>
  </si>
  <si>
    <t>May 2018 Joint Auction #15</t>
  </si>
  <si>
    <t>February 2018 Joint Auction #14</t>
  </si>
  <si>
    <r>
      <rPr>
        <b/>
        <sz val="12"/>
        <rFont val="Arial"/>
        <family val="2"/>
      </rPr>
      <t>November 2017 Joint Auction #13</t>
    </r>
  </si>
  <si>
    <r>
      <rPr>
        <b/>
        <sz val="12"/>
        <rFont val="Arial"/>
        <family val="2"/>
      </rPr>
      <t>August 2017 Joint Auction #12</t>
    </r>
  </si>
  <si>
    <r>
      <rPr>
        <b/>
        <sz val="12"/>
        <rFont val="Arial"/>
        <family val="2"/>
      </rPr>
      <t>May 2017 Joint Auction #11</t>
    </r>
  </si>
  <si>
    <r>
      <rPr>
        <b/>
        <sz val="12"/>
        <rFont val="Arial"/>
        <family val="2"/>
      </rPr>
      <t>February 2017 Joint Auction #10</t>
    </r>
  </si>
  <si>
    <r>
      <rPr>
        <b/>
        <sz val="12"/>
        <rFont val="Arial"/>
        <family val="2"/>
      </rPr>
      <t>November 2016 Joint Auction #9</t>
    </r>
  </si>
  <si>
    <r>
      <rPr>
        <b/>
        <sz val="12"/>
        <rFont val="Arial"/>
        <family val="2"/>
      </rPr>
      <t>August 2016 Joint Auction #8</t>
    </r>
  </si>
  <si>
    <r>
      <rPr>
        <b/>
        <sz val="12"/>
        <rFont val="Arial"/>
        <family val="2"/>
      </rPr>
      <t>May 2016 Joint Auction #7</t>
    </r>
  </si>
  <si>
    <r>
      <rPr>
        <b/>
        <sz val="12"/>
        <rFont val="Arial"/>
        <family val="2"/>
      </rPr>
      <t>February 2016 Joint Auction #6</t>
    </r>
  </si>
  <si>
    <r>
      <rPr>
        <b/>
        <sz val="12"/>
        <rFont val="Arial"/>
        <family val="2"/>
      </rPr>
      <t>November 2015 Joint Auction #5</t>
    </r>
  </si>
  <si>
    <r>
      <rPr>
        <b/>
        <sz val="12"/>
        <rFont val="Arial"/>
        <family val="2"/>
      </rPr>
      <t>August 2015 Joint Auction #4</t>
    </r>
  </si>
  <si>
    <r>
      <rPr>
        <b/>
        <sz val="12"/>
        <rFont val="Arial"/>
        <family val="2"/>
      </rPr>
      <t>May 2015 Joint Auction #3</t>
    </r>
  </si>
  <si>
    <r>
      <rPr>
        <b/>
        <sz val="12"/>
        <rFont val="Arial"/>
        <family val="2"/>
      </rPr>
      <t>February 2015 Joint Auction #2</t>
    </r>
  </si>
  <si>
    <r>
      <rPr>
        <b/>
        <sz val="12"/>
        <rFont val="Arial"/>
        <family val="2"/>
      </rPr>
      <t>November 2014 Joint Auction #1</t>
    </r>
  </si>
  <si>
    <r>
      <rPr>
        <b/>
        <sz val="12"/>
        <rFont val="Arial"/>
        <family val="2"/>
      </rPr>
      <t>August 2014 Auction #8</t>
    </r>
  </si>
  <si>
    <r>
      <rPr>
        <b/>
        <sz val="12"/>
        <rFont val="Arial"/>
        <family val="2"/>
      </rPr>
      <t>May 2014 Auction #7</t>
    </r>
  </si>
  <si>
    <r>
      <rPr>
        <b/>
        <sz val="12"/>
        <rFont val="Arial"/>
        <family val="2"/>
      </rPr>
      <t>February 2014 Auction #6</t>
    </r>
  </si>
  <si>
    <r>
      <rPr>
        <b/>
        <sz val="12"/>
        <rFont val="Arial"/>
        <family val="2"/>
      </rPr>
      <t>November 2013 Auction #5</t>
    </r>
  </si>
  <si>
    <r>
      <rPr>
        <b/>
        <sz val="12"/>
        <rFont val="Arial"/>
        <family val="2"/>
      </rPr>
      <t>August 2013 Auction #4</t>
    </r>
  </si>
  <si>
    <r>
      <rPr>
        <b/>
        <sz val="12"/>
        <rFont val="Arial"/>
        <family val="2"/>
      </rPr>
      <t>May 2013 Auction #3</t>
    </r>
  </si>
  <si>
    <r>
      <rPr>
        <b/>
        <sz val="12"/>
        <rFont val="Arial"/>
        <family val="2"/>
      </rPr>
      <t>February 2013 Auction #2</t>
    </r>
  </si>
  <si>
    <r>
      <rPr>
        <b/>
        <sz val="12"/>
        <rFont val="Arial"/>
        <family val="2"/>
      </rPr>
      <t>November 2012 Auction #1</t>
    </r>
  </si>
  <si>
    <t xml:space="preserve">Source: http://www.arb.ca.gov/cc/capandtrade/auction/auction.htm </t>
  </si>
  <si>
    <t>Annual</t>
  </si>
  <si>
    <t>volume</t>
  </si>
  <si>
    <t>revenues</t>
  </si>
  <si>
    <t>price</t>
  </si>
  <si>
    <t>NOTE: Auction revenues will include consigned allowances, so revenues column include proceeds distributed to utilities</t>
  </si>
  <si>
    <t xml:space="preserve">State versus consignment revenues may be found at: </t>
  </si>
  <si>
    <t>https://www.arb.ca.gov/cc/capandtrade/auction/proceeds_summary.pdf</t>
  </si>
  <si>
    <t>May 2021 Joint Auction #27</t>
  </si>
  <si>
    <t>February 2021 Joint Auction #26</t>
  </si>
  <si>
    <t>Low</t>
  </si>
  <si>
    <t>High (Price Floor)</t>
  </si>
  <si>
    <r>
      <t>August</t>
    </r>
    <r>
      <rPr>
        <b/>
        <sz val="12"/>
        <color rgb="FF000000"/>
        <rFont val="Trebuchet MS"/>
        <family val="2"/>
      </rPr>
      <t xml:space="preserve"> 2021 Joint Auction #28</t>
    </r>
  </si>
  <si>
    <r>
      <t>CPI: Urban Consumer - All Items, (Index, 2020=1)</t>
    </r>
    <r>
      <rPr>
        <vertAlign val="superscript"/>
        <sz val="11"/>
        <color theme="1"/>
        <rFont val="Calibri"/>
        <family val="2"/>
        <scheme val="minor"/>
      </rPr>
      <t>5</t>
    </r>
  </si>
  <si>
    <r>
      <t xml:space="preserve">Carbon Price </t>
    </r>
    <r>
      <rPr>
        <b/>
        <sz val="11"/>
        <color indexed="8"/>
        <rFont val="Calibri"/>
        <family val="2"/>
      </rPr>
      <t>(2020$/metric ton CO</t>
    </r>
    <r>
      <rPr>
        <b/>
        <vertAlign val="subscript"/>
        <sz val="11"/>
        <color indexed="8"/>
        <rFont val="Calibri"/>
        <family val="2"/>
      </rPr>
      <t>2</t>
    </r>
    <r>
      <rPr>
        <b/>
        <sz val="11"/>
        <color indexed="8"/>
        <rFont val="Calibri"/>
        <family val="2"/>
      </rPr>
      <t>e)</t>
    </r>
  </si>
  <si>
    <r>
      <t xml:space="preserve">GDP Implicit Deflator Series  2020=1 </t>
    </r>
    <r>
      <rPr>
        <vertAlign val="superscript"/>
        <sz val="11"/>
        <color theme="1"/>
        <rFont val="Calibri"/>
        <family val="2"/>
        <scheme val="minor"/>
      </rPr>
      <t>5</t>
    </r>
  </si>
  <si>
    <r>
      <rPr>
        <vertAlign val="superscript"/>
        <sz val="12"/>
        <color indexed="8"/>
        <rFont val="Calibri"/>
        <family val="2"/>
      </rPr>
      <t>5</t>
    </r>
    <r>
      <rPr>
        <sz val="11"/>
        <color indexed="8"/>
        <rFont val="Calibri"/>
        <family val="2"/>
      </rPr>
      <t xml:space="preserve"> Moody's Analytics, May 2021</t>
    </r>
  </si>
  <si>
    <r>
      <rPr>
        <vertAlign val="superscript"/>
        <sz val="11"/>
        <color indexed="8"/>
        <rFont val="Calibri"/>
        <family val="2"/>
      </rPr>
      <t xml:space="preserve">1 </t>
    </r>
    <r>
      <rPr>
        <sz val="11"/>
        <color indexed="8"/>
        <rFont val="Calibri"/>
        <family val="2"/>
      </rPr>
      <t xml:space="preserve">The low consumption (high price) scenario assumes that prices reach the Tier 2 price by 2035.  In the high consumption (low price) scenario, prices escalate at the rate of the auction reserve price (CPI +5%). In the mid case, prices are assumed to reach Tier 1 Price in 2035.
</t>
    </r>
  </si>
  <si>
    <t>11/1/2021 Joint Auction #29</t>
  </si>
  <si>
    <r>
      <rPr>
        <vertAlign val="superscript"/>
        <sz val="11"/>
        <color theme="1"/>
        <rFont val="Calibri"/>
        <family val="2"/>
      </rPr>
      <t>2</t>
    </r>
    <r>
      <rPr>
        <sz val="11"/>
        <color theme="1"/>
        <rFont val="Calibri"/>
        <family val="2"/>
      </rPr>
      <t xml:space="preserve"> 2013 through 2021 prices are the volume-weighed average Vintage Settlement Price of all  auctions (February, May, August and November).</t>
    </r>
  </si>
  <si>
    <t>Final 2021 IEPR GHG Allowance Price Projections, 12/17/21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</si>
</sst>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_);[Red]\(&quot;$&quot;#,##0.00\)"/>
    <numFmt numFmtId="43" formatCode="_(* #,##0.00_);_(* \(#,##0.00\);_(* &quot;-&quot;??_);_(@_)"/>
    <numFmt numFmtId="164" formatCode="_(* #,##0.000000000000000000_);_(* \(#,##0.000000000000000000\);_(* &quot;-&quot;??_);_(@_)"/>
    <numFmt numFmtId="165" formatCode="_(* #,##0.0000_);_(* \(#,##0.0000\);_(* &quot;-&quot;??_);_(@_)"/>
    <numFmt numFmtId="166" formatCode="0.00000000000"/>
    <numFmt numFmtId="167" formatCode="_(* #,##0.000_);_(* \(#,##0.000\);_(* &quot;-&quot;??_);_(@_)"/>
    <numFmt numFmtId="168" formatCode="0.000"/>
    <numFmt numFmtId="169" formatCode="0.0000000000000"/>
    <numFmt numFmtId="170" formatCode="0.0000"/>
    <numFmt numFmtId="172" formatCode="0_);\(0\)"/>
    <numFmt numFmtId="173" formatCode="_(* #,##0.0_);_(* \(#,##0.0\);_(* &quot;-&quot;??_);_(@_)"/>
    <numFmt numFmtId="174" formatCode="_(* #,##0_);_(* \(#,##0\);_(* &quot;-&quot;??_);_(@_)"/>
    <numFmt numFmtId="175" formatCode="\$0.00"/>
    <numFmt numFmtId="176" formatCode="&quot;$&quot;0.00"/>
    <numFmt numFmtId="177" formatCode="0.0%"/>
  </numFmts>
  <fonts count="2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color theme="1"/>
      <name val="Arial"/>
      <family val="2"/>
    </font>
    <font>
      <b/>
      <sz val="11"/>
      <color indexed="8"/>
      <name val="Calibri"/>
      <family val="2"/>
    </font>
    <font>
      <b/>
      <vertAlign val="subscript"/>
      <sz val="11"/>
      <color indexed="8"/>
      <name val="Calibri"/>
      <family val="2"/>
    </font>
    <font>
      <b/>
      <vertAlign val="superscript"/>
      <sz val="11"/>
      <color indexed="8"/>
      <name val="Calibri"/>
      <family val="2"/>
    </font>
    <font>
      <vertAlign val="superscript"/>
      <sz val="11"/>
      <color theme="1"/>
      <name val="Calibri"/>
      <family val="2"/>
      <scheme val="minor"/>
    </font>
    <font>
      <sz val="11"/>
      <color indexed="8"/>
      <name val="Calibri"/>
      <family val="2"/>
    </font>
    <font>
      <vertAlign val="superscript"/>
      <sz val="11"/>
      <color indexed="8"/>
      <name val="Calibri"/>
      <family val="2"/>
    </font>
    <font>
      <sz val="11"/>
      <color theme="1"/>
      <name val="Calibri"/>
      <family val="2"/>
    </font>
    <font>
      <vertAlign val="superscript"/>
      <sz val="11"/>
      <color theme="1"/>
      <name val="Calibri"/>
      <family val="2"/>
    </font>
    <font>
      <vertAlign val="superscript"/>
      <sz val="12"/>
      <color indexed="8"/>
      <name val="Calibri"/>
      <family val="2"/>
    </font>
    <font>
      <sz val="10"/>
      <color rgb="FF000000"/>
      <name val="Times New Roman"/>
      <family val="1"/>
    </font>
    <font>
      <b/>
      <sz val="12"/>
      <name val="Arial"/>
      <family val="2"/>
    </font>
    <font>
      <b/>
      <sz val="11"/>
      <name val="Arial"/>
      <family val="2"/>
    </font>
    <font>
      <sz val="12"/>
      <color rgb="FF000000"/>
      <name val="Arial"/>
      <family val="2"/>
    </font>
    <font>
      <b/>
      <sz val="12"/>
      <color indexed="8"/>
      <name val="Arial"/>
      <family val="2"/>
    </font>
    <font>
      <sz val="12"/>
      <color indexed="8"/>
      <name val="Arial"/>
      <family val="2"/>
    </font>
    <font>
      <sz val="11"/>
      <name val="Calibri"/>
      <family val="2"/>
      <scheme val="minor"/>
    </font>
    <font>
      <b/>
      <sz val="12"/>
      <color theme="1"/>
      <name val="Trebuchet MS"/>
      <family val="2"/>
    </font>
    <font>
      <b/>
      <sz val="12"/>
      <color rgb="FF000000"/>
      <name val="Trebuchet MS"/>
      <family val="2"/>
    </font>
  </fonts>
  <fills count="9">
    <fill>
      <patternFill patternType="none"/>
    </fill>
    <fill>
      <patternFill patternType="gray125"/>
    </fill>
    <fill>
      <patternFill patternType="solid">
        <fgColor theme="0"/>
        <bgColor indexed="64"/>
      </patternFill>
    </fill>
    <fill>
      <patternFill patternType="solid">
        <fgColor rgb="FF4F81BC"/>
      </patternFill>
    </fill>
    <fill>
      <patternFill patternType="solid">
        <fgColor rgb="FFDBE4F0"/>
      </patternFill>
    </fill>
    <fill>
      <patternFill patternType="solid">
        <fgColor rgb="FFDBE4F0"/>
        <bgColor indexed="64"/>
      </patternFill>
    </fill>
    <fill>
      <patternFill patternType="solid">
        <fgColor rgb="FFB8CCE3"/>
        <bgColor indexed="64"/>
      </patternFill>
    </fill>
    <fill>
      <patternFill patternType="solid">
        <fgColor rgb="FFB8CCE3"/>
      </patternFill>
    </fill>
    <fill>
      <patternFill patternType="solid">
        <fgColor rgb="FFCDE9F7"/>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1F5F"/>
      </top>
      <bottom style="thin">
        <color rgb="FF000000"/>
      </bottom>
      <diagonal/>
    </border>
    <border>
      <left style="thin">
        <color rgb="FF000000"/>
      </left>
      <right/>
      <top style="thin">
        <color rgb="FF001F5F"/>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5" fillId="0" borderId="0"/>
  </cellStyleXfs>
  <cellXfs count="119">
    <xf numFmtId="0" fontId="0" fillId="0" borderId="0" xfId="0"/>
    <xf numFmtId="164" fontId="0" fillId="0" borderId="0" xfId="1" applyNumberFormat="1" applyFont="1"/>
    <xf numFmtId="165" fontId="0" fillId="0" borderId="0" xfId="1" applyNumberFormat="1" applyFont="1"/>
    <xf numFmtId="0" fontId="3" fillId="0" borderId="0" xfId="0" applyFont="1"/>
    <xf numFmtId="166" fontId="0" fillId="0" borderId="0" xfId="1" applyNumberFormat="1" applyFont="1"/>
    <xf numFmtId="0" fontId="4" fillId="0" borderId="0" xfId="0" applyFont="1"/>
    <xf numFmtId="166" fontId="0" fillId="0" borderId="0" xfId="0" applyNumberFormat="1"/>
    <xf numFmtId="167" fontId="0" fillId="0" borderId="0" xfId="1" applyNumberFormat="1" applyFont="1"/>
    <xf numFmtId="167" fontId="0" fillId="0" borderId="0" xfId="0" applyNumberFormat="1"/>
    <xf numFmtId="43" fontId="0" fillId="0" borderId="0" xfId="0" applyNumberFormat="1"/>
    <xf numFmtId="43" fontId="2" fillId="0" borderId="0" xfId="0" applyNumberFormat="1" applyFont="1"/>
    <xf numFmtId="43" fontId="3" fillId="0" borderId="0" xfId="1" applyFont="1" applyFill="1"/>
    <xf numFmtId="43" fontId="3" fillId="0" borderId="0" xfId="1" applyFont="1"/>
    <xf numFmtId="2" fontId="0" fillId="0" borderId="0" xfId="0" applyNumberFormat="1"/>
    <xf numFmtId="168" fontId="0" fillId="0" borderId="0" xfId="0" applyNumberFormat="1"/>
    <xf numFmtId="43" fontId="0" fillId="0" borderId="0" xfId="1" applyFont="1"/>
    <xf numFmtId="0" fontId="0" fillId="2" borderId="0" xfId="0" applyFill="1"/>
    <xf numFmtId="43" fontId="0" fillId="0" borderId="0" xfId="1" applyFont="1" applyFill="1"/>
    <xf numFmtId="169" fontId="0" fillId="0" borderId="0" xfId="0" applyNumberFormat="1"/>
    <xf numFmtId="43" fontId="0" fillId="2" borderId="0" xfId="1" applyFont="1" applyFill="1"/>
    <xf numFmtId="170" fontId="1" fillId="0" borderId="0" xfId="2" applyNumberFormat="1" applyFont="1" applyFill="1"/>
    <xf numFmtId="43" fontId="1" fillId="0" borderId="0" xfId="1" applyFont="1" applyFill="1"/>
    <xf numFmtId="167" fontId="1" fillId="0" borderId="0" xfId="1" applyNumberFormat="1" applyFont="1" applyFill="1"/>
    <xf numFmtId="0" fontId="0" fillId="0" borderId="0" xfId="0" applyAlignment="1">
      <alignment wrapText="1"/>
    </xf>
    <xf numFmtId="10" fontId="1" fillId="0" borderId="0" xfId="2" applyNumberFormat="1" applyFont="1" applyFill="1"/>
    <xf numFmtId="0" fontId="10" fillId="0" borderId="0" xfId="0" applyFont="1"/>
    <xf numFmtId="0" fontId="10"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4" xfId="0" applyBorder="1" applyAlignment="1">
      <alignment horizontal="right" indent="5"/>
    </xf>
    <xf numFmtId="43" fontId="0" fillId="0" borderId="0" xfId="1" applyFont="1" applyBorder="1"/>
    <xf numFmtId="172" fontId="0" fillId="0" borderId="0" xfId="0" applyNumberFormat="1" applyAlignment="1">
      <alignment horizontal="left" vertical="top"/>
    </xf>
    <xf numFmtId="168" fontId="0" fillId="0" borderId="0" xfId="0" applyNumberFormat="1" applyAlignment="1">
      <alignment horizontal="left" vertical="top"/>
    </xf>
    <xf numFmtId="168" fontId="3" fillId="0" borderId="0" xfId="1" applyNumberFormat="1" applyFont="1" applyFill="1" applyBorder="1" applyAlignment="1">
      <alignment horizontal="left" vertical="top"/>
    </xf>
    <xf numFmtId="168" fontId="3" fillId="0" borderId="5" xfId="1" applyNumberFormat="1" applyFont="1" applyFill="1" applyBorder="1" applyAlignment="1">
      <alignment horizontal="left" vertical="top"/>
    </xf>
    <xf numFmtId="168" fontId="0" fillId="0" borderId="5" xfId="0" applyNumberFormat="1" applyBorder="1" applyAlignment="1">
      <alignment horizontal="left" vertical="top"/>
    </xf>
    <xf numFmtId="0" fontId="0" fillId="0" borderId="4" xfId="0" applyBorder="1" applyAlignment="1">
      <alignment horizontal="right"/>
    </xf>
    <xf numFmtId="43" fontId="0" fillId="0" borderId="4" xfId="0" applyNumberFormat="1" applyBorder="1" applyAlignment="1">
      <alignment horizontal="right"/>
    </xf>
    <xf numFmtId="168" fontId="3" fillId="0" borderId="0" xfId="0" applyNumberFormat="1" applyFont="1"/>
    <xf numFmtId="168" fontId="0" fillId="0" borderId="5" xfId="0" applyNumberFormat="1" applyBorder="1"/>
    <xf numFmtId="168" fontId="0" fillId="0" borderId="6" xfId="0" applyNumberFormat="1" applyBorder="1" applyAlignment="1">
      <alignment horizontal="left" vertical="top"/>
    </xf>
    <xf numFmtId="168" fontId="0" fillId="0" borderId="7" xfId="0" applyNumberFormat="1" applyBorder="1" applyAlignment="1">
      <alignment horizontal="left" vertical="top"/>
    </xf>
    <xf numFmtId="0" fontId="0" fillId="0" borderId="8" xfId="0" applyBorder="1" applyAlignment="1">
      <alignment horizontal="right" indent="5"/>
    </xf>
    <xf numFmtId="173" fontId="3" fillId="0" borderId="6" xfId="0" applyNumberFormat="1" applyFont="1" applyBorder="1"/>
    <xf numFmtId="172" fontId="0" fillId="0" borderId="6" xfId="0" applyNumberFormat="1" applyBorder="1" applyAlignment="1">
      <alignment horizontal="left" vertical="top"/>
    </xf>
    <xf numFmtId="0" fontId="3" fillId="0" borderId="0" xfId="0" applyFont="1" applyAlignment="1">
      <alignment vertical="center"/>
    </xf>
    <xf numFmtId="43" fontId="3" fillId="0" borderId="0" xfId="0" applyNumberFormat="1" applyFont="1" applyAlignment="1">
      <alignment vertical="center"/>
    </xf>
    <xf numFmtId="0" fontId="0" fillId="0" borderId="9" xfId="0" applyBorder="1"/>
    <xf numFmtId="0" fontId="15" fillId="0" borderId="0" xfId="3" applyAlignment="1">
      <alignment horizontal="left" vertical="top"/>
    </xf>
    <xf numFmtId="0" fontId="16" fillId="0" borderId="0" xfId="3" applyFont="1" applyAlignment="1">
      <alignment horizontal="left" vertical="top"/>
    </xf>
    <xf numFmtId="0" fontId="15" fillId="0" borderId="0" xfId="3" applyAlignment="1">
      <alignment horizontal="center"/>
    </xf>
    <xf numFmtId="0" fontId="15" fillId="0" borderId="0" xfId="3" applyAlignment="1">
      <alignment horizontal="center" vertical="top"/>
    </xf>
    <xf numFmtId="174" fontId="15" fillId="0" borderId="0" xfId="1" applyNumberFormat="1" applyFont="1" applyFill="1" applyBorder="1" applyAlignment="1">
      <alignment horizontal="center"/>
    </xf>
    <xf numFmtId="0" fontId="17" fillId="0" borderId="0" xfId="3" applyFont="1" applyAlignment="1">
      <alignment horizontal="center" vertical="top"/>
    </xf>
    <xf numFmtId="0" fontId="16" fillId="3" borderId="10" xfId="3" applyFont="1" applyFill="1" applyBorder="1" applyAlignment="1">
      <alignment horizontal="left" vertical="top" wrapText="1"/>
    </xf>
    <xf numFmtId="0" fontId="16" fillId="3" borderId="11" xfId="3" applyFont="1" applyFill="1" applyBorder="1" applyAlignment="1">
      <alignment horizontal="center" wrapText="1"/>
    </xf>
    <xf numFmtId="174" fontId="16" fillId="3" borderId="11" xfId="1" applyNumberFormat="1" applyFont="1" applyFill="1" applyBorder="1" applyAlignment="1">
      <alignment horizontal="center" wrapText="1"/>
    </xf>
    <xf numFmtId="0" fontId="16" fillId="0" borderId="11" xfId="0" applyFont="1" applyBorder="1" applyAlignment="1">
      <alignment horizontal="left" vertical="top" wrapText="1"/>
    </xf>
    <xf numFmtId="3" fontId="18" fillId="0" borderId="11" xfId="0" applyNumberFormat="1" applyFont="1" applyBorder="1" applyAlignment="1">
      <alignment horizontal="right" vertical="top" shrinkToFit="1"/>
    </xf>
    <xf numFmtId="175" fontId="18" fillId="0" borderId="11" xfId="0" applyNumberFormat="1" applyFont="1" applyBorder="1" applyAlignment="1">
      <alignment horizontal="left" vertical="top" indent="2" shrinkToFit="1"/>
    </xf>
    <xf numFmtId="175" fontId="18" fillId="0" borderId="11" xfId="0" applyNumberFormat="1" applyFont="1" applyBorder="1" applyAlignment="1">
      <alignment horizontal="right" vertical="top" indent="2" shrinkToFit="1"/>
    </xf>
    <xf numFmtId="174" fontId="18" fillId="0" borderId="11" xfId="1" applyNumberFormat="1" applyFont="1" applyFill="1" applyBorder="1" applyAlignment="1">
      <alignment horizontal="center" wrapText="1"/>
    </xf>
    <xf numFmtId="0" fontId="16" fillId="4" borderId="11" xfId="0" applyFont="1" applyFill="1" applyBorder="1" applyAlignment="1">
      <alignment horizontal="left" vertical="top" wrapText="1"/>
    </xf>
    <xf numFmtId="3" fontId="18" fillId="4" borderId="11" xfId="0" applyNumberFormat="1" applyFont="1" applyFill="1" applyBorder="1" applyAlignment="1">
      <alignment horizontal="right" vertical="top" shrinkToFit="1"/>
    </xf>
    <xf numFmtId="175" fontId="18" fillId="4" borderId="11" xfId="0" applyNumberFormat="1" applyFont="1" applyFill="1" applyBorder="1" applyAlignment="1">
      <alignment horizontal="left" vertical="top" indent="2" shrinkToFit="1"/>
    </xf>
    <xf numFmtId="175" fontId="18" fillId="4" borderId="11" xfId="0" applyNumberFormat="1" applyFont="1" applyFill="1" applyBorder="1" applyAlignment="1">
      <alignment horizontal="right" vertical="top" indent="2" shrinkToFit="1"/>
    </xf>
    <xf numFmtId="0" fontId="19" fillId="5" borderId="11" xfId="0" applyFont="1" applyFill="1" applyBorder="1" applyAlignment="1">
      <alignment horizontal="left" vertical="top" wrapText="1"/>
    </xf>
    <xf numFmtId="3" fontId="20" fillId="5" borderId="11" xfId="0" applyNumberFormat="1" applyFont="1" applyFill="1" applyBorder="1" applyAlignment="1">
      <alignment horizontal="right" vertical="top" shrinkToFit="1"/>
    </xf>
    <xf numFmtId="176" fontId="20" fillId="5" borderId="11" xfId="0" applyNumberFormat="1" applyFont="1" applyFill="1" applyBorder="1" applyAlignment="1">
      <alignment horizontal="left" vertical="top" indent="2" shrinkToFit="1"/>
    </xf>
    <xf numFmtId="176" fontId="20" fillId="5" borderId="10" xfId="0" applyNumberFormat="1" applyFont="1" applyFill="1" applyBorder="1" applyAlignment="1">
      <alignment horizontal="right" vertical="top" indent="1" shrinkToFit="1"/>
    </xf>
    <xf numFmtId="0" fontId="16" fillId="0" borderId="12" xfId="0" applyFont="1" applyBorder="1" applyAlignment="1">
      <alignment horizontal="left" vertical="top" wrapText="1"/>
    </xf>
    <xf numFmtId="3" fontId="18" fillId="0" borderId="12" xfId="0" applyNumberFormat="1" applyFont="1" applyBorder="1" applyAlignment="1">
      <alignment horizontal="right" vertical="top" wrapText="1"/>
    </xf>
    <xf numFmtId="175" fontId="18" fillId="0" borderId="12" xfId="0" applyNumberFormat="1" applyFont="1" applyBorder="1" applyAlignment="1">
      <alignment horizontal="left" vertical="top" wrapText="1" indent="2"/>
    </xf>
    <xf numFmtId="175" fontId="18" fillId="0" borderId="13" xfId="0" applyNumberFormat="1" applyFont="1" applyBorder="1" applyAlignment="1">
      <alignment horizontal="right" vertical="top" wrapText="1" indent="1"/>
    </xf>
    <xf numFmtId="3" fontId="18" fillId="4" borderId="11" xfId="0" applyNumberFormat="1" applyFont="1" applyFill="1" applyBorder="1" applyAlignment="1">
      <alignment horizontal="right" vertical="top" wrapText="1"/>
    </xf>
    <xf numFmtId="175" fontId="18" fillId="4" borderId="11" xfId="0" applyNumberFormat="1" applyFont="1" applyFill="1" applyBorder="1" applyAlignment="1">
      <alignment horizontal="left" vertical="top" wrapText="1" indent="2"/>
    </xf>
    <xf numFmtId="175" fontId="18" fillId="4" borderId="10" xfId="0" applyNumberFormat="1" applyFont="1" applyFill="1" applyBorder="1" applyAlignment="1">
      <alignment horizontal="right" vertical="top" wrapText="1" indent="1"/>
    </xf>
    <xf numFmtId="3" fontId="18" fillId="0" borderId="11" xfId="0" applyNumberFormat="1" applyFont="1" applyBorder="1" applyAlignment="1">
      <alignment horizontal="right" vertical="top" wrapText="1"/>
    </xf>
    <xf numFmtId="175" fontId="18" fillId="0" borderId="11" xfId="0" applyNumberFormat="1" applyFont="1" applyBorder="1" applyAlignment="1">
      <alignment horizontal="left" vertical="top" wrapText="1" indent="2"/>
    </xf>
    <xf numFmtId="175" fontId="18" fillId="0" borderId="10" xfId="0" applyNumberFormat="1" applyFont="1" applyBorder="1" applyAlignment="1">
      <alignment horizontal="right" vertical="top" wrapText="1" indent="1"/>
    </xf>
    <xf numFmtId="0" fontId="19" fillId="0" borderId="14" xfId="0" applyFont="1" applyBorder="1" applyAlignment="1">
      <alignment horizontal="left" vertical="top" wrapText="1"/>
    </xf>
    <xf numFmtId="3" fontId="20" fillId="0" borderId="14" xfId="0" applyNumberFormat="1" applyFont="1" applyBorder="1" applyAlignment="1">
      <alignment horizontal="center" wrapText="1"/>
    </xf>
    <xf numFmtId="175" fontId="18" fillId="0" borderId="11" xfId="3" applyNumberFormat="1" applyFont="1" applyBorder="1" applyAlignment="1">
      <alignment horizontal="center" wrapText="1"/>
    </xf>
    <xf numFmtId="0" fontId="19" fillId="6" borderId="11" xfId="0" applyFont="1" applyFill="1" applyBorder="1" applyAlignment="1">
      <alignment horizontal="left" vertical="top" wrapText="1"/>
    </xf>
    <xf numFmtId="3" fontId="20" fillId="6" borderId="11" xfId="0" applyNumberFormat="1" applyFont="1" applyFill="1" applyBorder="1" applyAlignment="1">
      <alignment horizontal="center" wrapText="1"/>
    </xf>
    <xf numFmtId="175" fontId="18" fillId="7" borderId="11" xfId="3" applyNumberFormat="1" applyFont="1" applyFill="1" applyBorder="1" applyAlignment="1">
      <alignment horizontal="center" wrapText="1"/>
    </xf>
    <xf numFmtId="0" fontId="16" fillId="0" borderId="10" xfId="3" applyFont="1" applyBorder="1" applyAlignment="1">
      <alignment horizontal="left" vertical="top" wrapText="1"/>
    </xf>
    <xf numFmtId="0" fontId="16" fillId="7" borderId="10" xfId="3" applyFont="1" applyFill="1" applyBorder="1" applyAlignment="1">
      <alignment horizontal="left" vertical="top" wrapText="1"/>
    </xf>
    <xf numFmtId="3" fontId="18" fillId="7" borderId="11" xfId="3" applyNumberFormat="1" applyFont="1" applyFill="1" applyBorder="1" applyAlignment="1">
      <alignment horizontal="center" wrapText="1"/>
    </xf>
    <xf numFmtId="3" fontId="18" fillId="0" borderId="11" xfId="3" applyNumberFormat="1" applyFont="1" applyBorder="1" applyAlignment="1">
      <alignment horizontal="center" wrapText="1"/>
    </xf>
    <xf numFmtId="0" fontId="16" fillId="7" borderId="11" xfId="3" applyFont="1" applyFill="1" applyBorder="1" applyAlignment="1">
      <alignment horizontal="left" vertical="top" wrapText="1"/>
    </xf>
    <xf numFmtId="0" fontId="16" fillId="0" borderId="11" xfId="3" applyFont="1" applyBorder="1" applyAlignment="1">
      <alignment horizontal="left" vertical="top" wrapText="1"/>
    </xf>
    <xf numFmtId="0" fontId="15" fillId="2" borderId="0" xfId="3" applyFill="1" applyAlignment="1">
      <alignment horizontal="left" vertical="top"/>
    </xf>
    <xf numFmtId="43" fontId="15" fillId="0" borderId="0" xfId="1" applyFont="1" applyFill="1" applyBorder="1" applyAlignment="1">
      <alignment horizontal="center" vertical="top"/>
    </xf>
    <xf numFmtId="43" fontId="15" fillId="0" borderId="0" xfId="3" applyNumberFormat="1" applyAlignment="1">
      <alignment horizontal="center" vertical="top"/>
    </xf>
    <xf numFmtId="0" fontId="21" fillId="0" borderId="0" xfId="0" applyFont="1"/>
    <xf numFmtId="0" fontId="0" fillId="0" borderId="0" xfId="0" applyAlignment="1">
      <alignment horizontal="center"/>
    </xf>
    <xf numFmtId="0" fontId="21" fillId="0" borderId="0" xfId="3" applyFont="1" applyAlignment="1">
      <alignment horizontal="left" vertical="top"/>
    </xf>
    <xf numFmtId="174" fontId="0" fillId="0" borderId="0" xfId="0" applyNumberFormat="1" applyAlignment="1">
      <alignment horizontal="center"/>
    </xf>
    <xf numFmtId="177" fontId="0" fillId="0" borderId="0" xfId="2" applyNumberFormat="1" applyFont="1"/>
    <xf numFmtId="0" fontId="19" fillId="5" borderId="12" xfId="0" applyFont="1" applyFill="1" applyBorder="1" applyAlignment="1">
      <alignment horizontal="left" vertical="top" wrapText="1"/>
    </xf>
    <xf numFmtId="3" fontId="20" fillId="5" borderId="12" xfId="0" applyNumberFormat="1" applyFont="1" applyFill="1" applyBorder="1" applyAlignment="1">
      <alignment horizontal="right" vertical="top" shrinkToFit="1"/>
    </xf>
    <xf numFmtId="176" fontId="20" fillId="5" borderId="12" xfId="0" applyNumberFormat="1" applyFont="1" applyFill="1" applyBorder="1" applyAlignment="1">
      <alignment horizontal="left" vertical="top" indent="2" shrinkToFit="1"/>
    </xf>
    <xf numFmtId="176" fontId="20" fillId="5" borderId="13" xfId="0" applyNumberFormat="1" applyFont="1" applyFill="1" applyBorder="1" applyAlignment="1">
      <alignment horizontal="right" vertical="top" indent="1" shrinkToFit="1"/>
    </xf>
    <xf numFmtId="43" fontId="0" fillId="0" borderId="0" xfId="0" applyNumberFormat="1" applyAlignment="1">
      <alignment horizontal="center"/>
    </xf>
    <xf numFmtId="176" fontId="0" fillId="0" borderId="0" xfId="0" applyNumberFormat="1"/>
    <xf numFmtId="0" fontId="22" fillId="8" borderId="15" xfId="0" applyFont="1" applyFill="1" applyBorder="1" applyAlignment="1">
      <alignment horizontal="left" vertical="center" wrapText="1"/>
    </xf>
    <xf numFmtId="3" fontId="18" fillId="8" borderId="16" xfId="0" applyNumberFormat="1" applyFont="1" applyFill="1" applyBorder="1" applyAlignment="1">
      <alignment horizontal="right" vertical="center" wrapText="1"/>
    </xf>
    <xf numFmtId="8" fontId="18" fillId="8" borderId="16" xfId="0" applyNumberFormat="1" applyFont="1" applyFill="1" applyBorder="1" applyAlignment="1">
      <alignment horizontal="right" vertical="center" wrapText="1"/>
    </xf>
    <xf numFmtId="8" fontId="18" fillId="8" borderId="16" xfId="0" applyNumberFormat="1" applyFont="1" applyFill="1" applyBorder="1" applyAlignment="1">
      <alignment horizontal="center" vertical="center" wrapText="1"/>
    </xf>
    <xf numFmtId="17" fontId="22" fillId="8" borderId="15" xfId="0" applyNumberFormat="1" applyFont="1" applyFill="1" applyBorder="1" applyAlignment="1">
      <alignment horizontal="left" vertical="center" wrapText="1"/>
    </xf>
    <xf numFmtId="0" fontId="10" fillId="0" borderId="0" xfId="0" applyFont="1" applyAlignment="1">
      <alignment horizontal="left" wrapText="1"/>
    </xf>
    <xf numFmtId="0" fontId="0" fillId="0" borderId="0" xfId="0" applyAlignment="1">
      <alignment wrapText="1"/>
    </xf>
    <xf numFmtId="0" fontId="5" fillId="0" borderId="0" xfId="0" applyFont="1" applyAlignment="1">
      <alignment horizontal="left" wrapText="1"/>
    </xf>
    <xf numFmtId="0" fontId="5" fillId="0" borderId="0" xfId="0" applyFont="1" applyAlignment="1">
      <alignment horizontal="left"/>
    </xf>
    <xf numFmtId="0" fontId="10" fillId="0" borderId="0" xfId="0" applyFont="1" applyAlignment="1">
      <alignment horizontal="left" vertical="top" wrapText="1"/>
    </xf>
    <xf numFmtId="0" fontId="12" fillId="0" borderId="0" xfId="0" applyFont="1" applyAlignment="1">
      <alignment horizontal="left" vertical="top" wrapText="1"/>
    </xf>
  </cellXfs>
  <cellStyles count="4">
    <cellStyle name="Comma" xfId="1" builtinId="3"/>
    <cellStyle name="Normal" xfId="0" builtinId="0"/>
    <cellStyle name="Normal 2" xfId="3" xr:uid="{D9F2CD08-2F94-4C77-8EBC-B9D676D9E8F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9524</xdr:rowOff>
    </xdr:from>
    <xdr:to>
      <xdr:col>12</xdr:col>
      <xdr:colOff>311020</xdr:colOff>
      <xdr:row>57</xdr:row>
      <xdr:rowOff>54430</xdr:rowOff>
    </xdr:to>
    <xdr:sp macro="" textlink="">
      <xdr:nvSpPr>
        <xdr:cNvPr id="2" name="TextBox 1">
          <a:extLst>
            <a:ext uri="{FF2B5EF4-FFF2-40B4-BE49-F238E27FC236}">
              <a16:creationId xmlns:a16="http://schemas.microsoft.com/office/drawing/2014/main" id="{10C809A0-60BC-46B0-8FB2-04E25CEE5F52}"/>
            </a:ext>
          </a:extLst>
        </xdr:cNvPr>
        <xdr:cNvSpPr txBox="1"/>
      </xdr:nvSpPr>
      <xdr:spPr>
        <a:xfrm>
          <a:off x="0" y="9524"/>
          <a:ext cx="6982408" cy="10868416"/>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mn-lt"/>
              <a:ea typeface="+mn-ea"/>
              <a:cs typeface="+mn-cs"/>
            </a:rPr>
            <a:t>2020 IEPR Final </a:t>
          </a:r>
          <a:r>
            <a:rPr kumimoji="0" lang="en-US" sz="1400" b="1" i="0" u="none" strike="noStrike" kern="0" cap="none" spc="0" normalizeH="0" baseline="0" noProof="0">
              <a:ln>
                <a:noFill/>
              </a:ln>
              <a:solidFill>
                <a:sysClr val="windowText" lastClr="000000"/>
              </a:solidFill>
              <a:effectLst/>
              <a:uLnTx/>
              <a:uFillTx/>
              <a:latin typeface="Calibri"/>
              <a:ea typeface="+mn-ea"/>
              <a:cs typeface="+mn-cs"/>
            </a:rPr>
            <a:t>GHG Allowance Price Projections</a:t>
          </a:r>
          <a:endParaRPr kumimoji="0" lang="en-US" sz="14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12-17-21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r>
            <a:rPr lang="en-US" sz="1100" b="1" i="0" baseline="0">
              <a:effectLst/>
              <a:latin typeface="+mn-lt"/>
              <a:ea typeface="+mn-ea"/>
              <a:cs typeface="+mn-cs"/>
            </a:rPr>
            <a:t>Author</a:t>
          </a:r>
          <a:r>
            <a:rPr lang="en-US" sz="1100" b="0" i="0" baseline="0">
              <a:effectLst/>
              <a:latin typeface="+mn-lt"/>
              <a:ea typeface="+mn-ea"/>
              <a:cs typeface="+mn-cs"/>
            </a:rPr>
            <a:t>:</a:t>
          </a:r>
          <a:endParaRPr lang="en-US">
            <a:effectLst/>
          </a:endParaRPr>
        </a:p>
        <a:p>
          <a:pPr eaLnBrk="1" fontAlgn="auto" latinLnBrk="0" hangingPunct="1"/>
          <a:r>
            <a:rPr lang="en-US" sz="1100" b="0" i="0" baseline="0">
              <a:effectLst/>
              <a:latin typeface="+mn-lt"/>
              <a:ea typeface="+mn-ea"/>
              <a:cs typeface="+mn-cs"/>
            </a:rPr>
            <a:t>Lynn Marshall, Energy Assessments Division, California Energy Commission. Lynn.Marshall@energy.ca.gov </a:t>
          </a:r>
          <a:endParaRPr lang="en-US">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a:rPr>
            <a:t> </a:t>
          </a:r>
          <a:r>
            <a:rPr lang="en-US" sz="1100" b="0" i="0" u="none" strike="noStrike">
              <a:effectLst/>
              <a:latin typeface="Calibri" panose="020F0502020204030204" pitchFamily="34" charset="0"/>
              <a:ea typeface="+mn-ea"/>
              <a:cs typeface="+mn-cs"/>
            </a:rPr>
            <a:t>This spreadsheet presents preliminary low, mid and high California</a:t>
          </a:r>
          <a:r>
            <a:rPr lang="en-US" sz="1100" b="0" i="0" u="none" strike="noStrike" baseline="0">
              <a:effectLst/>
              <a:latin typeface="Calibri" panose="020F0502020204030204" pitchFamily="34" charset="0"/>
              <a:ea typeface="+mn-ea"/>
              <a:cs typeface="+mn-cs"/>
            </a:rPr>
            <a:t> Greenhouse Gas Allowance </a:t>
          </a:r>
          <a:r>
            <a:rPr lang="en-US" sz="1100" b="0" i="0" u="none" strike="noStrike">
              <a:effectLst/>
              <a:latin typeface="Calibri" panose="020F0502020204030204" pitchFamily="34" charset="0"/>
              <a:ea typeface="+mn-ea"/>
              <a:cs typeface="+mn-cs"/>
            </a:rPr>
            <a:t>price projections for</a:t>
          </a:r>
          <a:r>
            <a:rPr lang="en-US" sz="1100" b="0" i="0" u="none" strike="noStrike" baseline="0">
              <a:effectLst/>
              <a:latin typeface="Calibri" panose="020F0502020204030204" pitchFamily="34" charset="0"/>
              <a:ea typeface="+mn-ea"/>
              <a:cs typeface="+mn-cs"/>
            </a:rPr>
            <a:t> the </a:t>
          </a:r>
          <a:r>
            <a:rPr lang="en-US" sz="1100" b="0" i="1" u="none" strike="noStrike">
              <a:effectLst/>
              <a:latin typeface="Calibri" panose="020F0502020204030204" pitchFamily="34" charset="0"/>
              <a:ea typeface="+mn-ea"/>
              <a:cs typeface="+mn-cs"/>
            </a:rPr>
            <a:t>2021 IEPR </a:t>
          </a:r>
          <a:r>
            <a:rPr lang="en-US" sz="1100" b="0" i="0" u="none" strike="noStrike">
              <a:effectLst/>
              <a:latin typeface="Calibri" panose="020F0502020204030204" pitchFamily="34" charset="0"/>
              <a:ea typeface="+mn-ea"/>
              <a:cs typeface="+mn-cs"/>
            </a:rPr>
            <a:t>common scenarios.</a:t>
          </a:r>
          <a:r>
            <a:rPr lang="en-US" sz="1100" b="0" i="0" u="none" strike="noStrike" baseline="0">
              <a:effectLst/>
              <a:latin typeface="Calibri" panose="020F0502020204030204" pitchFamily="34" charset="0"/>
              <a:ea typeface="+mn-ea"/>
              <a:cs typeface="+mn-cs"/>
            </a:rPr>
            <a:t> </a:t>
          </a:r>
          <a:r>
            <a:rPr lang="en-US" sz="1100" b="0" i="0">
              <a:latin typeface="Calibri" panose="020F0502020204030204" pitchFamily="34" charset="0"/>
            </a:rPr>
            <a:t>T</a:t>
          </a:r>
          <a:r>
            <a:rPr lang="en-US" sz="1100" b="0" i="0" u="none" strike="noStrike">
              <a:effectLst/>
              <a:latin typeface="Calibri" panose="020F0502020204030204" pitchFamily="34" charset="0"/>
              <a:ea typeface="+mn-ea"/>
              <a:cs typeface="+mn-cs"/>
            </a:rPr>
            <a:t>hese projections are consistent</a:t>
          </a:r>
          <a:r>
            <a:rPr lang="en-US" sz="1100" b="0" i="0" u="none" strike="noStrike" baseline="0">
              <a:effectLst/>
              <a:latin typeface="Calibri" panose="020F0502020204030204" pitchFamily="34" charset="0"/>
              <a:ea typeface="+mn-ea"/>
              <a:cs typeface="+mn-cs"/>
            </a:rPr>
            <a:t> with amendments to Regulations for the </a:t>
          </a:r>
          <a:r>
            <a:rPr lang="en-US" sz="1100" b="0" i="0">
              <a:effectLst/>
              <a:latin typeface="Calibri" panose="020F0502020204030204" pitchFamily="34" charset="0"/>
              <a:ea typeface="+mn-ea"/>
              <a:cs typeface="+mn-cs"/>
            </a:rPr>
            <a:t>California Cap on Greenhouse Gas Emissions and Market-Based Compliance Mechanisms</a:t>
          </a:r>
          <a:r>
            <a:rPr lang="en-US" sz="1100" b="0" i="0" u="none" baseline="0">
              <a:effectLst/>
              <a:latin typeface="Calibri" panose="020F0502020204030204" pitchFamily="34" charset="0"/>
              <a:ea typeface="+mn-ea"/>
              <a:cs typeface="+mn-cs"/>
            </a:rPr>
            <a:t> approved by the</a:t>
          </a:r>
          <a:r>
            <a:rPr lang="en-US" sz="1100" b="0" i="0" u="none">
              <a:effectLst/>
              <a:latin typeface="Calibri" panose="020F0502020204030204" pitchFamily="34" charset="0"/>
              <a:ea typeface="+mn-ea"/>
              <a:cs typeface="+mn-cs"/>
            </a:rPr>
            <a:t> </a:t>
          </a:r>
          <a:r>
            <a:rPr lang="en-US" sz="1100" b="0" i="0" baseline="0">
              <a:effectLst/>
              <a:latin typeface="Calibri" panose="020F0502020204030204" pitchFamily="34" charset="0"/>
              <a:ea typeface="+mn-ea"/>
              <a:cs typeface="+mn-cs"/>
            </a:rPr>
            <a:t>California </a:t>
          </a:r>
          <a:r>
            <a:rPr lang="en-US" sz="1100" b="0" i="0">
              <a:effectLst/>
              <a:latin typeface="Calibri" panose="020F0502020204030204" pitchFamily="34" charset="0"/>
              <a:ea typeface="+mn-ea"/>
              <a:cs typeface="+mn-cs"/>
            </a:rPr>
            <a:t>Air Resource Board</a:t>
          </a:r>
          <a:r>
            <a:rPr lang="en-US" sz="1100" b="0" i="0" baseline="0">
              <a:effectLst/>
              <a:latin typeface="Calibri" panose="020F0502020204030204" pitchFamily="34" charset="0"/>
              <a:ea typeface="+mn-ea"/>
              <a:cs typeface="+mn-cs"/>
            </a:rPr>
            <a:t>  (CARB) December 13, 2018</a:t>
          </a:r>
          <a:r>
            <a:rPr lang="en-US" sz="1100" b="0" i="0">
              <a:latin typeface="Calibri" panose="020F0502020204030204" pitchFamily="34" charset="0"/>
            </a:rPr>
            <a:t>. </a:t>
          </a:r>
          <a:r>
            <a:rPr lang="en-US" sz="1100" b="0" i="0">
              <a:effectLst/>
              <a:latin typeface="Calibri" panose="020F0502020204030204" pitchFamily="34" charset="0"/>
              <a:ea typeface="+mn-ea"/>
              <a:cs typeface="+mn-cs"/>
            </a:rPr>
            <a:t>The adopted regulations have the following  features: </a:t>
          </a:r>
        </a:p>
        <a:p>
          <a:pPr marL="171450" indent="-171450">
            <a:buFont typeface="Arial" panose="020B0604020202020204" pitchFamily="34" charset="0"/>
            <a:buChar char="•"/>
          </a:pPr>
          <a:r>
            <a:rPr lang="en-US" sz="1100" b="0" i="0">
              <a:effectLst/>
              <a:latin typeface="Calibri" panose="020F0502020204030204" pitchFamily="34" charset="0"/>
              <a:ea typeface="+mn-ea"/>
              <a:cs typeface="+mn-cs"/>
            </a:rPr>
            <a:t> A $65 (nominal) price ceiling value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 new post-2020 Reserve Tier 1 price fixed at the halfway point of the Auction Reserve Price (floor price) and price ceiling in all years ($41.40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 new post-2020 Reserve Tier 2 price fixed at the three-quarter point of the Auction Reserve Price and the price ceiling in all years ($53.2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After 2021, tier prices and the price ceiling escalate annually at 5 percent plus inflation, measured</a:t>
          </a:r>
          <a:r>
            <a:rPr lang="en-US" sz="1100" b="0" i="0" baseline="0">
              <a:effectLst/>
              <a:latin typeface="Calibri" panose="020F0502020204030204" pitchFamily="34" charset="0"/>
              <a:ea typeface="+mn-ea"/>
              <a:cs typeface="+mn-cs"/>
            </a:rPr>
            <a:t> by the all-urban Consumer Price Index (CPI)</a:t>
          </a:r>
          <a:r>
            <a:rPr lang="en-US" sz="1100" b="0" i="0">
              <a:effectLst/>
              <a:latin typeface="Calibri" panose="020F0502020204030204" pitchFamily="34" charset="0"/>
              <a:ea typeface="+mn-ea"/>
              <a:cs typeface="+mn-cs"/>
            </a:rPr>
            <a:t>. The Auction Reserve Price</a:t>
          </a:r>
          <a:r>
            <a:rPr lang="en-US" sz="1100" b="0" i="0" baseline="0">
              <a:effectLst/>
              <a:latin typeface="Calibri" panose="020F0502020204030204" pitchFamily="34" charset="0"/>
              <a:ea typeface="+mn-ea"/>
              <a:cs typeface="+mn-cs"/>
            </a:rPr>
            <a:t> </a:t>
          </a:r>
          <a:r>
            <a:rPr lang="en-US" sz="1100" b="0" i="0">
              <a:effectLst/>
              <a:latin typeface="Calibri" panose="020F0502020204030204" pitchFamily="34" charset="0"/>
              <a:ea typeface="+mn-ea"/>
              <a:cs typeface="+mn-cs"/>
            </a:rPr>
            <a:t>escalates at the same rate.</a:t>
          </a:r>
        </a:p>
        <a:p>
          <a:r>
            <a:rPr lang="en-US" sz="1100" b="0" i="0">
              <a:effectLst/>
              <a:latin typeface="Calibri" panose="020F0502020204030204" pitchFamily="34" charset="0"/>
              <a:ea typeface="+mn-ea"/>
              <a:cs typeface="+mn-cs"/>
            </a:rPr>
            <a:t>When prices reach a given tier price, regulated entities may purchase from a pool of allowances set aside for that tier. If prices reach the ceiling, CARB must make unlimited allowances available</a:t>
          </a:r>
          <a:r>
            <a:rPr lang="en-US" sz="1100" b="0" i="0">
              <a:effectLst/>
              <a:latin typeface="+mn-lt"/>
              <a:ea typeface="+mn-ea"/>
              <a:cs typeface="+mn-cs"/>
            </a:rPr>
            <a:t> at that</a:t>
          </a:r>
          <a:r>
            <a:rPr lang="en-US" sz="1100" b="0" i="0" baseline="0">
              <a:effectLst/>
              <a:latin typeface="+mn-lt"/>
              <a:ea typeface="+mn-ea"/>
              <a:cs typeface="+mn-cs"/>
            </a:rPr>
            <a:t> price</a:t>
          </a:r>
          <a:r>
            <a:rPr lang="en-US" sz="1100" b="0" i="0">
              <a:effectLst/>
              <a:latin typeface="+mn-lt"/>
              <a:ea typeface="+mn-ea"/>
              <a:cs typeface="+mn-cs"/>
            </a:rPr>
            <a:t>, although CARB has indicated it believes the price ceiling is extremely unlikely to be reached</a:t>
          </a:r>
          <a:r>
            <a:rPr lang="en-US" sz="1100" b="0" i="0">
              <a:effectLst/>
              <a:latin typeface="Calibri" panose="020F0502020204030204" pitchFamily="34" charset="0"/>
              <a:ea typeface="+mn-ea"/>
              <a:cs typeface="+mn-cs"/>
            </a:rPr>
            <a:t>. Meanwhile, the</a:t>
          </a:r>
          <a:r>
            <a:rPr lang="en-US" sz="1100" b="0" i="0" baseline="0">
              <a:effectLst/>
              <a:latin typeface="Calibri" panose="020F0502020204030204" pitchFamily="34" charset="0"/>
              <a:ea typeface="+mn-ea"/>
              <a:cs typeface="+mn-cs"/>
            </a:rPr>
            <a:t> increased supply of</a:t>
          </a:r>
          <a:r>
            <a:rPr lang="en-US" sz="1100" b="0" i="0">
              <a:effectLst/>
              <a:latin typeface="Calibri" panose="020F0502020204030204" pitchFamily="34" charset="0"/>
              <a:ea typeface="+mn-ea"/>
              <a:cs typeface="+mn-cs"/>
            </a:rPr>
            <a:t> allowances at Tier 1 and Tier 2 will slow price increases at those levels. In scenario analysis of similar</a:t>
          </a:r>
          <a:r>
            <a:rPr lang="en-US" sz="1100" b="0" i="0" baseline="0">
              <a:effectLst/>
              <a:latin typeface="Calibri" panose="020F0502020204030204" pitchFamily="34" charset="0"/>
              <a:ea typeface="+mn-ea"/>
              <a:cs typeface="+mn-cs"/>
            </a:rPr>
            <a:t> structures, </a:t>
          </a:r>
          <a:r>
            <a:rPr lang="en-US" sz="1100" b="0" i="0">
              <a:effectLst/>
              <a:latin typeface="+mn-lt"/>
              <a:ea typeface="+mn-ea"/>
              <a:cs typeface="+mn-cs"/>
            </a:rPr>
            <a:t>Borenstein,</a:t>
          </a:r>
          <a:r>
            <a:rPr lang="en-US" sz="1100" b="0" i="0" baseline="0">
              <a:effectLst/>
              <a:latin typeface="+mn-lt"/>
              <a:ea typeface="+mn-ea"/>
              <a:cs typeface="+mn-cs"/>
            </a:rPr>
            <a:t> Bushell and Wolak (2017)</a:t>
          </a:r>
          <a:r>
            <a:rPr lang="en-US" sz="1100" b="0" i="0" baseline="0">
              <a:effectLst/>
              <a:latin typeface="Calibri" panose="020F0502020204030204" pitchFamily="34" charset="0"/>
              <a:ea typeface="+mn-ea"/>
              <a:cs typeface="+mn-cs"/>
            </a:rPr>
            <a:t> found probability-weighted expected prices in 2030 in the $40-$60 range, but with high probabilities of being either at the cap or floor price. </a:t>
          </a:r>
          <a:r>
            <a:rPr lang="en-US" sz="1100" b="0" i="0">
              <a:effectLst/>
              <a:latin typeface="Calibri" panose="020F0502020204030204" pitchFamily="34" charset="0"/>
              <a:ea typeface="+mn-ea"/>
              <a:cs typeface="+mn-cs"/>
            </a:rPr>
            <a:t>For the </a:t>
          </a:r>
          <a:r>
            <a:rPr lang="en-US" sz="1100" b="0" i="1">
              <a:effectLst/>
              <a:latin typeface="Calibri" panose="020F0502020204030204" pitchFamily="34" charset="0"/>
              <a:ea typeface="+mn-ea"/>
              <a:cs typeface="+mn-cs"/>
            </a:rPr>
            <a:t>2021 IEPR </a:t>
          </a:r>
          <a:r>
            <a:rPr lang="en-US" sz="1100" b="0" i="0">
              <a:effectLst/>
              <a:latin typeface="Calibri" panose="020F0502020204030204" pitchFamily="34" charset="0"/>
              <a:ea typeface="+mn-ea"/>
              <a:cs typeface="+mn-cs"/>
            </a:rPr>
            <a:t>scenarios, therefore, staff selected </a:t>
          </a:r>
          <a:r>
            <a:rPr lang="en-US" sz="1100" b="0" i="0">
              <a:effectLst/>
              <a:latin typeface="+mn-lt"/>
              <a:ea typeface="+mn-ea"/>
              <a:cs typeface="+mn-cs"/>
            </a:rPr>
            <a:t>the 2035 Tier 1 price for</a:t>
          </a:r>
          <a:r>
            <a:rPr lang="en-US" sz="1100" b="0" i="0" baseline="0">
              <a:effectLst/>
              <a:latin typeface="+mn-lt"/>
              <a:ea typeface="+mn-ea"/>
              <a:cs typeface="+mn-cs"/>
            </a:rPr>
            <a:t> the mid case, </a:t>
          </a:r>
          <a:r>
            <a:rPr lang="en-US" sz="1100" b="0" i="0">
              <a:effectLst/>
              <a:latin typeface="Calibri" panose="020F0502020204030204" pitchFamily="34" charset="0"/>
              <a:ea typeface="+mn-ea"/>
              <a:cs typeface="+mn-cs"/>
            </a:rPr>
            <a:t>the Tier 2 price for the low</a:t>
          </a:r>
          <a:r>
            <a:rPr lang="en-US" sz="1100" b="0" i="0" baseline="0">
              <a:effectLst/>
              <a:latin typeface="Calibri" panose="020F0502020204030204" pitchFamily="34" charset="0"/>
              <a:ea typeface="+mn-ea"/>
              <a:cs typeface="+mn-cs"/>
            </a:rPr>
            <a:t> demand (high price)</a:t>
          </a:r>
          <a:r>
            <a:rPr lang="en-US" sz="1100" b="0" i="0">
              <a:effectLst/>
              <a:latin typeface="Calibri" panose="020F0502020204030204" pitchFamily="34" charset="0"/>
              <a:ea typeface="+mn-ea"/>
              <a:cs typeface="+mn-cs"/>
            </a:rPr>
            <a:t> case, and continues to use the Auction Reserve Price in the high demand (low price) case.</a:t>
          </a:r>
          <a:endParaRPr lang="en-US" sz="1100" b="0" i="0">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Because credits are bankable over time, economic theory predicts that the price in any given year will equal the present discounted value of the final equilibrium price, so in the low demand case, prices increase at the rate which produces a final nominal price of $141, the estimated  2035 Tier 2 price. In the high consumption (low price) scenario, prices are assumed to stay at the auction reserve price, which escalates at the rate of the auction reserve price (CPI+5%). In the mid case, the prices are escalated  to reach the expected Tier 1 price of $110  by 2035.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Sources: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The quarterly posted GHG auction price results: http://www.arb.ca.gov/cc/capandtrade/auction/auction.htm.  All prices are in USD.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2021 IEPR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Deflator Series, using Moody's Analytics, May 2021 GDP Deflator and CPI Forecast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CARB </a:t>
          </a:r>
          <a:r>
            <a:rPr lang="en-US" sz="1100" b="0" i="1">
              <a:effectLst/>
              <a:latin typeface="Calibri" panose="020F0502020204030204" pitchFamily="34" charset="0"/>
              <a:ea typeface="+mn-ea"/>
              <a:cs typeface="+mn-cs"/>
            </a:rPr>
            <a:t>California Cap on Greenhouse Gas Emissions and Market-Based Compliance Mechanisms Regulation</a:t>
          </a:r>
          <a:r>
            <a:rPr lang="en-US" sz="1100" b="0" i="0">
              <a:effectLst/>
              <a:latin typeface="Calibri" panose="020F0502020204030204" pitchFamily="34" charset="0"/>
              <a:ea typeface="+mn-ea"/>
              <a:cs typeface="+mn-cs"/>
            </a:rPr>
            <a:t>,</a:t>
          </a:r>
          <a:r>
            <a:rPr lang="en-US" sz="1100" b="0" i="0" baseline="0">
              <a:effectLst/>
              <a:latin typeface="Calibri" panose="020F0502020204030204" pitchFamily="34" charset="0"/>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https://www.arb.ca.gov/regact/2018/capandtrade18/capandtrade18.htm.</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baseline="0">
              <a:effectLst/>
              <a:latin typeface="Calibri" panose="020F0502020204030204" pitchFamily="34" charset="0"/>
              <a:ea typeface="+mn-ea"/>
              <a:cs typeface="+mn-cs"/>
            </a:rPr>
            <a:t>Staff Report: Initial Statement of Reasons</a:t>
          </a:r>
          <a:r>
            <a:rPr lang="en-US" sz="1100" b="0" i="0" baseline="0">
              <a:effectLst/>
              <a:latin typeface="Calibri" panose="020F0502020204030204" pitchFamily="34" charset="0"/>
              <a:ea typeface="+mn-ea"/>
              <a:cs typeface="+mn-cs"/>
            </a:rPr>
            <a:t>, September 4, 2018,  https://www.arb.ca.gov/regact/2018/capandtrade18/ct18isor.pdf</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effectLst/>
              <a:latin typeface="+mn-lt"/>
              <a:ea typeface="+mn-ea"/>
              <a:cs typeface="+mn-cs"/>
            </a:rPr>
            <a:t>"Expecting the Unexpected: Emissions Uncertainty and Environmental Market Design", Borenstein,</a:t>
          </a:r>
          <a:r>
            <a:rPr lang="en-US" sz="1100" b="0" i="0" baseline="0">
              <a:effectLst/>
              <a:latin typeface="+mn-lt"/>
              <a:ea typeface="+mn-ea"/>
              <a:cs typeface="+mn-cs"/>
            </a:rPr>
            <a:t> Bushell and Wolak, July 2017, </a:t>
          </a:r>
          <a:r>
            <a:rPr lang="en-US" sz="1100" b="0" i="0">
              <a:effectLst/>
              <a:latin typeface="+mn-lt"/>
              <a:ea typeface="+mn-ea"/>
              <a:cs typeface="+mn-cs"/>
            </a:rPr>
            <a:t>https://ei.haas.berkeley.edu/research/papers/WP281.pdf</a:t>
          </a:r>
          <a:endParaRPr lang="en-US" sz="1100">
            <a:effectLst/>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Key Caveats: </a:t>
          </a:r>
          <a:r>
            <a:rPr lang="en-US" sz="1100" b="0" i="0">
              <a:effectLst/>
              <a:latin typeface="Calibri" panose="020F0502020204030204" pitchFamily="34" charset="0"/>
              <a:ea typeface="+mn-ea"/>
              <a:cs typeface="+mn-cs"/>
            </a:rPr>
            <a:t>Because of the many non-market policies that affect California emissions and abatement, emissions uncertainty is very large and increases the probability that prices will be near the floor or ceiling. </a:t>
          </a:r>
          <a:r>
            <a:rPr lang="en-US" sz="1100" b="0" i="0">
              <a:effectLst/>
              <a:latin typeface="+mn-lt"/>
              <a:ea typeface="+mn-ea"/>
              <a:cs typeface="+mn-cs"/>
            </a:rPr>
            <a:t>For an analysis of this issue under the previously adopted CARB regulations, see "Expecting the Unexpected: Emissions Uncertainty and Environmental Market Design", Borenstein,</a:t>
          </a:r>
          <a:r>
            <a:rPr lang="en-US" sz="1100" b="0" i="0" baseline="0">
              <a:effectLst/>
              <a:latin typeface="+mn-lt"/>
              <a:ea typeface="+mn-ea"/>
              <a:cs typeface="+mn-cs"/>
            </a:rPr>
            <a:t> Bushell et al., June 2018, </a:t>
          </a:r>
          <a:r>
            <a:rPr lang="en-US" sz="1100" b="0" i="0">
              <a:effectLst/>
              <a:latin typeface="+mn-lt"/>
              <a:ea typeface="+mn-ea"/>
              <a:cs typeface="+mn-cs"/>
            </a:rPr>
            <a:t>https://ei.haas.berkeley.edu/research/papers/WP274.pdf</a:t>
          </a:r>
          <a:r>
            <a:rPr lang="en-US" sz="1100" b="0" i="0">
              <a:effectLst/>
              <a:latin typeface="Calibri" panose="020F0502020204030204" pitchFamily="34" charset="0"/>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Major Updates: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Dec. 2021: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2022 auction reserve price to 19.7; incorporated 2021 auction data.</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effectLst/>
              <a:latin typeface="+mn-lt"/>
              <a:ea typeface="+mn-ea"/>
              <a:cs typeface="+mn-cs"/>
            </a:rPr>
            <a:t>Sept. 2021 </a:t>
          </a:r>
          <a:r>
            <a:rPr lang="en-US" sz="1100" b="0" i="0" baseline="0">
              <a:effectLst/>
              <a:latin typeface="+mn-lt"/>
              <a:ea typeface="+mn-ea"/>
              <a:cs typeface="+mn-cs"/>
            </a:rPr>
            <a:t>Updated 2021 price to include August 2021 auction and updated deflators.</a:t>
          </a: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April 2021: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Set tier 1 price target for 2035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January 2020: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Incorporated </a:t>
          </a:r>
          <a:r>
            <a:rPr lang="en-US" sz="1100" b="0" i="0" baseline="0">
              <a:effectLst/>
              <a:latin typeface="+mn-lt"/>
              <a:ea typeface="+mn-ea"/>
              <a:cs typeface="+mn-cs"/>
            </a:rPr>
            <a:t>2019 auction results and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2020 auction reserve price of $16.68 (https://ww3.arb.ca.gov/cc/capandtrade/auction/feb-2020/notice.pdf).  Updated GDP and CPI series with June 2019 Moody's projections. Added 2045 mid-case scenario developed for time dependent valuation for the Title 24 Building Standards.</a:t>
          </a:r>
          <a:endParaRPr lang="en-US" sz="1100" b="0" i="0">
            <a:effectLst/>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March 2019</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 This is the first version modeling revised regulations per AB 398 and incorporates  comments received from CARB 3/12/2019. Previous carbon price forecasts are documented in https://efiling.energy.ca.gov/GetDocument.aspx?tn=222145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Rates/2021%20IEPR/August%20IA%20Workshop/wepchart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pCht"/>
      <sheetName val="Chart2"/>
      <sheetName val="cap price"/>
      <sheetName val="CAPACITY"/>
      <sheetName val="graph new data"/>
      <sheetName val="quarterly 2020 coss"/>
      <sheetName val="wepdata"/>
      <sheetName val="Sheet4"/>
    </sheetNames>
    <sheetDataSet>
      <sheetData sheetId="0" refreshError="1"/>
      <sheetData sheetId="1" refreshError="1"/>
      <sheetData sheetId="2" refreshError="1"/>
      <sheetData sheetId="3" refreshError="1"/>
      <sheetData sheetId="4">
        <row r="27">
          <cell r="I27">
            <v>2014</v>
          </cell>
        </row>
      </sheetData>
      <sheetData sheetId="5" refreshError="1"/>
      <sheetData sheetId="6" refreshError="1"/>
      <sheetData sheetId="7">
        <row r="1">
          <cell r="B1" t="str">
            <v>June 2020 for 2020 update</v>
          </cell>
          <cell r="C1">
            <v>44317</v>
          </cell>
          <cell r="D1" t="str">
            <v>idx20</v>
          </cell>
        </row>
        <row r="2">
          <cell r="A2">
            <v>1970</v>
          </cell>
          <cell r="B2">
            <v>19.060561838173317</v>
          </cell>
          <cell r="C2">
            <v>19.080406654343808</v>
          </cell>
          <cell r="D2">
            <v>0.19080406654343807</v>
          </cell>
        </row>
        <row r="3">
          <cell r="A3">
            <v>1971</v>
          </cell>
          <cell r="B3">
            <v>20.025581230273112</v>
          </cell>
          <cell r="C3">
            <v>20.04643077193909</v>
          </cell>
          <cell r="D3">
            <v>0.20046430771939089</v>
          </cell>
        </row>
        <row r="4">
          <cell r="A4">
            <v>1972</v>
          </cell>
          <cell r="B4">
            <v>20.888822950723199</v>
          </cell>
          <cell r="C4">
            <v>20.910571252530588</v>
          </cell>
          <cell r="D4">
            <v>0.20910571252530588</v>
          </cell>
        </row>
        <row r="5">
          <cell r="A5">
            <v>1973</v>
          </cell>
          <cell r="B5">
            <v>22.03541546762354</v>
          </cell>
          <cell r="C5">
            <v>22.058357538949036</v>
          </cell>
          <cell r="D5">
            <v>0.22058357538949036</v>
          </cell>
        </row>
        <row r="6">
          <cell r="A6">
            <v>1974</v>
          </cell>
          <cell r="B6">
            <v>24.024366597400064</v>
          </cell>
          <cell r="C6">
            <v>24.049379456033801</v>
          </cell>
          <cell r="D6">
            <v>0.24049379456033801</v>
          </cell>
        </row>
        <row r="7">
          <cell r="A7">
            <v>1975</v>
          </cell>
          <cell r="B7">
            <v>26.238415644604871</v>
          </cell>
          <cell r="C7">
            <v>26.265733650206851</v>
          </cell>
          <cell r="D7">
            <v>0.26265733650206852</v>
          </cell>
        </row>
        <row r="8">
          <cell r="A8">
            <v>1976</v>
          </cell>
          <cell r="B8">
            <v>27.686824021494509</v>
          </cell>
          <cell r="C8">
            <v>27.715650030807144</v>
          </cell>
          <cell r="D8">
            <v>0.27715650030807143</v>
          </cell>
        </row>
        <row r="9">
          <cell r="A9">
            <v>1977</v>
          </cell>
          <cell r="B9">
            <v>29.403415464070203</v>
          </cell>
          <cell r="C9">
            <v>29.434028694657162</v>
          </cell>
          <cell r="D9">
            <v>0.29434028694657161</v>
          </cell>
        </row>
        <row r="10">
          <cell r="A10">
            <v>1978</v>
          </cell>
          <cell r="B10">
            <v>31.46490791489294</v>
          </cell>
          <cell r="C10">
            <v>31.497667458850447</v>
          </cell>
          <cell r="D10">
            <v>0.31497667458850448</v>
          </cell>
        </row>
        <row r="11">
          <cell r="A11">
            <v>1979</v>
          </cell>
          <cell r="B11">
            <v>34.086946937436529</v>
          </cell>
          <cell r="C11">
            <v>34.12243640524602</v>
          </cell>
          <cell r="D11">
            <v>0.34122436405246021</v>
          </cell>
        </row>
        <row r="12">
          <cell r="A12">
            <v>1980</v>
          </cell>
          <cell r="B12">
            <v>37.171052192826068</v>
          </cell>
          <cell r="C12">
            <v>37.209752662617724</v>
          </cell>
          <cell r="D12">
            <v>0.37209752662617723</v>
          </cell>
        </row>
        <row r="13">
          <cell r="A13">
            <v>1981</v>
          </cell>
          <cell r="B13">
            <v>40.687987330458093</v>
          </cell>
          <cell r="C13">
            <v>40.730349441070331</v>
          </cell>
          <cell r="D13">
            <v>0.40730349441070329</v>
          </cell>
        </row>
        <row r="14">
          <cell r="A14">
            <v>1982</v>
          </cell>
          <cell r="B14">
            <v>43.200994549247348</v>
          </cell>
          <cell r="C14">
            <v>43.245973065751258</v>
          </cell>
          <cell r="D14">
            <v>0.43245973065751259</v>
          </cell>
        </row>
        <row r="15">
          <cell r="A15">
            <v>1983</v>
          </cell>
          <cell r="B15">
            <v>44.883073908779835</v>
          </cell>
          <cell r="C15">
            <v>44.929803714461755</v>
          </cell>
          <cell r="D15">
            <v>0.44929803714461758</v>
          </cell>
        </row>
        <row r="16">
          <cell r="A16">
            <v>1984</v>
          </cell>
          <cell r="B16">
            <v>46.507120211475332</v>
          </cell>
          <cell r="C16">
            <v>46.555540885485435</v>
          </cell>
          <cell r="D16">
            <v>0.46555540885485436</v>
          </cell>
        </row>
        <row r="17">
          <cell r="A17">
            <v>1985</v>
          </cell>
          <cell r="B17">
            <v>47.979709028713714</v>
          </cell>
          <cell r="C17">
            <v>48.029662881788575</v>
          </cell>
          <cell r="D17">
            <v>0.48029662881788576</v>
          </cell>
        </row>
        <row r="18">
          <cell r="A18">
            <v>1986</v>
          </cell>
          <cell r="B18">
            <v>48.948245575773335</v>
          </cell>
          <cell r="C18">
            <v>48.999207816213371</v>
          </cell>
          <cell r="D18">
            <v>0.48999207816213369</v>
          </cell>
        </row>
        <row r="19">
          <cell r="A19">
            <v>1987</v>
          </cell>
          <cell r="B19">
            <v>50.154849549175545</v>
          </cell>
          <cell r="C19">
            <v>50.207068039785227</v>
          </cell>
          <cell r="D19">
            <v>0.5020706803978523</v>
          </cell>
        </row>
        <row r="20">
          <cell r="A20">
            <v>1988</v>
          </cell>
          <cell r="B20">
            <v>51.922879383038563</v>
          </cell>
          <cell r="C20">
            <v>51.976938649766751</v>
          </cell>
          <cell r="D20">
            <v>0.51976938649766746</v>
          </cell>
        </row>
        <row r="21">
          <cell r="A21">
            <v>1989</v>
          </cell>
          <cell r="B21">
            <v>53.961949970992471</v>
          </cell>
          <cell r="C21">
            <v>54.01813220667195</v>
          </cell>
          <cell r="D21">
            <v>0.54018132206671954</v>
          </cell>
        </row>
        <row r="22">
          <cell r="A22">
            <v>1990</v>
          </cell>
          <cell r="B22">
            <v>55.986292472552144</v>
          </cell>
          <cell r="C22">
            <v>56.044582343103599</v>
          </cell>
          <cell r="D22">
            <v>0.56044582343103599</v>
          </cell>
        </row>
        <row r="23">
          <cell r="A23">
            <v>1991</v>
          </cell>
          <cell r="B23">
            <v>57.876323619083827</v>
          </cell>
          <cell r="C23">
            <v>57.936581286858562</v>
          </cell>
          <cell r="D23">
            <v>0.57936581286858557</v>
          </cell>
        </row>
        <row r="24">
          <cell r="A24">
            <v>1992</v>
          </cell>
          <cell r="B24">
            <v>59.193498151535302</v>
          </cell>
          <cell r="C24">
            <v>59.255127189507981</v>
          </cell>
          <cell r="D24">
            <v>0.59255127189507983</v>
          </cell>
        </row>
        <row r="25">
          <cell r="A25">
            <v>1993</v>
          </cell>
          <cell r="B25">
            <v>60.597282624872243</v>
          </cell>
          <cell r="C25">
            <v>60.66037320658392</v>
          </cell>
          <cell r="D25">
            <v>0.60660373206583917</v>
          </cell>
        </row>
        <row r="26">
          <cell r="A26">
            <v>1994</v>
          </cell>
          <cell r="B26">
            <v>61.890496539159969</v>
          </cell>
          <cell r="C26">
            <v>61.954933544582339</v>
          </cell>
          <cell r="D26">
            <v>0.61954933544582336</v>
          </cell>
        </row>
        <row r="27">
          <cell r="A27">
            <v>1995</v>
          </cell>
          <cell r="B27">
            <v>63.18964565244238</v>
          </cell>
          <cell r="C27">
            <v>63.255435260980555</v>
          </cell>
          <cell r="D27">
            <v>0.63255435260980553</v>
          </cell>
        </row>
        <row r="28">
          <cell r="A28">
            <v>1996</v>
          </cell>
          <cell r="B28">
            <v>64.345690523297236</v>
          </cell>
          <cell r="C28">
            <v>64.412683742628303</v>
          </cell>
          <cell r="D28">
            <v>0.64412683742628307</v>
          </cell>
        </row>
        <row r="29">
          <cell r="A29">
            <v>1997</v>
          </cell>
          <cell r="B29">
            <v>65.455792557489474</v>
          </cell>
          <cell r="C29">
            <v>65.523941554440626</v>
          </cell>
          <cell r="D29">
            <v>0.65523941554440623</v>
          </cell>
        </row>
        <row r="30">
          <cell r="A30">
            <v>1998</v>
          </cell>
          <cell r="B30">
            <v>66.192196877201155</v>
          </cell>
          <cell r="C30">
            <v>66.26111257811813</v>
          </cell>
          <cell r="D30">
            <v>0.66261112578118131</v>
          </cell>
        </row>
        <row r="31">
          <cell r="A31">
            <v>1999</v>
          </cell>
          <cell r="B31">
            <v>67.147324270976455</v>
          </cell>
          <cell r="C31">
            <v>67.217234398380413</v>
          </cell>
          <cell r="D31">
            <v>0.6721723439838041</v>
          </cell>
        </row>
        <row r="32">
          <cell r="A32">
            <v>2000</v>
          </cell>
          <cell r="B32">
            <v>68.648929616633339</v>
          </cell>
          <cell r="C32">
            <v>68.720403133526972</v>
          </cell>
          <cell r="D32">
            <v>0.68720403133526975</v>
          </cell>
        </row>
        <row r="33">
          <cell r="A33">
            <v>2001</v>
          </cell>
          <cell r="B33">
            <v>70.158228738764805</v>
          </cell>
          <cell r="C33">
            <v>70.231273655488067</v>
          </cell>
          <cell r="D33">
            <v>0.70231273655488069</v>
          </cell>
        </row>
        <row r="34">
          <cell r="A34">
            <v>2002</v>
          </cell>
          <cell r="B34">
            <v>71.266792017662141</v>
          </cell>
          <cell r="C34">
            <v>71.340991109937505</v>
          </cell>
          <cell r="D34">
            <v>0.71340991109937502</v>
          </cell>
        </row>
        <row r="35">
          <cell r="A35">
            <v>2003</v>
          </cell>
          <cell r="B35">
            <v>72.586164771963482</v>
          </cell>
          <cell r="C35">
            <v>72.661737523105344</v>
          </cell>
          <cell r="D35">
            <v>0.72661737523105341</v>
          </cell>
        </row>
        <row r="36">
          <cell r="A36">
            <v>2004</v>
          </cell>
          <cell r="B36">
            <v>74.539944352141845</v>
          </cell>
          <cell r="C36">
            <v>74.617551271895067</v>
          </cell>
          <cell r="D36">
            <v>0.74617551271895066</v>
          </cell>
        </row>
        <row r="37">
          <cell r="A37">
            <v>2005</v>
          </cell>
          <cell r="B37">
            <v>76.862805380916001</v>
          </cell>
          <cell r="C37">
            <v>76.942830736730926</v>
          </cell>
          <cell r="D37">
            <v>0.76942830736730927</v>
          </cell>
        </row>
        <row r="38">
          <cell r="A38">
            <v>2006</v>
          </cell>
          <cell r="B38">
            <v>79.192041253054811</v>
          </cell>
          <cell r="C38">
            <v>79.274491682070234</v>
          </cell>
          <cell r="D38">
            <v>0.79274491682070236</v>
          </cell>
        </row>
        <row r="39">
          <cell r="A39">
            <v>2007</v>
          </cell>
          <cell r="B39">
            <v>81.318820892819147</v>
          </cell>
          <cell r="C39">
            <v>81.403485608661214</v>
          </cell>
          <cell r="D39">
            <v>0.81403485608661219</v>
          </cell>
        </row>
        <row r="40">
          <cell r="A40">
            <v>2008</v>
          </cell>
          <cell r="B40">
            <v>82.907036179361526</v>
          </cell>
          <cell r="C40">
            <v>82.993354458234307</v>
          </cell>
          <cell r="D40">
            <v>0.82993354458234303</v>
          </cell>
        </row>
        <row r="41">
          <cell r="A41">
            <v>2009</v>
          </cell>
          <cell r="B41">
            <v>83.534848339688878</v>
          </cell>
          <cell r="C41">
            <v>83.621820262300872</v>
          </cell>
          <cell r="D41">
            <v>0.83621820262300872</v>
          </cell>
        </row>
        <row r="42">
          <cell r="A42">
            <v>2010</v>
          </cell>
          <cell r="B42">
            <v>84.505583108598358</v>
          </cell>
          <cell r="C42">
            <v>84.593565707244096</v>
          </cell>
          <cell r="D42">
            <v>0.84593565707244101</v>
          </cell>
        </row>
        <row r="43">
          <cell r="A43">
            <v>2011</v>
          </cell>
          <cell r="B43">
            <v>86.271634542796463</v>
          </cell>
          <cell r="C43">
            <v>86.361455857758997</v>
          </cell>
          <cell r="D43">
            <v>0.86361455857758995</v>
          </cell>
        </row>
        <row r="44">
          <cell r="A44">
            <v>2012</v>
          </cell>
          <cell r="B44">
            <v>87.927774884500309</v>
          </cell>
          <cell r="C44">
            <v>88.019320482351901</v>
          </cell>
          <cell r="D44">
            <v>0.88019320482351904</v>
          </cell>
        </row>
        <row r="45">
          <cell r="A45">
            <v>2013</v>
          </cell>
          <cell r="B45">
            <v>89.468728401270127</v>
          </cell>
          <cell r="C45">
            <v>89.561878355778546</v>
          </cell>
          <cell r="D45">
            <v>0.89561878355778546</v>
          </cell>
        </row>
        <row r="46">
          <cell r="A46">
            <v>2014</v>
          </cell>
          <cell r="B46">
            <v>91.122670521124078</v>
          </cell>
          <cell r="C46">
            <v>91.217542469853015</v>
          </cell>
          <cell r="D46">
            <v>0.91217542469853019</v>
          </cell>
        </row>
        <row r="47">
          <cell r="A47">
            <v>2015</v>
          </cell>
          <cell r="B47">
            <v>92.075160048679521</v>
          </cell>
          <cell r="C47">
            <v>92.089164686207198</v>
          </cell>
          <cell r="D47">
            <v>0.92089164686207203</v>
          </cell>
        </row>
        <row r="48">
          <cell r="A48">
            <v>2016</v>
          </cell>
          <cell r="B48">
            <v>93.02699010968</v>
          </cell>
          <cell r="C48">
            <v>93.054308599595103</v>
          </cell>
          <cell r="D48">
            <v>0.93054308599595104</v>
          </cell>
        </row>
        <row r="49">
          <cell r="A49">
            <v>2017</v>
          </cell>
          <cell r="B49">
            <v>94.777434168743923</v>
          </cell>
          <cell r="C49">
            <v>94.802394155444077</v>
          </cell>
          <cell r="D49">
            <v>0.94802394155444081</v>
          </cell>
        </row>
        <row r="50">
          <cell r="A50">
            <v>2018</v>
          </cell>
          <cell r="B50">
            <v>97.086446399863803</v>
          </cell>
          <cell r="C50">
            <v>97.079262388874227</v>
          </cell>
          <cell r="D50">
            <v>0.97079262388874232</v>
          </cell>
        </row>
        <row r="51">
          <cell r="A51">
            <v>2019</v>
          </cell>
          <cell r="B51">
            <v>98.781055623940631</v>
          </cell>
          <cell r="C51">
            <v>98.813044626353317</v>
          </cell>
          <cell r="D51">
            <v>0.98813044626353319</v>
          </cell>
        </row>
        <row r="52">
          <cell r="A52">
            <v>2020</v>
          </cell>
          <cell r="B52">
            <v>100</v>
          </cell>
          <cell r="C52">
            <v>100</v>
          </cell>
          <cell r="D52">
            <v>1</v>
          </cell>
        </row>
        <row r="53">
          <cell r="A53">
            <v>2021</v>
          </cell>
          <cell r="B53">
            <v>100.80600294900002</v>
          </cell>
          <cell r="C53">
            <v>102.66573948697648</v>
          </cell>
          <cell r="D53">
            <v>1.0266573948697648</v>
          </cell>
        </row>
        <row r="54">
          <cell r="A54">
            <v>2022</v>
          </cell>
          <cell r="B54">
            <v>102.7387110543947</v>
          </cell>
          <cell r="C54">
            <v>105.14621629269774</v>
          </cell>
          <cell r="D54">
            <v>1.0514621629269774</v>
          </cell>
        </row>
        <row r="55">
          <cell r="A55">
            <v>2023</v>
          </cell>
          <cell r="B55">
            <v>104.99984785917233</v>
          </cell>
          <cell r="C55">
            <v>107.39998990119453</v>
          </cell>
          <cell r="D55">
            <v>1.0739998990119453</v>
          </cell>
        </row>
        <row r="56">
          <cell r="A56">
            <v>2024</v>
          </cell>
          <cell r="B56">
            <v>107.41145290800419</v>
          </cell>
          <cell r="C56">
            <v>109.74384545078628</v>
          </cell>
          <cell r="D56">
            <v>1.0974384545078628</v>
          </cell>
        </row>
        <row r="57">
          <cell r="A57">
            <v>2025</v>
          </cell>
          <cell r="B57">
            <v>109.66860394780117</v>
          </cell>
          <cell r="C57">
            <v>112.16714801470503</v>
          </cell>
          <cell r="D57">
            <v>1.1216714801470504</v>
          </cell>
        </row>
        <row r="58">
          <cell r="A58">
            <v>2026</v>
          </cell>
          <cell r="B58">
            <v>111.86377599699694</v>
          </cell>
          <cell r="C58">
            <v>114.43433775171005</v>
          </cell>
          <cell r="D58">
            <v>1.1443433775171004</v>
          </cell>
        </row>
        <row r="59">
          <cell r="A59">
            <v>2027</v>
          </cell>
          <cell r="B59">
            <v>114.12616997648715</v>
          </cell>
          <cell r="C59">
            <v>116.64269126452243</v>
          </cell>
          <cell r="D59">
            <v>1.1664269126452242</v>
          </cell>
        </row>
        <row r="60">
          <cell r="A60">
            <v>2028</v>
          </cell>
          <cell r="B60">
            <v>116.43226733405379</v>
          </cell>
          <cell r="C60">
            <v>118.78264801458516</v>
          </cell>
          <cell r="D60">
            <v>1.1878264801458516</v>
          </cell>
        </row>
        <row r="61">
          <cell r="A61">
            <v>2029</v>
          </cell>
          <cell r="B61">
            <v>118.78696251227095</v>
          </cell>
          <cell r="C61">
            <v>120.95354568429498</v>
          </cell>
          <cell r="D61">
            <v>1.2095354568429497</v>
          </cell>
        </row>
        <row r="62">
          <cell r="A62">
            <v>2030</v>
          </cell>
          <cell r="B62">
            <v>121.17429715616171</v>
          </cell>
          <cell r="C62">
            <v>123.13776831766241</v>
          </cell>
          <cell r="D62">
            <v>1.2313776831766241</v>
          </cell>
        </row>
        <row r="63">
          <cell r="A63">
            <v>2031</v>
          </cell>
          <cell r="B63">
            <v>123.57689021538714</v>
          </cell>
          <cell r="C63">
            <v>125.44036949335462</v>
          </cell>
          <cell r="D63">
            <v>1.2544036949335462</v>
          </cell>
        </row>
        <row r="64">
          <cell r="A64">
            <v>2032</v>
          </cell>
          <cell r="B64">
            <v>125.99602342873116</v>
          </cell>
          <cell r="C64">
            <v>127.80699462988719</v>
          </cell>
          <cell r="D64">
            <v>1.2780699462988718</v>
          </cell>
        </row>
        <row r="65">
          <cell r="A65">
            <v>2033</v>
          </cell>
          <cell r="B65">
            <v>128.45779251617168</v>
          </cell>
          <cell r="C65">
            <v>130.23607162274928</v>
          </cell>
          <cell r="D65">
            <v>1.3023607162274928</v>
          </cell>
        </row>
        <row r="66">
          <cell r="A66">
            <v>2034</v>
          </cell>
          <cell r="B66">
            <v>130.93547241330262</v>
          </cell>
          <cell r="C66">
            <v>132.71776980906208</v>
          </cell>
          <cell r="D66">
            <v>1.3271776980906207</v>
          </cell>
        </row>
        <row r="67">
          <cell r="A67">
            <v>2035</v>
          </cell>
          <cell r="B67">
            <v>133.43119566384877</v>
          </cell>
          <cell r="C67">
            <v>135.27464515001458</v>
          </cell>
          <cell r="D67">
            <v>1.3527464515001457</v>
          </cell>
        </row>
        <row r="68">
          <cell r="A68">
            <v>2036</v>
          </cell>
          <cell r="B68">
            <v>135.9421229024845</v>
          </cell>
          <cell r="C68">
            <v>137.896296463954</v>
          </cell>
          <cell r="D68">
            <v>1.37896296463954</v>
          </cell>
        </row>
        <row r="69">
          <cell r="A69">
            <v>2037</v>
          </cell>
          <cell r="B69">
            <v>138.48900375075473</v>
          </cell>
          <cell r="C69">
            <v>140.55862009701005</v>
          </cell>
          <cell r="D69">
            <v>1.4055862009701006</v>
          </cell>
        </row>
        <row r="70">
          <cell r="A70">
            <v>2038</v>
          </cell>
          <cell r="B70">
            <v>141.06669440208051</v>
          </cell>
          <cell r="C70">
            <v>143.29492301674875</v>
          </cell>
          <cell r="D70">
            <v>1.4329492301674875</v>
          </cell>
        </row>
        <row r="71">
          <cell r="A71">
            <v>2039</v>
          </cell>
          <cell r="B71">
            <v>143.63779979667012</v>
          </cell>
          <cell r="C71">
            <v>146.10658236821897</v>
          </cell>
          <cell r="D71">
            <v>1.4610658236821896</v>
          </cell>
        </row>
        <row r="72">
          <cell r="A72">
            <v>2040</v>
          </cell>
          <cell r="B72">
            <v>146.22298791727496</v>
          </cell>
          <cell r="C72">
            <v>148.98085003823107</v>
          </cell>
          <cell r="D72">
            <v>1.4898085003823107</v>
          </cell>
        </row>
        <row r="73">
          <cell r="A73">
            <v>2041</v>
          </cell>
          <cell r="B73">
            <v>148.81679921336575</v>
          </cell>
          <cell r="C73">
            <v>151.85205380947605</v>
          </cell>
          <cell r="D73">
            <v>1.5185205380947604</v>
          </cell>
        </row>
        <row r="74">
          <cell r="A74">
            <v>2042</v>
          </cell>
          <cell r="B74">
            <v>151.41212307986655</v>
          </cell>
          <cell r="C74">
            <v>154.73030033952952</v>
          </cell>
          <cell r="D74">
            <v>1.5473030033952953</v>
          </cell>
        </row>
        <row r="75">
          <cell r="A75">
            <v>2043</v>
          </cell>
          <cell r="B75">
            <v>153.99531946954687</v>
          </cell>
          <cell r="C75">
            <v>157.66411377421093</v>
          </cell>
          <cell r="D75">
            <v>1.5766411377421092</v>
          </cell>
        </row>
        <row r="76">
          <cell r="A76">
            <v>2044</v>
          </cell>
          <cell r="B76">
            <v>156.47182037364578</v>
          </cell>
          <cell r="C76">
            <v>160.66028636488991</v>
          </cell>
          <cell r="D76">
            <v>1.6066028636488991</v>
          </cell>
        </row>
        <row r="77">
          <cell r="A77">
            <v>2045</v>
          </cell>
          <cell r="B77">
            <v>159.05173681630046</v>
          </cell>
          <cell r="C77">
            <v>163.69735282224528</v>
          </cell>
          <cell r="D77">
            <v>1.6369735282224527</v>
          </cell>
        </row>
        <row r="78">
          <cell r="A78">
            <v>2046</v>
          </cell>
          <cell r="B78">
            <v>161.62996506381231</v>
          </cell>
          <cell r="C78">
            <v>166.77252224863179</v>
          </cell>
          <cell r="D78">
            <v>1.6677252224863179</v>
          </cell>
        </row>
        <row r="79">
          <cell r="A79">
            <v>2047</v>
          </cell>
          <cell r="B79">
            <v>164.25050116324996</v>
          </cell>
          <cell r="C79">
            <v>169.89688686046779</v>
          </cell>
          <cell r="D79">
            <v>1.6989688686046778</v>
          </cell>
        </row>
        <row r="80">
          <cell r="A80">
            <v>2048</v>
          </cell>
          <cell r="B80">
            <v>166.91949710277993</v>
          </cell>
          <cell r="C80">
            <v>173.07526038938616</v>
          </cell>
          <cell r="D80">
            <v>1.7307526038938617</v>
          </cell>
        </row>
        <row r="81">
          <cell r="A81">
            <v>2049</v>
          </cell>
          <cell r="B81">
            <v>169.6348602864127</v>
          </cell>
          <cell r="C81">
            <v>176.31310804589975</v>
          </cell>
          <cell r="D81">
            <v>1.7631310804589975</v>
          </cell>
        </row>
        <row r="82">
          <cell r="A82">
            <v>2050</v>
          </cell>
          <cell r="B82">
            <v>172.37548003296541</v>
          </cell>
          <cell r="C82">
            <v>179.59740354425608</v>
          </cell>
          <cell r="D82">
            <v>1.7959740354425608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C63C-125B-43D9-90B8-1741AA618FED}">
  <sheetPr>
    <pageSetUpPr fitToPage="1"/>
  </sheetPr>
  <dimension ref="A1:B2"/>
  <sheetViews>
    <sheetView tabSelected="1" topLeftCell="B1" zoomScale="98" zoomScaleNormal="98" workbookViewId="0">
      <selection activeCell="T21" sqref="T21"/>
    </sheetView>
  </sheetViews>
  <sheetFormatPr defaultRowHeight="14.4" x14ac:dyDescent="0.3"/>
  <cols>
    <col min="1" max="1" width="2.44140625" hidden="1" customWidth="1"/>
  </cols>
  <sheetData>
    <row r="1" spans="2:2" x14ac:dyDescent="0.3">
      <c r="B1" t="s">
        <v>0</v>
      </c>
    </row>
    <row r="2" spans="2:2" x14ac:dyDescent="0.3">
      <c r="B2" t="s">
        <v>1</v>
      </c>
    </row>
  </sheetData>
  <pageMargins left="0.7" right="0.7" top="0.75" bottom="0.75" header="0.3" footer="0.3"/>
  <pageSetup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9CE3-D14C-449A-A4D2-46536EE9F77A}">
  <dimension ref="A1:AV72"/>
  <sheetViews>
    <sheetView zoomScale="78" zoomScaleNormal="78" workbookViewId="0">
      <selection activeCell="A4" sqref="A4:S4"/>
    </sheetView>
  </sheetViews>
  <sheetFormatPr defaultRowHeight="14.4" x14ac:dyDescent="0.3"/>
  <cols>
    <col min="1" max="1" width="33.77734375" customWidth="1"/>
    <col min="2" max="2" width="10" customWidth="1"/>
    <col min="3" max="3" width="8.44140625" customWidth="1"/>
    <col min="4" max="4" width="9.5546875" customWidth="1"/>
    <col min="5" max="8" width="9.109375" customWidth="1"/>
    <col min="9" max="9" width="11" customWidth="1"/>
    <col min="10" max="10" width="10.109375" customWidth="1"/>
    <col min="11" max="11" width="11.44140625" customWidth="1"/>
    <col min="12" max="14" width="11" customWidth="1"/>
    <col min="15" max="15" width="11.44140625" customWidth="1"/>
    <col min="16" max="16" width="11" customWidth="1"/>
    <col min="17" max="17" width="12.5546875" customWidth="1"/>
    <col min="18" max="18" width="11.44140625" customWidth="1"/>
    <col min="19" max="19" width="13.44140625" customWidth="1"/>
    <col min="20" max="20" width="11.5546875" customWidth="1"/>
    <col min="21" max="21" width="9.6640625" customWidth="1"/>
    <col min="22" max="22" width="13.33203125" customWidth="1"/>
    <col min="23" max="23" width="11.44140625" customWidth="1"/>
    <col min="24" max="24" width="10.44140625" customWidth="1"/>
    <col min="25" max="39" width="9.6640625" customWidth="1"/>
  </cols>
  <sheetData>
    <row r="1" spans="1:40" x14ac:dyDescent="0.3">
      <c r="F1" s="1"/>
      <c r="G1" s="1"/>
      <c r="H1" s="2"/>
      <c r="I1" s="1"/>
      <c r="J1" s="1"/>
      <c r="K1" s="1"/>
      <c r="L1" s="1"/>
      <c r="M1" s="1"/>
      <c r="N1" s="1"/>
      <c r="O1" s="1"/>
      <c r="P1" s="1"/>
      <c r="Q1" s="1"/>
      <c r="R1" s="1"/>
      <c r="S1" s="1"/>
    </row>
    <row r="2" spans="1:40" x14ac:dyDescent="0.3">
      <c r="A2" s="3"/>
      <c r="F2" s="4"/>
      <c r="G2" s="4"/>
      <c r="H2" s="4"/>
      <c r="I2" s="4"/>
      <c r="J2" s="4"/>
      <c r="K2" s="4"/>
      <c r="L2" s="4"/>
      <c r="M2" s="4"/>
      <c r="N2" s="4"/>
      <c r="O2" s="4"/>
      <c r="P2" s="4"/>
      <c r="Q2" s="4"/>
      <c r="R2" s="4"/>
      <c r="S2" s="4"/>
    </row>
    <row r="3" spans="1:40" ht="23.25" customHeight="1" x14ac:dyDescent="0.35">
      <c r="A3" s="5" t="s">
        <v>89</v>
      </c>
      <c r="F3" s="6"/>
      <c r="G3" s="6"/>
      <c r="H3" s="6"/>
      <c r="I3" s="7"/>
      <c r="J3" s="7"/>
      <c r="K3" s="8"/>
      <c r="L3" s="8"/>
      <c r="M3" s="8"/>
      <c r="N3" s="8"/>
      <c r="O3" s="8"/>
      <c r="P3" s="8"/>
      <c r="Q3" s="8"/>
      <c r="R3" s="8"/>
      <c r="S3" s="8"/>
      <c r="T3" s="8"/>
      <c r="U3" s="8"/>
      <c r="V3" s="8"/>
      <c r="W3" s="8"/>
      <c r="X3" s="8"/>
      <c r="Y3" s="8"/>
      <c r="Z3" s="8"/>
      <c r="AA3" s="8"/>
      <c r="AB3" s="8"/>
      <c r="AC3" s="8"/>
    </row>
    <row r="4" spans="1:40" ht="26.25" customHeight="1" x14ac:dyDescent="0.35">
      <c r="A4" s="115" t="s">
        <v>2</v>
      </c>
      <c r="B4" s="115"/>
      <c r="C4" s="115"/>
      <c r="D4" s="115"/>
      <c r="E4" s="115"/>
      <c r="F4" s="115"/>
      <c r="G4" s="115"/>
      <c r="H4" s="115"/>
      <c r="I4" s="115"/>
      <c r="J4" s="115"/>
      <c r="K4" s="115"/>
      <c r="L4" s="115"/>
      <c r="M4" s="115"/>
      <c r="N4" s="115"/>
      <c r="O4" s="115"/>
      <c r="P4" s="115"/>
      <c r="Q4" s="115"/>
      <c r="R4" s="115"/>
      <c r="S4" s="115"/>
    </row>
    <row r="5" spans="1:40" x14ac:dyDescent="0.3">
      <c r="B5">
        <v>2013</v>
      </c>
      <c r="C5">
        <v>2014</v>
      </c>
      <c r="D5">
        <v>2015</v>
      </c>
      <c r="E5">
        <v>2016</v>
      </c>
      <c r="F5">
        <v>2017</v>
      </c>
      <c r="G5">
        <v>2018</v>
      </c>
      <c r="H5">
        <v>2019</v>
      </c>
      <c r="I5">
        <v>2020</v>
      </c>
      <c r="J5">
        <v>2021</v>
      </c>
      <c r="K5">
        <v>2022</v>
      </c>
      <c r="L5">
        <v>2023</v>
      </c>
      <c r="M5">
        <v>2024</v>
      </c>
      <c r="N5">
        <v>2025</v>
      </c>
      <c r="O5">
        <v>2026</v>
      </c>
      <c r="P5">
        <v>2027</v>
      </c>
      <c r="Q5">
        <v>2028</v>
      </c>
      <c r="R5">
        <v>2029</v>
      </c>
      <c r="S5">
        <v>2030</v>
      </c>
      <c r="T5">
        <v>2031</v>
      </c>
      <c r="U5">
        <v>2032</v>
      </c>
      <c r="V5">
        <v>2033</v>
      </c>
      <c r="W5">
        <v>2034</v>
      </c>
      <c r="X5">
        <v>2035</v>
      </c>
      <c r="Y5">
        <v>2036</v>
      </c>
      <c r="Z5">
        <v>2037</v>
      </c>
      <c r="AA5">
        <v>2038</v>
      </c>
      <c r="AB5">
        <v>2039</v>
      </c>
      <c r="AC5">
        <v>2040</v>
      </c>
      <c r="AD5">
        <v>2041</v>
      </c>
      <c r="AE5">
        <v>2042</v>
      </c>
      <c r="AF5">
        <v>2043</v>
      </c>
      <c r="AG5">
        <v>2044</v>
      </c>
      <c r="AH5">
        <f t="shared" ref="AH5:AM5" si="0">+AG5+1</f>
        <v>2045</v>
      </c>
      <c r="AI5">
        <f t="shared" si="0"/>
        <v>2046</v>
      </c>
      <c r="AJ5">
        <f t="shared" si="0"/>
        <v>2047</v>
      </c>
      <c r="AK5">
        <f t="shared" si="0"/>
        <v>2048</v>
      </c>
      <c r="AL5">
        <f t="shared" si="0"/>
        <v>2049</v>
      </c>
      <c r="AM5">
        <f t="shared" si="0"/>
        <v>2050</v>
      </c>
    </row>
    <row r="6" spans="1:40" x14ac:dyDescent="0.3">
      <c r="A6" t="s">
        <v>3</v>
      </c>
      <c r="B6" s="9">
        <f>+B11</f>
        <v>12.766366054493103</v>
      </c>
      <c r="C6" s="9">
        <f t="shared" ref="C6:J6" si="1">+C11</f>
        <v>11.663986959374096</v>
      </c>
      <c r="D6" s="9">
        <f t="shared" si="1"/>
        <v>12.437281556525077</v>
      </c>
      <c r="E6" s="9">
        <f t="shared" si="1"/>
        <v>12.73</v>
      </c>
      <c r="F6" s="9">
        <f t="shared" si="1"/>
        <v>14.486740520427819</v>
      </c>
      <c r="G6" s="9">
        <f t="shared" si="1"/>
        <v>14.880124463738202</v>
      </c>
      <c r="H6" s="9">
        <f t="shared" si="1"/>
        <v>16.77847358151163</v>
      </c>
      <c r="I6" s="9">
        <f t="shared" si="1"/>
        <v>17.1180838726224</v>
      </c>
      <c r="J6" s="9">
        <f t="shared" si="1"/>
        <v>22.235634395651466</v>
      </c>
      <c r="K6" s="10"/>
      <c r="Y6" s="8"/>
      <c r="Z6" s="8"/>
      <c r="AA6" s="8"/>
      <c r="AB6" s="8"/>
      <c r="AC6" s="8"/>
      <c r="AD6" s="8"/>
      <c r="AE6" s="8"/>
      <c r="AF6" s="8"/>
      <c r="AG6" s="8"/>
      <c r="AH6" s="8"/>
      <c r="AI6" s="8">
        <f>+AI7/AH7</f>
        <v>1.0727102391583696</v>
      </c>
      <c r="AJ6" s="8"/>
      <c r="AK6" s="8"/>
      <c r="AL6" s="8"/>
      <c r="AM6" s="8"/>
    </row>
    <row r="7" spans="1:40" s="12" customFormat="1" x14ac:dyDescent="0.3">
      <c r="A7" s="11" t="s">
        <v>4</v>
      </c>
      <c r="F7" s="11"/>
      <c r="G7" s="12">
        <f>+G6</f>
        <v>14.880124463738202</v>
      </c>
      <c r="H7" s="12">
        <f>+H6</f>
        <v>16.77847358151163</v>
      </c>
      <c r="I7" s="12">
        <f>+I6</f>
        <v>17.1180838726224</v>
      </c>
      <c r="J7" s="12">
        <f>+J6</f>
        <v>22.235634395651466</v>
      </c>
      <c r="K7" s="12">
        <f t="shared" ref="K7:X7" si="2">+K12</f>
        <v>19.7</v>
      </c>
      <c r="L7" s="12">
        <f t="shared" si="2"/>
        <v>21.143110671720596</v>
      </c>
      <c r="M7" s="12">
        <f t="shared" si="2"/>
        <v>22.69337986203864</v>
      </c>
      <c r="N7" s="12">
        <f t="shared" si="2"/>
        <v>24.358771840123431</v>
      </c>
      <c r="O7" s="12">
        <f t="shared" si="2"/>
        <v>26.139707251707026</v>
      </c>
      <c r="P7" s="12">
        <f t="shared" si="2"/>
        <v>28.008752677176531</v>
      </c>
      <c r="Q7" s="12">
        <f t="shared" si="2"/>
        <v>30.003411706766986</v>
      </c>
      <c r="R7" s="12">
        <f t="shared" si="2"/>
        <v>32.135230801363271</v>
      </c>
      <c r="S7" s="12">
        <f t="shared" si="2"/>
        <v>34.417181963460926</v>
      </c>
      <c r="T7" s="12">
        <f t="shared" si="2"/>
        <v>36.86194114089038</v>
      </c>
      <c r="U7" s="12">
        <f t="shared" si="2"/>
        <v>39.488131682875967</v>
      </c>
      <c r="V7" s="12">
        <f t="shared" si="2"/>
        <v>42.311402064234287</v>
      </c>
      <c r="W7" s="12">
        <f t="shared" si="2"/>
        <v>45.346567846547899</v>
      </c>
      <c r="X7" s="12">
        <f t="shared" si="2"/>
        <v>48.606109105059041</v>
      </c>
      <c r="Y7" s="12">
        <f>+Y12</f>
        <v>52.109606424827341</v>
      </c>
      <c r="Z7" s="12">
        <f>+Z12</f>
        <v>55.874070824161258</v>
      </c>
      <c r="AA7" s="12">
        <f>+AA12</f>
        <v>59.921459597898043</v>
      </c>
      <c r="AB7" s="12">
        <f>+AB12</f>
        <v>64.272478941502243</v>
      </c>
      <c r="AC7" s="12">
        <f>+AC12</f>
        <v>68.948511190269485</v>
      </c>
      <c r="AD7" s="12">
        <f>+AD12</f>
        <v>73.96600781611005</v>
      </c>
      <c r="AE7" s="12">
        <f>+AE12</f>
        <v>79.341765050730714</v>
      </c>
      <c r="AF7" s="12">
        <f>+AF12</f>
        <v>85.110769758903899</v>
      </c>
      <c r="AG7" s="12">
        <f>+AG12</f>
        <v>91.301375677958674</v>
      </c>
      <c r="AH7" s="12">
        <f>+AH12</f>
        <v>97.937749608442971</v>
      </c>
      <c r="AI7" s="12">
        <f>+AI12</f>
        <v>105.05882680510538</v>
      </c>
      <c r="AJ7" s="12">
        <f>+AJ12</f>
        <v>112.70199398536546</v>
      </c>
      <c r="AK7" s="12">
        <f>+AK12</f>
        <v>120.90607177025883</v>
      </c>
      <c r="AL7" s="12">
        <f>+AL12</f>
        <v>129.70250712242205</v>
      </c>
      <c r="AM7" s="12">
        <f>+AM12</f>
        <v>139.12888778777241</v>
      </c>
    </row>
    <row r="8" spans="1:40" s="12" customFormat="1" x14ac:dyDescent="0.3">
      <c r="A8" s="11" t="s">
        <v>5</v>
      </c>
      <c r="B8" s="11"/>
      <c r="F8" s="11"/>
      <c r="G8" s="11">
        <f>+G6</f>
        <v>14.880124463738202</v>
      </c>
      <c r="H8" s="11">
        <f>+H6</f>
        <v>16.77847358151163</v>
      </c>
      <c r="I8" s="11">
        <f>+I6</f>
        <v>17.1180838726224</v>
      </c>
      <c r="J8" s="11">
        <f>+J6</f>
        <v>22.235634395651466</v>
      </c>
      <c r="K8" s="11">
        <f>MAX(EXP($E$45*(K$22-2021)+$F$45),K$7)</f>
        <v>24.921458143615091</v>
      </c>
      <c r="L8" s="11">
        <f t="shared" ref="L8:X8" si="3">MAX(EXP($E$45*(L$22-2021)+$F$45),L$7)</f>
        <v>27.931700303789</v>
      </c>
      <c r="M8" s="11">
        <f t="shared" si="3"/>
        <v>31.305547105820903</v>
      </c>
      <c r="N8" s="11">
        <f t="shared" si="3"/>
        <v>35.086918051380763</v>
      </c>
      <c r="O8" s="11">
        <f t="shared" si="3"/>
        <v>39.32503764214367</v>
      </c>
      <c r="P8" s="11">
        <f t="shared" si="3"/>
        <v>44.075076166319469</v>
      </c>
      <c r="Q8" s="11">
        <f t="shared" si="3"/>
        <v>49.398867885253182</v>
      </c>
      <c r="R8" s="11">
        <f t="shared" si="3"/>
        <v>55.36571596918634</v>
      </c>
      <c r="S8" s="11">
        <f t="shared" si="3"/>
        <v>62.053294660538185</v>
      </c>
      <c r="T8" s="11">
        <f t="shared" si="3"/>
        <v>69.548660408737945</v>
      </c>
      <c r="U8" s="11">
        <f t="shared" si="3"/>
        <v>77.949385139190312</v>
      </c>
      <c r="V8" s="11">
        <f t="shared" si="3"/>
        <v>87.364826408855308</v>
      </c>
      <c r="W8" s="11">
        <f t="shared" si="3"/>
        <v>97.917550982862195</v>
      </c>
      <c r="X8" s="11">
        <f t="shared" si="3"/>
        <v>109.74493036375556</v>
      </c>
      <c r="Y8" s="11">
        <f>MAX(EXP($E$48*(Y$22-2035)+$F$48),Y$7)</f>
        <v>115.43565896258509</v>
      </c>
      <c r="Z8" s="11">
        <f>MAX(EXP($E$48*(Z$22-2035)+$F$48),Z$7)</f>
        <v>121.42147537894022</v>
      </c>
      <c r="AA8" s="11">
        <f>MAX(EXP($E$48*(AA$22-2035)+$F$48),AA$7)</f>
        <v>127.71768113678918</v>
      </c>
      <c r="AB8" s="11">
        <f>MAX(EXP($E$48*(AB$22-2035)+$F$48),AB$7)</f>
        <v>134.34037120741274</v>
      </c>
      <c r="AC8" s="11">
        <f>MAX(EXP($E$48*(AC$22-2035)+$F$48),AC$7)</f>
        <v>141.30647515292932</v>
      </c>
      <c r="AD8" s="11">
        <f>MAX(EXP($E$48*(AD$22-2035)+$F$48),AD$7)</f>
        <v>148.63380040328227</v>
      </c>
      <c r="AE8" s="11">
        <f>MAX(EXP($E$48*(AE$22-2035)+$F$48),AE$7)</f>
        <v>156.34107777731782</v>
      </c>
      <c r="AF8" s="11">
        <f>MAX(EXP($E$48*(AF$22-2035)+$F$48),AF$7)</f>
        <v>164.44800936431938</v>
      </c>
      <c r="AG8" s="11">
        <f>MAX(EXP($E$48*(AG$22-2035)+$F$48),AG$7)</f>
        <v>172.97531888839728</v>
      </c>
      <c r="AH8" s="11">
        <f>MAX(EXP($E$48*(AH$22-2035)+$F$48),AH$7)</f>
        <v>181.94480468448063</v>
      </c>
      <c r="AI8" s="11">
        <f>MAX(EXP($E$48*(AI$22-2035)+$F$48),AI$7)</f>
        <v>191.3793954213333</v>
      </c>
      <c r="AJ8" s="11">
        <f>MAX(EXP($E$48*(AJ$22-2035)+$F$48),AJ$7)</f>
        <v>201.3032087140389</v>
      </c>
      <c r="AK8" s="11">
        <f>MAX(EXP($E$48*(AK$22-2035)+$F$48),AK$7)</f>
        <v>211.7416127757856</v>
      </c>
      <c r="AL8" s="11">
        <f>MAX(EXP($E$48*(AL$22-2035)+$F$48),AL$7)</f>
        <v>222.72129126655079</v>
      </c>
      <c r="AM8" s="11">
        <f>MAX(EXP($E$48*(AM$22-2035)+$F$48),AM$7)</f>
        <v>234.27031150445868</v>
      </c>
    </row>
    <row r="9" spans="1:40" s="12" customFormat="1" x14ac:dyDescent="0.3">
      <c r="A9" s="11" t="s">
        <v>6</v>
      </c>
      <c r="B9" s="11"/>
      <c r="F9" s="11"/>
      <c r="G9" s="11">
        <f>+G6</f>
        <v>14.880124463738202</v>
      </c>
      <c r="H9" s="11">
        <f>+H6</f>
        <v>16.77847358151163</v>
      </c>
      <c r="I9" s="11">
        <f>+I6</f>
        <v>17.1180838726224</v>
      </c>
      <c r="J9" s="11">
        <f>+J6</f>
        <v>22.235634395651466</v>
      </c>
      <c r="K9" s="11">
        <f>MAX(EXP($E$53*(K$22-2021)+$F$53),K$7)</f>
        <v>25.371890421148485</v>
      </c>
      <c r="L9" s="11">
        <f t="shared" ref="L9:X9" si="4">MAX(EXP($E$53*(L$22-2021)+$F$53),L$7)</f>
        <v>28.950504046273515</v>
      </c>
      <c r="M9" s="11">
        <f t="shared" si="4"/>
        <v>33.0338682148289</v>
      </c>
      <c r="N9" s="11">
        <f t="shared" si="4"/>
        <v>37.693176170283174</v>
      </c>
      <c r="O9" s="11">
        <f t="shared" si="4"/>
        <v>43.009662706295394</v>
      </c>
      <c r="P9" s="11">
        <f t="shared" si="4"/>
        <v>49.076020491148753</v>
      </c>
      <c r="Q9" s="11">
        <f t="shared" si="4"/>
        <v>55.99801615963667</v>
      </c>
      <c r="R9" s="11">
        <f t="shared" si="4"/>
        <v>63.896334348880032</v>
      </c>
      <c r="S9" s="11">
        <f t="shared" si="4"/>
        <v>72.908681828744989</v>
      </c>
      <c r="T9" s="11">
        <f t="shared" si="4"/>
        <v>83.192188412265892</v>
      </c>
      <c r="U9" s="11">
        <f t="shared" si="4"/>
        <v>94.926146505823979</v>
      </c>
      <c r="V9" s="11">
        <f t="shared" si="4"/>
        <v>108.31513706299579</v>
      </c>
      <c r="W9" s="11">
        <f t="shared" si="4"/>
        <v>123.59259644291748</v>
      </c>
      <c r="X9" s="11">
        <f t="shared" si="4"/>
        <v>141.02488636115464</v>
      </c>
      <c r="Y9" s="11">
        <f>MAX(EXP($E$56*(Y$22-2035)+$F$56),Y$7)</f>
        <v>148.0645845572256</v>
      </c>
      <c r="Z9" s="11">
        <f>MAX(EXP($E$56*(Z$22-2035)+$F$56),Z$7)</f>
        <v>155.45569130231601</v>
      </c>
      <c r="AA9" s="11">
        <f>MAX(EXP($E$56*(AA$22-2035)+$F$56),AA$7)</f>
        <v>163.21574825302554</v>
      </c>
      <c r="AB9" s="11">
        <f>MAX(EXP($E$56*(AB$22-2035)+$F$56),AB$7)</f>
        <v>171.36317271259742</v>
      </c>
      <c r="AC9" s="11">
        <f>MAX(EXP($E$56*(AC$22-2035)+$F$56),AC$7)</f>
        <v>179.91730134155833</v>
      </c>
      <c r="AD9" s="11">
        <f>MAX(EXP($E$56*(AD$22-2035)+$F$56),AD$7)</f>
        <v>188.89843605031157</v>
      </c>
      <c r="AE9" s="11">
        <f>MAX(EXP($E$56*(AE$22-2035)+$F$56),AE$7)</f>
        <v>198.32789218260399</v>
      </c>
      <c r="AF9" s="11">
        <f>MAX(EXP($E$56*(AF$22-2035)+$F$56),AF$7)</f>
        <v>208.22804910421991</v>
      </c>
      <c r="AG9" s="11">
        <f>MAX(EXP($E$56*(AG$22-2035)+$F$56),AG$7)</f>
        <v>218.62240331696793</v>
      </c>
      <c r="AH9" s="11">
        <f>MAX(EXP($E$56*(AH$22-2035)+$F$56),AH$7)</f>
        <v>229.53562422401995</v>
      </c>
      <c r="AI9" s="11">
        <f>MAX(EXP($E$56*(AI$22-2035)+$F$56),AI$7)</f>
        <v>240.99361267894989</v>
      </c>
      <c r="AJ9" s="11">
        <f>MAX(EXP($E$56*(AJ$22-2035)+$F$56),AJ$7)</f>
        <v>253.02356245743073</v>
      </c>
      <c r="AK9" s="11">
        <f>MAX(EXP($E$56*(AK$22-2035)+$F$56),AK$7)</f>
        <v>265.65402479748542</v>
      </c>
      <c r="AL9" s="11">
        <f>MAX(EXP($E$56*(AL$22-2035)+$F$56),AL$7)</f>
        <v>278.91497616146427</v>
      </c>
      <c r="AM9" s="11">
        <f>MAX(EXP($E$56*(AM$22-2035)+$F$56),AM$7)</f>
        <v>292.83788938057336</v>
      </c>
    </row>
    <row r="10" spans="1:40" s="16" customFormat="1" x14ac:dyDescent="0.3">
      <c r="A10"/>
      <c r="B10"/>
      <c r="C10"/>
      <c r="D10"/>
      <c r="E10"/>
      <c r="F10" s="13"/>
      <c r="G10" s="14"/>
      <c r="H10"/>
      <c r="I10" s="8"/>
      <c r="J10" s="9"/>
      <c r="K10"/>
      <c r="L10"/>
      <c r="M10"/>
      <c r="N10"/>
      <c r="O10"/>
      <c r="P10"/>
      <c r="Q10"/>
      <c r="R10"/>
      <c r="S10"/>
      <c r="T10"/>
      <c r="U10"/>
      <c r="V10" s="9"/>
      <c r="W10" s="9"/>
      <c r="X10" s="9"/>
      <c r="Y10" s="9"/>
      <c r="Z10" s="9"/>
      <c r="AA10" s="9"/>
      <c r="AB10" s="9"/>
      <c r="AC10" s="9"/>
      <c r="AD10" s="9"/>
      <c r="AE10"/>
      <c r="AF10"/>
      <c r="AG10"/>
      <c r="AH10" s="15"/>
      <c r="AI10" s="15"/>
      <c r="AJ10" s="15"/>
      <c r="AK10" s="15"/>
      <c r="AL10" s="15"/>
      <c r="AM10" s="15"/>
    </row>
    <row r="11" spans="1:40" s="16" customFormat="1" ht="16.2" x14ac:dyDescent="0.3">
      <c r="A11" t="s">
        <v>7</v>
      </c>
      <c r="B11" s="17">
        <f>VLOOKUP(B$5,'Auction Data'!$E$44:$H$57,4,FALSE)</f>
        <v>12.766366054493103</v>
      </c>
      <c r="C11" s="17">
        <f>VLOOKUP(C$5,'Auction Data'!$E$44:$H$57,4,FALSE)</f>
        <v>11.663986959374096</v>
      </c>
      <c r="D11" s="17">
        <f>VLOOKUP(D$5,'Auction Data'!$E$44:$H$57,4,FALSE)</f>
        <v>12.437281556525077</v>
      </c>
      <c r="E11" s="17">
        <f>VLOOKUP(E$5,'Auction Data'!$E$44:$H$57,4,FALSE)</f>
        <v>12.73</v>
      </c>
      <c r="F11" s="17">
        <f>VLOOKUP(F$5,'Auction Data'!$E$44:$H$57,4,FALSE)</f>
        <v>14.486740520427819</v>
      </c>
      <c r="G11" s="17">
        <f>VLOOKUP(G$5,'Auction Data'!$E$44:$H$57,4,FALSE)</f>
        <v>14.880124463738202</v>
      </c>
      <c r="H11" s="17">
        <f>VLOOKUP(H$5,'Auction Data'!$E$44:$H$57,4,FALSE)</f>
        <v>16.77847358151163</v>
      </c>
      <c r="I11" s="17">
        <f>VLOOKUP(I$5,'Auction Data'!$E$44:$H$57,4,FALSE)</f>
        <v>17.1180838726224</v>
      </c>
      <c r="J11" s="17">
        <f>VLOOKUP(J$5,'Auction Data'!$E$44:$H$57,4,FALSE)</f>
        <v>22.235634395651466</v>
      </c>
      <c r="K11" s="18"/>
      <c r="L11"/>
      <c r="M11"/>
      <c r="N11"/>
      <c r="O11"/>
      <c r="P11"/>
      <c r="Q11"/>
      <c r="R11"/>
      <c r="S11"/>
      <c r="T11"/>
      <c r="AH11" s="19"/>
      <c r="AI11" s="19"/>
      <c r="AJ11" s="19"/>
      <c r="AK11" s="19"/>
      <c r="AL11" s="19"/>
      <c r="AM11" s="19"/>
    </row>
    <row r="12" spans="1:40" s="16" customFormat="1" ht="16.2" x14ac:dyDescent="0.3">
      <c r="A12" t="s">
        <v>8</v>
      </c>
      <c r="B12" s="15">
        <v>12.002742366814928</v>
      </c>
      <c r="C12" s="15">
        <v>11.663986959374096</v>
      </c>
      <c r="D12" s="15">
        <v>12.437281556525077</v>
      </c>
      <c r="E12" s="17">
        <v>12.73</v>
      </c>
      <c r="F12" s="17">
        <v>13.57</v>
      </c>
      <c r="G12" s="13">
        <v>14.53</v>
      </c>
      <c r="H12" s="13">
        <v>15.62</v>
      </c>
      <c r="I12" s="13">
        <v>16.68</v>
      </c>
      <c r="J12" s="13">
        <v>17.71</v>
      </c>
      <c r="K12" s="13">
        <v>19.7</v>
      </c>
      <c r="L12" s="13">
        <f t="shared" ref="L12:X12" si="5">K12*(1+L18+0.05)</f>
        <v>21.143110671720596</v>
      </c>
      <c r="M12" s="13">
        <f t="shared" si="5"/>
        <v>22.69337986203864</v>
      </c>
      <c r="N12" s="13">
        <f t="shared" si="5"/>
        <v>24.358771840123431</v>
      </c>
      <c r="O12" s="13">
        <f t="shared" si="5"/>
        <v>26.139707251707026</v>
      </c>
      <c r="P12" s="13">
        <f t="shared" si="5"/>
        <v>28.008752677176531</v>
      </c>
      <c r="Q12" s="13">
        <f t="shared" si="5"/>
        <v>30.003411706766986</v>
      </c>
      <c r="R12" s="13">
        <f t="shared" si="5"/>
        <v>32.135230801363271</v>
      </c>
      <c r="S12" s="13">
        <f t="shared" si="5"/>
        <v>34.417181963460926</v>
      </c>
      <c r="T12" s="13">
        <f t="shared" si="5"/>
        <v>36.86194114089038</v>
      </c>
      <c r="U12" s="13">
        <f t="shared" si="5"/>
        <v>39.488131682875967</v>
      </c>
      <c r="V12" s="13">
        <f t="shared" si="5"/>
        <v>42.311402064234287</v>
      </c>
      <c r="W12" s="13">
        <f t="shared" si="5"/>
        <v>45.346567846547899</v>
      </c>
      <c r="X12" s="13">
        <f t="shared" si="5"/>
        <v>48.606109105059041</v>
      </c>
      <c r="Y12" s="13">
        <f>X12*(1+Y18+0.05)</f>
        <v>52.109606424827341</v>
      </c>
      <c r="Z12" s="13">
        <f>Y12*(1+Z18+0.05)</f>
        <v>55.874070824161258</v>
      </c>
      <c r="AA12" s="13">
        <f>Z12*(1+AA18+0.05)</f>
        <v>59.921459597898043</v>
      </c>
      <c r="AB12" s="13">
        <f>AA12*(1+AB18+0.05)</f>
        <v>64.272478941502243</v>
      </c>
      <c r="AC12" s="13">
        <f>AB12*(1+AC18+0.05)</f>
        <v>68.948511190269485</v>
      </c>
      <c r="AD12" s="13">
        <f>AC12*(1+AD18+0.05)</f>
        <v>73.96600781611005</v>
      </c>
      <c r="AE12" s="13">
        <f>AD12*(1+AE18+0.05)</f>
        <v>79.341765050730714</v>
      </c>
      <c r="AF12" s="13">
        <f>AE12*(1+AF18+0.05)</f>
        <v>85.110769758903899</v>
      </c>
      <c r="AG12" s="13">
        <f>AF12*(1+AG18+0.05)</f>
        <v>91.301375677958674</v>
      </c>
      <c r="AH12" s="15">
        <f>AG12*(1+AH18+0.05)</f>
        <v>97.937749608442971</v>
      </c>
      <c r="AI12" s="15">
        <f>AH12*(1+AI18+0.05)</f>
        <v>105.05882680510538</v>
      </c>
      <c r="AJ12" s="15">
        <f>AI12*(1+AJ18+0.05)</f>
        <v>112.70199398536546</v>
      </c>
      <c r="AK12" s="15">
        <f>AJ12*(1+AK18+0.05)</f>
        <v>120.90607177025883</v>
      </c>
      <c r="AL12" s="15">
        <f>AK12*(1+AL18+0.05)</f>
        <v>129.70250712242205</v>
      </c>
      <c r="AM12" s="15">
        <f>AL12*(1+AM18+0.05)</f>
        <v>139.12888778777241</v>
      </c>
      <c r="AN12" s="13"/>
    </row>
    <row r="13" spans="1:40" ht="16.2" x14ac:dyDescent="0.3">
      <c r="A13" t="s">
        <v>9</v>
      </c>
      <c r="B13" s="20">
        <v>39</v>
      </c>
      <c r="C13" s="21">
        <v>40</v>
      </c>
      <c r="D13" s="21">
        <f t="shared" ref="D13:I13" si="6">C13*(1.05+D$18)</f>
        <v>42.048454893014807</v>
      </c>
      <c r="E13" s="21">
        <f t="shared" si="6"/>
        <v>44.683783164088815</v>
      </c>
      <c r="F13" s="21">
        <f t="shared" si="6"/>
        <v>47.873082146330027</v>
      </c>
      <c r="G13" s="21">
        <f t="shared" si="6"/>
        <v>51.432013018211954</v>
      </c>
      <c r="H13" s="21">
        <f t="shared" si="6"/>
        <v>54.935618219336952</v>
      </c>
      <c r="I13" s="21">
        <f t="shared" si="6"/>
        <v>58.368201023095217</v>
      </c>
      <c r="J13" s="21">
        <v>65</v>
      </c>
      <c r="K13" s="21">
        <f>J13*(1.05+K$18)</f>
        <v>69.834954020423822</v>
      </c>
      <c r="L13" s="21">
        <f t="shared" ref="L13:X16" si="7">K13*(1.05+L$18)</f>
        <v>74.950668101946192</v>
      </c>
      <c r="M13" s="21">
        <f t="shared" si="7"/>
        <v>80.446250722511692</v>
      </c>
      <c r="N13" s="21">
        <f t="shared" si="7"/>
        <v>86.349934591320519</v>
      </c>
      <c r="O13" s="21">
        <f t="shared" si="7"/>
        <v>92.663210864482195</v>
      </c>
      <c r="P13" s="21">
        <f t="shared" si="7"/>
        <v>99.288830222337339</v>
      </c>
      <c r="Q13" s="21">
        <f t="shared" si="7"/>
        <v>106.3597399491329</v>
      </c>
      <c r="R13" s="21">
        <f t="shared" si="7"/>
        <v>113.91687134258432</v>
      </c>
      <c r="S13" s="21">
        <f t="shared" si="7"/>
        <v>122.00620913354587</v>
      </c>
      <c r="T13" s="21">
        <f t="shared" si="7"/>
        <v>130.67268856231718</v>
      </c>
      <c r="U13" s="21">
        <f t="shared" si="7"/>
        <v>139.98232794041036</v>
      </c>
      <c r="V13" s="21">
        <f t="shared" si="7"/>
        <v>149.9905998830186</v>
      </c>
      <c r="W13" s="21">
        <f t="shared" si="7"/>
        <v>160.75002439328435</v>
      </c>
      <c r="X13" s="21">
        <f t="shared" si="7"/>
        <v>172.30484235855337</v>
      </c>
      <c r="Y13" s="21">
        <f>X13*(1.05+Y$18)</f>
        <v>184.72446541625376</v>
      </c>
      <c r="Z13" s="21">
        <f>Y13*(1.05+Z$18)</f>
        <v>198.06919629133023</v>
      </c>
      <c r="AA13" s="21">
        <f>Z13*(1.05+AA$18)</f>
        <v>212.41687187085753</v>
      </c>
      <c r="AB13" s="21">
        <f>AA13*(1.05+AB$18)</f>
        <v>227.84089399281564</v>
      </c>
      <c r="AC13" s="21">
        <f>AB13*(1.05+AC$18)</f>
        <v>244.41706135782474</v>
      </c>
      <c r="AD13" s="21">
        <f>AC13*(1.05+AD$18)</f>
        <v>262.20369314275916</v>
      </c>
      <c r="AE13" s="21">
        <f>AD13*(1.05+AE$18)</f>
        <v>281.26033067091623</v>
      </c>
      <c r="AF13" s="21">
        <f>AE13*(1.05+AF$18)</f>
        <v>301.71099963228085</v>
      </c>
      <c r="AG13" s="21">
        <f>AF13*(1.05+AG$18)</f>
        <v>323.65621180059321</v>
      </c>
      <c r="AH13" s="21">
        <f>AG13*(1.05+AH$18)</f>
        <v>347.181636587279</v>
      </c>
      <c r="AI13" s="21">
        <f>AH13*(1.05+AI$18)</f>
        <v>372.42529641493422</v>
      </c>
      <c r="AJ13" s="21">
        <f>AI13*(1.05+AJ$18)</f>
        <v>399.51972426284669</v>
      </c>
      <c r="AK13" s="21">
        <f>AJ13*(1.05+AK$18)</f>
        <v>428.6025361860959</v>
      </c>
      <c r="AL13" s="21">
        <f>AK13*(1.05+AL$18)</f>
        <v>459.7852091993928</v>
      </c>
      <c r="AM13" s="21">
        <f>AL13*(1.05+AM$18)</f>
        <v>493.20098891227383</v>
      </c>
      <c r="AN13" s="13"/>
    </row>
    <row r="14" spans="1:40" x14ac:dyDescent="0.3">
      <c r="A14" t="s">
        <v>10</v>
      </c>
      <c r="B14" s="20"/>
      <c r="C14" s="21"/>
      <c r="D14" s="21"/>
      <c r="E14" s="21"/>
      <c r="F14" s="21"/>
      <c r="G14" s="21"/>
      <c r="H14" s="21"/>
      <c r="I14" s="21"/>
      <c r="J14" s="21">
        <v>41.4</v>
      </c>
      <c r="K14" s="21">
        <f t="shared" ref="K14:S16" si="8">J14*(1.05+K$18)</f>
        <v>44.479493791469935</v>
      </c>
      <c r="L14" s="21">
        <f t="shared" si="8"/>
        <v>47.737810144931878</v>
      </c>
      <c r="M14" s="21">
        <f t="shared" si="8"/>
        <v>51.238073537107439</v>
      </c>
      <c r="N14" s="21">
        <f t="shared" si="8"/>
        <v>54.998266032010292</v>
      </c>
      <c r="O14" s="21">
        <f t="shared" si="8"/>
        <v>59.019337381377881</v>
      </c>
      <c r="P14" s="21">
        <f t="shared" si="8"/>
        <v>63.239347249304082</v>
      </c>
      <c r="Q14" s="21">
        <f t="shared" si="8"/>
        <v>67.742972829140029</v>
      </c>
      <c r="R14" s="21">
        <f t="shared" si="8"/>
        <v>72.556284208969089</v>
      </c>
      <c r="S14" s="21">
        <f t="shared" si="8"/>
        <v>77.708570125058444</v>
      </c>
      <c r="T14" s="21">
        <f t="shared" si="7"/>
        <v>83.228450868922025</v>
      </c>
      <c r="U14" s="21">
        <f t="shared" si="7"/>
        <v>89.157975026661362</v>
      </c>
      <c r="V14" s="21">
        <f t="shared" si="7"/>
        <v>95.532474387030305</v>
      </c>
      <c r="W14" s="21">
        <f t="shared" si="7"/>
        <v>102.38540015203033</v>
      </c>
      <c r="X14" s="21">
        <f t="shared" si="7"/>
        <v>109.74493036375553</v>
      </c>
      <c r="Y14" s="21">
        <f>X14*(1.05+Y$18)</f>
        <v>117.65527489589086</v>
      </c>
      <c r="Z14" s="21">
        <f>Y14*(1.05+Z$18)</f>
        <v>126.15484194555495</v>
      </c>
      <c r="AA14" s="21">
        <f>Z14*(1.05+AA$18)</f>
        <v>135.29320762236156</v>
      </c>
      <c r="AB14" s="21">
        <f>AA14*(1.05+AB$18)</f>
        <v>145.11712325080873</v>
      </c>
      <c r="AC14" s="21">
        <f>AB14*(1.05+AC$18)</f>
        <v>155.67486677252222</v>
      </c>
      <c r="AD14" s="21">
        <f>AC14*(1.05+AD$18)</f>
        <v>167.00358301708044</v>
      </c>
      <c r="AE14" s="21">
        <f>AD14*(1.05+AE$18)</f>
        <v>179.14119522732204</v>
      </c>
      <c r="AF14" s="21">
        <f>AE14*(1.05+AF$18)</f>
        <v>192.16669822732968</v>
      </c>
      <c r="AG14" s="21">
        <f>AF14*(1.05+AG$18)</f>
        <v>206.14411028530094</v>
      </c>
      <c r="AH14" s="21">
        <f>AG14*(1.05+AH$18)</f>
        <v>221.12799622635927</v>
      </c>
      <c r="AI14" s="21">
        <f>AH14*(1.05+AI$18)</f>
        <v>237.20626571658892</v>
      </c>
      <c r="AJ14" s="21">
        <f>AI14*(1.05+AJ$18)</f>
        <v>254.46333206895162</v>
      </c>
      <c r="AK14" s="21">
        <f>AJ14*(1.05+AK$18)</f>
        <v>272.98684612468264</v>
      </c>
      <c r="AL14" s="21">
        <f>AK14*(1.05+AL$18)</f>
        <v>292.84781016699787</v>
      </c>
      <c r="AM14" s="21">
        <f>AL14*(1.05+AM$18)</f>
        <v>314.13109139950978</v>
      </c>
      <c r="AN14" s="13"/>
    </row>
    <row r="15" spans="1:40" x14ac:dyDescent="0.3">
      <c r="A15" t="s">
        <v>11</v>
      </c>
      <c r="B15" s="20"/>
      <c r="C15" s="21"/>
      <c r="D15" s="21"/>
      <c r="E15" s="21"/>
      <c r="F15" s="21"/>
      <c r="G15" s="21"/>
      <c r="H15" s="21"/>
      <c r="I15" s="21"/>
      <c r="J15" s="21">
        <v>53.2</v>
      </c>
      <c r="K15" s="21">
        <f t="shared" si="8"/>
        <v>57.157223905946886</v>
      </c>
      <c r="L15" s="21">
        <f t="shared" si="8"/>
        <v>61.344239123439046</v>
      </c>
      <c r="M15" s="21">
        <f t="shared" si="8"/>
        <v>65.84216212980958</v>
      </c>
      <c r="N15" s="21">
        <f t="shared" si="8"/>
        <v>70.674100311665427</v>
      </c>
      <c r="O15" s="21">
        <f t="shared" si="8"/>
        <v>75.841274122930059</v>
      </c>
      <c r="P15" s="21">
        <f t="shared" si="8"/>
        <v>81.264088735820735</v>
      </c>
      <c r="Q15" s="21">
        <f t="shared" si="8"/>
        <v>87.051356389136487</v>
      </c>
      <c r="R15" s="21">
        <f t="shared" si="8"/>
        <v>93.236577775776723</v>
      </c>
      <c r="S15" s="21">
        <f t="shared" si="8"/>
        <v>99.857389629302176</v>
      </c>
      <c r="T15" s="21">
        <f t="shared" si="7"/>
        <v>106.95056971561962</v>
      </c>
      <c r="U15" s="21">
        <f t="shared" si="7"/>
        <v>114.57015148353588</v>
      </c>
      <c r="V15" s="21">
        <f t="shared" si="7"/>
        <v>122.76153713502448</v>
      </c>
      <c r="W15" s="21">
        <f t="shared" si="7"/>
        <v>131.56771227265736</v>
      </c>
      <c r="X15" s="21">
        <f t="shared" si="7"/>
        <v>141.02488636115447</v>
      </c>
      <c r="Y15" s="21">
        <f>X15*(1.05+Y$18)</f>
        <v>151.18987015607232</v>
      </c>
      <c r="Z15" s="21">
        <f>Y15*(1.05+Z$18)</f>
        <v>162.11201911844259</v>
      </c>
      <c r="AA15" s="21">
        <f>Z15*(1.05+AA$18)</f>
        <v>173.85503974660955</v>
      </c>
      <c r="AB15" s="21">
        <f>AA15*(1.05+AB$18)</f>
        <v>186.47900862181217</v>
      </c>
      <c r="AC15" s="21">
        <f>AB15*(1.05+AC$18)</f>
        <v>200.04596406517348</v>
      </c>
      <c r="AD15" s="21">
        <f>AC15*(1.05+AD$18)</f>
        <v>214.60363807991979</v>
      </c>
      <c r="AE15" s="21">
        <f>AD15*(1.05+AE$18)</f>
        <v>230.20076294911911</v>
      </c>
      <c r="AF15" s="21">
        <f>AE15*(1.05+AF$18)</f>
        <v>246.93884892980523</v>
      </c>
      <c r="AG15" s="21">
        <f>AF15*(1.05+AG$18)</f>
        <v>264.90016104294705</v>
      </c>
      <c r="AH15" s="21">
        <f>AG15*(1.05+AH$18)</f>
        <v>284.15481640681912</v>
      </c>
      <c r="AI15" s="21">
        <f>AH15*(1.05+AI$18)</f>
        <v>304.81578106576154</v>
      </c>
      <c r="AJ15" s="21">
        <f>AI15*(1.05+AJ$18)</f>
        <v>326.99152816589913</v>
      </c>
      <c r="AK15" s="21">
        <f>AJ15*(1.05+AK$18)</f>
        <v>350.79469115538922</v>
      </c>
      <c r="AL15" s="21">
        <f>AK15*(1.05+AL$18)</f>
        <v>376.31650968319525</v>
      </c>
      <c r="AM15" s="21">
        <f>AL15*(1.05+AM$18)</f>
        <v>403.66604015589172</v>
      </c>
      <c r="AN15" s="13"/>
    </row>
    <row r="16" spans="1:40" x14ac:dyDescent="0.3">
      <c r="A16" t="s">
        <v>12</v>
      </c>
      <c r="B16" s="20"/>
      <c r="C16" s="21"/>
      <c r="D16" s="21"/>
      <c r="E16" s="21"/>
      <c r="F16" s="21"/>
      <c r="G16" s="21"/>
      <c r="H16" s="22"/>
      <c r="I16" s="21"/>
      <c r="J16" s="21">
        <v>65</v>
      </c>
      <c r="K16" s="21">
        <f t="shared" si="8"/>
        <v>69.834954020423822</v>
      </c>
      <c r="L16" s="21">
        <f t="shared" si="8"/>
        <v>74.950668101946192</v>
      </c>
      <c r="M16" s="21">
        <f t="shared" si="8"/>
        <v>80.446250722511692</v>
      </c>
      <c r="N16" s="21">
        <f t="shared" si="8"/>
        <v>86.349934591320519</v>
      </c>
      <c r="O16" s="21">
        <f t="shared" si="8"/>
        <v>92.663210864482195</v>
      </c>
      <c r="P16" s="21">
        <f t="shared" si="8"/>
        <v>99.288830222337339</v>
      </c>
      <c r="Q16" s="21">
        <f t="shared" si="8"/>
        <v>106.3597399491329</v>
      </c>
      <c r="R16" s="21">
        <f t="shared" si="8"/>
        <v>113.91687134258432</v>
      </c>
      <c r="S16" s="21">
        <f t="shared" si="8"/>
        <v>122.00620913354587</v>
      </c>
      <c r="T16" s="21">
        <f t="shared" si="7"/>
        <v>130.67268856231718</v>
      </c>
      <c r="U16" s="21">
        <f t="shared" si="7"/>
        <v>139.98232794041036</v>
      </c>
      <c r="V16" s="21">
        <f t="shared" si="7"/>
        <v>149.9905998830186</v>
      </c>
      <c r="W16" s="21">
        <f t="shared" si="7"/>
        <v>160.75002439328435</v>
      </c>
      <c r="X16" s="21">
        <f t="shared" si="7"/>
        <v>172.30484235855337</v>
      </c>
      <c r="Y16" s="21">
        <f>X16*(1.05+Y$18)</f>
        <v>184.72446541625376</v>
      </c>
      <c r="Z16" s="21">
        <f>Y16*(1.05+Z$18)</f>
        <v>198.06919629133023</v>
      </c>
      <c r="AA16" s="21">
        <f>Z16*(1.05+AA$18)</f>
        <v>212.41687187085753</v>
      </c>
      <c r="AB16" s="21">
        <f>AA16*(1.05+AB$18)</f>
        <v>227.84089399281564</v>
      </c>
      <c r="AC16" s="21">
        <f>AB16*(1.05+AC$18)</f>
        <v>244.41706135782474</v>
      </c>
      <c r="AD16" s="21">
        <f>AC16*(1.05+AD$18)</f>
        <v>262.20369314275916</v>
      </c>
      <c r="AE16" s="21">
        <f>AD16*(1.05+AE$18)</f>
        <v>281.26033067091623</v>
      </c>
      <c r="AF16" s="21">
        <f>AE16*(1.05+AF$18)</f>
        <v>301.71099963228085</v>
      </c>
      <c r="AG16" s="21">
        <f>AF16*(1.05+AG$18)</f>
        <v>323.65621180059321</v>
      </c>
      <c r="AH16" s="21">
        <f>AG16*(1.05+AH$18)</f>
        <v>347.181636587279</v>
      </c>
      <c r="AI16" s="21">
        <f>AH16*(1.05+AI$18)</f>
        <v>372.42529641493422</v>
      </c>
      <c r="AJ16" s="21">
        <f>AI16*(1.05+AJ$18)</f>
        <v>399.51972426284669</v>
      </c>
      <c r="AK16" s="21">
        <f>AJ16*(1.05+AK$18)</f>
        <v>428.6025361860959</v>
      </c>
      <c r="AL16" s="21">
        <f>AK16*(1.05+AL$18)</f>
        <v>459.7852091993928</v>
      </c>
      <c r="AM16" s="21">
        <f>AL16*(1.05+AM$18)</f>
        <v>493.20098891227383</v>
      </c>
      <c r="AN16" s="13"/>
    </row>
    <row r="17" spans="1:48" ht="30.6" x14ac:dyDescent="0.3">
      <c r="A17" s="23" t="s">
        <v>82</v>
      </c>
      <c r="B17" s="21">
        <v>0.8999693831131933</v>
      </c>
      <c r="C17" s="21">
        <v>0.91450805810061331</v>
      </c>
      <c r="D17" s="21">
        <v>0.91561586785352445</v>
      </c>
      <c r="E17" s="21">
        <v>0.92722002209180621</v>
      </c>
      <c r="F17" s="21">
        <v>0.94703922470702262</v>
      </c>
      <c r="G17" s="21">
        <v>0.97009106833618297</v>
      </c>
      <c r="H17" s="21">
        <v>0.98767018369166248</v>
      </c>
      <c r="I17" s="21">
        <v>1</v>
      </c>
      <c r="J17" s="21">
        <v>1.0274960506050839</v>
      </c>
      <c r="K17" s="21">
        <v>1.052550419780101</v>
      </c>
      <c r="L17" s="21">
        <v>1.0770267943905201</v>
      </c>
      <c r="M17" s="21">
        <v>1.1021459279573051</v>
      </c>
      <c r="N17" s="21">
        <v>1.1279214704427449</v>
      </c>
      <c r="O17" s="21">
        <v>1.1539907733107313</v>
      </c>
      <c r="P17" s="21">
        <v>1.1788040629305836</v>
      </c>
      <c r="Q17" s="21">
        <v>1.2038130522148338</v>
      </c>
      <c r="R17" s="21">
        <v>1.2291563940750276</v>
      </c>
      <c r="S17" s="21">
        <v>1.254982057075881</v>
      </c>
      <c r="T17" s="13">
        <v>1.281378221978257</v>
      </c>
      <c r="U17" s="15">
        <v>1.3085997655627712</v>
      </c>
      <c r="V17" s="15">
        <v>1.3367303181792007</v>
      </c>
      <c r="W17" s="15">
        <v>1.3657828043827052</v>
      </c>
      <c r="X17" s="15">
        <v>1.39566703455216</v>
      </c>
      <c r="Y17" s="15">
        <v>1.4264824718424851</v>
      </c>
      <c r="Z17" s="15">
        <v>1.4582092605475299</v>
      </c>
      <c r="AA17" s="15">
        <v>1.4909281118665667</v>
      </c>
      <c r="AB17" s="15">
        <v>1.5246410360390019</v>
      </c>
      <c r="AC17" s="15">
        <v>1.559331587032581</v>
      </c>
      <c r="AD17" s="15">
        <v>1.5948401334151645</v>
      </c>
      <c r="AE17" s="15">
        <v>1.63100911935313</v>
      </c>
      <c r="AF17" s="15">
        <v>1.668050672053359</v>
      </c>
      <c r="AG17" s="15">
        <v>1.7059752559582437</v>
      </c>
      <c r="AH17" s="15">
        <v>1.7446777979668011</v>
      </c>
      <c r="AI17" s="15">
        <v>1.7842998480129248</v>
      </c>
      <c r="AJ17" s="15">
        <v>1.8248950053427218</v>
      </c>
      <c r="AK17" s="15">
        <v>1.8664924528368707</v>
      </c>
      <c r="AL17" s="15">
        <v>1.9089631625243899</v>
      </c>
      <c r="AM17" s="15">
        <v>1.9522525958704884</v>
      </c>
    </row>
    <row r="18" spans="1:48" x14ac:dyDescent="0.3">
      <c r="A18" t="s">
        <v>13</v>
      </c>
      <c r="B18" s="24">
        <v>1.4647595320435247E-2</v>
      </c>
      <c r="C18" s="24">
        <f>+C17/B17-1</f>
        <v>1.6154632879984865E-2</v>
      </c>
      <c r="D18" s="24">
        <f t="shared" ref="D18:X18" si="9">+D17/C17-1</f>
        <v>1.2113723253701636E-3</v>
      </c>
      <c r="E18" s="24">
        <f t="shared" si="9"/>
        <v>1.2673605433996427E-2</v>
      </c>
      <c r="F18" s="24">
        <f t="shared" si="9"/>
        <v>2.1374864803398452E-2</v>
      </c>
      <c r="G18" s="24">
        <f t="shared" si="9"/>
        <v>2.4340959727715328E-2</v>
      </c>
      <c r="H18" s="24">
        <f t="shared" si="9"/>
        <v>1.8121098038382799E-2</v>
      </c>
      <c r="I18" s="24">
        <f t="shared" si="9"/>
        <v>1.2483738511019693E-2</v>
      </c>
      <c r="J18" s="24">
        <f t="shared" si="9"/>
        <v>2.7496050605083866E-2</v>
      </c>
      <c r="K18" s="24">
        <f t="shared" si="9"/>
        <v>2.4383908006520238E-2</v>
      </c>
      <c r="L18" s="24">
        <f t="shared" si="9"/>
        <v>2.3254348818304349E-2</v>
      </c>
      <c r="M18" s="24">
        <f t="shared" si="9"/>
        <v>2.3322663556387901E-2</v>
      </c>
      <c r="N18" s="24">
        <f t="shared" si="9"/>
        <v>2.33866875806652E-2</v>
      </c>
      <c r="O18" s="24">
        <f t="shared" si="9"/>
        <v>2.3112693171585263E-2</v>
      </c>
      <c r="P18" s="24">
        <f t="shared" si="9"/>
        <v>2.150215599095695E-2</v>
      </c>
      <c r="Q18" s="24">
        <f t="shared" si="9"/>
        <v>2.1215560813453882E-2</v>
      </c>
      <c r="R18" s="24">
        <f t="shared" si="9"/>
        <v>2.1052556136989864E-2</v>
      </c>
      <c r="S18" s="24">
        <f t="shared" si="9"/>
        <v>2.1010884477632219E-2</v>
      </c>
      <c r="T18" s="24">
        <f t="shared" si="9"/>
        <v>2.1033101432445411E-2</v>
      </c>
      <c r="U18" s="24">
        <f t="shared" si="9"/>
        <v>2.1243956794027685E-2</v>
      </c>
      <c r="V18" s="24">
        <f t="shared" si="9"/>
        <v>2.1496681687339203E-2</v>
      </c>
      <c r="W18" s="24">
        <f t="shared" si="9"/>
        <v>2.1733992121221402E-2</v>
      </c>
      <c r="X18" s="24">
        <f t="shared" si="9"/>
        <v>2.1880660726989909E-2</v>
      </c>
      <c r="Y18" s="24">
        <f>+Y17/X17-1</f>
        <v>2.2079361715534818E-2</v>
      </c>
      <c r="Z18" s="24">
        <f>+Z17/Y17-1</f>
        <v>2.2241274836041658E-2</v>
      </c>
      <c r="AA18" s="24">
        <f>+AA17/Z17-1</f>
        <v>2.2437692726455127E-2</v>
      </c>
      <c r="AB18" s="24">
        <f>+AB17/AA17-1</f>
        <v>2.2612038705359438E-2</v>
      </c>
      <c r="AC18" s="24">
        <f>+AC17/AB17-1</f>
        <v>2.2753258093921369E-2</v>
      </c>
      <c r="AD18" s="24">
        <f>+AD17/AC17-1</f>
        <v>2.2771645670409679E-2</v>
      </c>
      <c r="AE18" s="24">
        <f>+AE17/AD17-1</f>
        <v>2.2678753299563592E-2</v>
      </c>
      <c r="AF18" s="24">
        <f>+AF17/AE17-1</f>
        <v>2.2710818879369654E-2</v>
      </c>
      <c r="AG18" s="24">
        <f>+AG17/AF17-1</f>
        <v>2.2735870402665892E-2</v>
      </c>
      <c r="AH18" s="21">
        <f>+AH17/AG17-1</f>
        <v>2.2686461525972312E-2</v>
      </c>
      <c r="AI18" s="21">
        <f>+AI17/AH17-1</f>
        <v>2.2710239158369561E-2</v>
      </c>
      <c r="AJ18" s="21">
        <f>+AJ17/AI17-1</f>
        <v>2.2751309077902793E-2</v>
      </c>
      <c r="AK18" s="21">
        <f>+AK17/AJ17-1</f>
        <v>2.2794433308417572E-2</v>
      </c>
      <c r="AL18" s="21">
        <f>+AL17/AK17-1</f>
        <v>2.2754289535416028E-2</v>
      </c>
      <c r="AM18" s="21">
        <f>+AM17/AL17-1</f>
        <v>2.2676934891112888E-2</v>
      </c>
    </row>
    <row r="19" spans="1:48" x14ac:dyDescent="0.3">
      <c r="B19" s="13"/>
      <c r="C19" s="13"/>
      <c r="D19" s="13"/>
      <c r="E19" s="13"/>
      <c r="F19" s="13"/>
      <c r="G19" s="13"/>
      <c r="H19" s="13"/>
      <c r="I19" s="13"/>
      <c r="J19" s="2"/>
      <c r="K19" s="15"/>
      <c r="L19" s="15"/>
      <c r="M19" s="15"/>
      <c r="N19" s="15"/>
      <c r="O19" s="13"/>
      <c r="P19" s="13"/>
      <c r="Q19" s="13"/>
      <c r="R19" s="13"/>
      <c r="S19" s="13"/>
      <c r="T19" s="13"/>
      <c r="U19" s="13"/>
      <c r="V19" s="13"/>
      <c r="W19" s="13"/>
      <c r="X19" s="13"/>
      <c r="Y19" s="13"/>
      <c r="Z19" s="13"/>
      <c r="AA19" s="13"/>
      <c r="AB19" s="13"/>
      <c r="AC19" s="13"/>
      <c r="AD19" s="13"/>
      <c r="AE19" s="13"/>
      <c r="AF19" s="13"/>
      <c r="AG19" s="13"/>
      <c r="AH19" s="15"/>
      <c r="AI19" s="15"/>
      <c r="AJ19" s="15"/>
      <c r="AK19" s="15"/>
      <c r="AL19" s="15"/>
      <c r="AM19" s="15"/>
    </row>
    <row r="20" spans="1:48" x14ac:dyDescent="0.3">
      <c r="G20" s="9"/>
      <c r="H20" s="9"/>
      <c r="I20" s="9"/>
      <c r="J20" s="9"/>
      <c r="K20" s="9"/>
      <c r="L20" s="9"/>
      <c r="M20" s="9"/>
      <c r="N20" s="9"/>
      <c r="O20" s="9"/>
      <c r="P20" s="9"/>
      <c r="Q20" s="9"/>
      <c r="R20" s="9"/>
      <c r="S20" s="9"/>
      <c r="AH20" s="15"/>
      <c r="AI20" s="15"/>
      <c r="AJ20" s="15"/>
      <c r="AK20" s="15"/>
      <c r="AL20" s="15"/>
      <c r="AM20" s="15"/>
    </row>
    <row r="21" spans="1:48" ht="15.6" x14ac:dyDescent="0.35">
      <c r="A21" s="116" t="s">
        <v>83</v>
      </c>
      <c r="B21" s="116"/>
      <c r="C21" s="116"/>
      <c r="D21" s="116"/>
      <c r="E21" s="116"/>
      <c r="F21" s="116"/>
      <c r="G21" s="116"/>
      <c r="H21" s="116"/>
      <c r="I21" s="116"/>
      <c r="J21" s="116"/>
      <c r="K21" s="116"/>
      <c r="L21" s="116"/>
      <c r="M21" s="116"/>
      <c r="N21" s="116"/>
      <c r="O21" s="116"/>
      <c r="P21" s="116"/>
      <c r="Q21" s="116"/>
      <c r="R21" s="116"/>
      <c r="S21" s="116"/>
      <c r="AH21" s="15"/>
      <c r="AI21" s="15"/>
      <c r="AJ21" s="15"/>
      <c r="AK21" s="15"/>
      <c r="AL21" s="15"/>
      <c r="AM21" s="15"/>
    </row>
    <row r="22" spans="1:48" x14ac:dyDescent="0.3">
      <c r="B22">
        <v>2013</v>
      </c>
      <c r="C22">
        <v>2014</v>
      </c>
      <c r="D22">
        <v>2015</v>
      </c>
      <c r="E22">
        <v>2016</v>
      </c>
      <c r="F22">
        <v>2017</v>
      </c>
      <c r="G22">
        <v>2018</v>
      </c>
      <c r="H22">
        <v>2019</v>
      </c>
      <c r="I22">
        <v>2020</v>
      </c>
      <c r="J22">
        <v>2021</v>
      </c>
      <c r="K22">
        <v>2022</v>
      </c>
      <c r="L22">
        <v>2023</v>
      </c>
      <c r="M22">
        <v>2024</v>
      </c>
      <c r="N22">
        <f>+N5</f>
        <v>2025</v>
      </c>
      <c r="O22">
        <f t="shared" ref="O22:X22" si="10">+O5</f>
        <v>2026</v>
      </c>
      <c r="P22">
        <f t="shared" si="10"/>
        <v>2027</v>
      </c>
      <c r="Q22">
        <f t="shared" si="10"/>
        <v>2028</v>
      </c>
      <c r="R22">
        <f t="shared" si="10"/>
        <v>2029</v>
      </c>
      <c r="S22">
        <f t="shared" si="10"/>
        <v>2030</v>
      </c>
      <c r="T22">
        <f t="shared" si="10"/>
        <v>2031</v>
      </c>
      <c r="U22">
        <f t="shared" si="10"/>
        <v>2032</v>
      </c>
      <c r="V22">
        <f t="shared" si="10"/>
        <v>2033</v>
      </c>
      <c r="W22">
        <f t="shared" si="10"/>
        <v>2034</v>
      </c>
      <c r="X22">
        <f t="shared" si="10"/>
        <v>2035</v>
      </c>
      <c r="Y22">
        <f>+Y5</f>
        <v>2036</v>
      </c>
      <c r="Z22">
        <f>+Z5</f>
        <v>2037</v>
      </c>
      <c r="AA22">
        <f>+AA5</f>
        <v>2038</v>
      </c>
      <c r="AB22">
        <f>+AB5</f>
        <v>2039</v>
      </c>
      <c r="AC22">
        <f>+AC5</f>
        <v>2040</v>
      </c>
      <c r="AD22">
        <f>+AD5</f>
        <v>2041</v>
      </c>
      <c r="AE22">
        <f>+AE5</f>
        <v>2042</v>
      </c>
      <c r="AF22">
        <f>+AF5</f>
        <v>2043</v>
      </c>
      <c r="AG22">
        <f>+AG5</f>
        <v>2044</v>
      </c>
      <c r="AH22">
        <f>+AH5</f>
        <v>2045</v>
      </c>
      <c r="AI22">
        <f>+AI5</f>
        <v>2046</v>
      </c>
      <c r="AJ22">
        <f>+AJ5</f>
        <v>2047</v>
      </c>
      <c r="AK22">
        <f>+AK5</f>
        <v>2048</v>
      </c>
      <c r="AL22">
        <f>+AL5</f>
        <v>2049</v>
      </c>
      <c r="AM22">
        <f>+AM5</f>
        <v>2050</v>
      </c>
    </row>
    <row r="23" spans="1:48" x14ac:dyDescent="0.3">
      <c r="A23" t="str">
        <f>+A6</f>
        <v>Annual Average Auction Sale Price</v>
      </c>
      <c r="B23" s="13">
        <f t="shared" ref="B23:I23" si="11">+B11/B$31</f>
        <v>14.185333739167234</v>
      </c>
      <c r="C23" s="13">
        <f t="shared" si="11"/>
        <v>12.754384016691557</v>
      </c>
      <c r="D23" s="13">
        <f t="shared" si="11"/>
        <v>13.58351465192686</v>
      </c>
      <c r="E23" s="13">
        <f t="shared" si="11"/>
        <v>13.729211726124237</v>
      </c>
      <c r="F23" s="13">
        <f t="shared" si="11"/>
        <v>15.296874873276192</v>
      </c>
      <c r="G23" s="13">
        <f t="shared" si="11"/>
        <v>15.338894408397467</v>
      </c>
      <c r="H23" s="13">
        <f t="shared" si="11"/>
        <v>16.987931658317272</v>
      </c>
      <c r="I23" s="13">
        <f t="shared" si="11"/>
        <v>17.1180838726224</v>
      </c>
      <c r="AH23" s="15"/>
      <c r="AI23" s="15"/>
      <c r="AJ23" s="15"/>
      <c r="AK23" s="15"/>
      <c r="AL23" s="15"/>
      <c r="AM23" s="15"/>
    </row>
    <row r="24" spans="1:48" x14ac:dyDescent="0.3">
      <c r="A24" t="s">
        <v>80</v>
      </c>
      <c r="C24" s="13"/>
      <c r="D24" s="13"/>
      <c r="E24" s="13"/>
      <c r="F24" s="13"/>
      <c r="G24" s="13"/>
      <c r="H24" s="13"/>
      <c r="I24" s="13"/>
      <c r="J24" s="13">
        <f t="shared" ref="J24:X24" si="12">+J7/J$31</f>
        <v>21.640603272934321</v>
      </c>
      <c r="K24" s="13">
        <f t="shared" si="12"/>
        <v>18.716443060386339</v>
      </c>
      <c r="L24" s="13">
        <f t="shared" si="12"/>
        <v>19.63099783760282</v>
      </c>
      <c r="M24" s="13">
        <f t="shared" si="12"/>
        <v>20.590177113930899</v>
      </c>
      <c r="N24" s="13">
        <f t="shared" si="12"/>
        <v>21.596159376735546</v>
      </c>
      <c r="O24" s="13">
        <f t="shared" si="12"/>
        <v>22.651573874125312</v>
      </c>
      <c r="P24" s="13">
        <f t="shared" si="12"/>
        <v>23.760312301219042</v>
      </c>
      <c r="Q24" s="13">
        <f t="shared" si="12"/>
        <v>24.923647115775371</v>
      </c>
      <c r="R24" s="13">
        <f t="shared" si="12"/>
        <v>26.144135080179016</v>
      </c>
      <c r="S24" s="13">
        <f t="shared" si="12"/>
        <v>27.424441464647916</v>
      </c>
      <c r="T24" s="13">
        <f t="shared" si="12"/>
        <v>28.767416605521074</v>
      </c>
      <c r="U24" s="13">
        <f t="shared" si="12"/>
        <v>30.175866389440973</v>
      </c>
      <c r="V24" s="13">
        <f t="shared" si="12"/>
        <v>31.652908211035324</v>
      </c>
      <c r="W24" s="13">
        <f t="shared" si="12"/>
        <v>33.201888104780508</v>
      </c>
      <c r="X24" s="13">
        <f t="shared" si="12"/>
        <v>34.826436321651542</v>
      </c>
      <c r="Y24" s="13">
        <f>+Y7/Y$31</f>
        <v>36.530141416684287</v>
      </c>
      <c r="Z24" s="13">
        <f>+Z7/Z$31</f>
        <v>38.316908509538344</v>
      </c>
      <c r="AA24" s="13">
        <f>+AA7/AA$31</f>
        <v>40.190710149585549</v>
      </c>
      <c r="AB24" s="13">
        <f>+AB7/AB$31</f>
        <v>42.15581072675397</v>
      </c>
      <c r="AC24" s="13">
        <f>+AC7/AC$31</f>
        <v>44.216709110266272</v>
      </c>
      <c r="AD24" s="13">
        <f>+AD7/AD$31</f>
        <v>46.378321103395145</v>
      </c>
      <c r="AE24" s="13">
        <f>+AE7/AE$31</f>
        <v>48.645813263262582</v>
      </c>
      <c r="AF24" s="13">
        <f>+AF7/AF$31</f>
        <v>51.024091285028604</v>
      </c>
      <c r="AG24" s="13">
        <f>+AG7/AG$31</f>
        <v>53.518581444298164</v>
      </c>
      <c r="AH24" s="17">
        <f>+AH7/AH$31</f>
        <v>56.135149838312209</v>
      </c>
      <c r="AI24" s="17">
        <f>+AI7/AI$31</f>
        <v>58.879580650137662</v>
      </c>
      <c r="AJ24" s="17">
        <f>+AJ7/AJ$31</f>
        <v>61.758070275500387</v>
      </c>
      <c r="AK24" s="17">
        <f>+AK7/AK$31</f>
        <v>64.77715545353233</v>
      </c>
      <c r="AL24" s="17">
        <f>+AL7/AL$31</f>
        <v>67.943954953486383</v>
      </c>
      <c r="AM24" s="17">
        <f>+AM7/AM$31</f>
        <v>71.265822917621136</v>
      </c>
    </row>
    <row r="25" spans="1:48" x14ac:dyDescent="0.3">
      <c r="A25" t="s">
        <v>22</v>
      </c>
      <c r="B25" s="13"/>
      <c r="C25" s="13"/>
      <c r="D25" s="13"/>
      <c r="E25" s="13"/>
      <c r="F25" s="13"/>
      <c r="G25" s="13"/>
      <c r="H25" s="13"/>
      <c r="I25" s="13"/>
      <c r="J25" s="13">
        <f t="shared" ref="J25:X25" si="13">+J8/J$31</f>
        <v>21.640603272934321</v>
      </c>
      <c r="K25" s="13">
        <f t="shared" si="13"/>
        <v>23.677210778008796</v>
      </c>
      <c r="L25" s="13">
        <f t="shared" si="13"/>
        <v>25.934081166100704</v>
      </c>
      <c r="M25" s="13">
        <f t="shared" si="13"/>
        <v>28.404176172788631</v>
      </c>
      <c r="N25" s="13">
        <f t="shared" si="13"/>
        <v>31.107589465078661</v>
      </c>
      <c r="O25" s="13">
        <f t="shared" si="13"/>
        <v>34.077428131702007</v>
      </c>
      <c r="P25" s="13">
        <f t="shared" si="13"/>
        <v>37.389654101416959</v>
      </c>
      <c r="Q25" s="13">
        <f t="shared" si="13"/>
        <v>41.035331685735372</v>
      </c>
      <c r="R25" s="13">
        <f t="shared" si="13"/>
        <v>45.043670794106305</v>
      </c>
      <c r="S25" s="13">
        <f t="shared" si="13"/>
        <v>49.445563233886304</v>
      </c>
      <c r="T25" s="13">
        <f t="shared" si="13"/>
        <v>54.276449541467294</v>
      </c>
      <c r="U25" s="13">
        <f t="shared" si="13"/>
        <v>59.567017502611051</v>
      </c>
      <c r="V25" s="13">
        <f t="shared" si="13"/>
        <v>65.357106980155493</v>
      </c>
      <c r="W25" s="13">
        <f t="shared" si="13"/>
        <v>71.693354659797563</v>
      </c>
      <c r="X25" s="13">
        <f t="shared" si="13"/>
        <v>78.632601936442796</v>
      </c>
      <c r="Y25" s="13">
        <f>+Y8/Y$31</f>
        <v>80.923292953950664</v>
      </c>
      <c r="Z25" s="13">
        <f>+Z8/Z$31</f>
        <v>83.267524534406505</v>
      </c>
      <c r="AA25" s="13">
        <f>+AA8/AA$31</f>
        <v>85.6632054357692</v>
      </c>
      <c r="AB25" s="13">
        <f>+AB8/AB$31</f>
        <v>88.112787227888944</v>
      </c>
      <c r="AC25" s="13">
        <f>+AC8/AC$31</f>
        <v>90.619901711756214</v>
      </c>
      <c r="AD25" s="13">
        <f>+AD8/AD$31</f>
        <v>93.196676763457333</v>
      </c>
      <c r="AE25" s="13">
        <f>+AE8/AE$31</f>
        <v>95.855428349366818</v>
      </c>
      <c r="AF25" s="13">
        <f>+AF8/AF$31</f>
        <v>98.586938706055619</v>
      </c>
      <c r="AG25" s="13">
        <f>+AG8/AG$31</f>
        <v>101.39380291963104</v>
      </c>
      <c r="AH25" s="17">
        <f>+AH8/AH$31</f>
        <v>104.28561932553623</v>
      </c>
      <c r="AI25" s="17">
        <f>+AI8/AI$31</f>
        <v>107.25741844032652</v>
      </c>
      <c r="AJ25" s="17">
        <f>+AJ8/AJ$31</f>
        <v>110.30947431204868</v>
      </c>
      <c r="AK25" s="17">
        <f>+AK8/AK$31</f>
        <v>113.44359440294591</v>
      </c>
      <c r="AL25" s="17">
        <f>+AL8/AL$31</f>
        <v>116.67134056794833</v>
      </c>
      <c r="AM25" s="17">
        <f>+AM8/AM$31</f>
        <v>120.00000000000003</v>
      </c>
      <c r="AN25" s="13"/>
      <c r="AO25" s="13"/>
      <c r="AP25" s="13"/>
      <c r="AQ25" s="13"/>
      <c r="AR25" s="13"/>
      <c r="AS25" s="13"/>
      <c r="AT25" s="13"/>
      <c r="AU25" s="13"/>
      <c r="AV25" s="13"/>
    </row>
    <row r="26" spans="1:48" x14ac:dyDescent="0.3">
      <c r="A26" t="s">
        <v>79</v>
      </c>
      <c r="B26" s="13"/>
      <c r="C26" s="13"/>
      <c r="D26" s="13"/>
      <c r="E26" s="13"/>
      <c r="F26" s="13"/>
      <c r="G26" s="13"/>
      <c r="H26" s="13"/>
      <c r="I26" s="13"/>
      <c r="J26" s="13">
        <f t="shared" ref="J26:X26" si="14">+J9/J$31</f>
        <v>21.640603272934321</v>
      </c>
      <c r="K26" s="13">
        <f t="shared" si="14"/>
        <v>24.105154436638944</v>
      </c>
      <c r="L26" s="13">
        <f t="shared" si="14"/>
        <v>26.880022109994346</v>
      </c>
      <c r="M26" s="13">
        <f t="shared" si="14"/>
        <v>29.972317981570008</v>
      </c>
      <c r="N26" s="13">
        <f t="shared" si="14"/>
        <v>33.418262847224113</v>
      </c>
      <c r="O26" s="13">
        <f t="shared" si="14"/>
        <v>37.270369660671733</v>
      </c>
      <c r="P26" s="13">
        <f t="shared" si="14"/>
        <v>41.632042198041439</v>
      </c>
      <c r="Q26" s="13">
        <f t="shared" si="14"/>
        <v>46.517203029663783</v>
      </c>
      <c r="R26" s="13">
        <f t="shared" si="14"/>
        <v>51.983892901573114</v>
      </c>
      <c r="S26" s="13">
        <f t="shared" si="14"/>
        <v>58.0953977928759</v>
      </c>
      <c r="T26" s="13">
        <f t="shared" si="14"/>
        <v>64.923991203650672</v>
      </c>
      <c r="U26" s="13">
        <f t="shared" si="14"/>
        <v>72.540244163195624</v>
      </c>
      <c r="V26" s="13">
        <f t="shared" si="14"/>
        <v>81.02990976559505</v>
      </c>
      <c r="W26" s="13">
        <f t="shared" si="14"/>
        <v>90.492130993535099</v>
      </c>
      <c r="X26" s="13">
        <f t="shared" si="14"/>
        <v>101.04479282654013</v>
      </c>
      <c r="Y26" s="13">
        <f>+Y9/Y$31</f>
        <v>103.79698838218545</v>
      </c>
      <c r="Z26" s="13">
        <f>+Z9/Z$31</f>
        <v>106.60725830526228</v>
      </c>
      <c r="AA26" s="13">
        <f>+AA9/AA$31</f>
        <v>109.47258084005651</v>
      </c>
      <c r="AB26" s="13">
        <f>+AB9/AB$31</f>
        <v>112.39574999095969</v>
      </c>
      <c r="AC26" s="13">
        <f>+AC9/AC$31</f>
        <v>115.38104072139154</v>
      </c>
      <c r="AD26" s="13">
        <f>+AD9/AD$31</f>
        <v>118.44349291976216</v>
      </c>
      <c r="AE26" s="13">
        <f>+AE9/AE$31</f>
        <v>121.59827301349625</v>
      </c>
      <c r="AF26" s="13">
        <f>+AF9/AF$31</f>
        <v>124.83316759669692</v>
      </c>
      <c r="AG26" s="13">
        <f>+AG9/AG$31</f>
        <v>128.15098141278025</v>
      </c>
      <c r="AH26" s="13">
        <f>+AH9/AH$31</f>
        <v>131.56333191808503</v>
      </c>
      <c r="AI26" s="13">
        <f>+AI9/AI$31</f>
        <v>135.06340481244283</v>
      </c>
      <c r="AJ26" s="13">
        <f>+AJ9/AJ$31</f>
        <v>138.65102469821929</v>
      </c>
      <c r="AK26" s="13">
        <f>+AK9/AK$31</f>
        <v>142.32793944262644</v>
      </c>
      <c r="AL26" s="13">
        <f>+AL9/AL$31</f>
        <v>146.10809765057513</v>
      </c>
      <c r="AM26" s="13">
        <f>+AM9/AM$31</f>
        <v>150.00000000000006</v>
      </c>
      <c r="AN26" s="13"/>
      <c r="AO26" s="13"/>
      <c r="AP26" s="13"/>
      <c r="AQ26" s="13"/>
      <c r="AR26" s="13"/>
      <c r="AS26" s="13"/>
      <c r="AT26" s="13"/>
      <c r="AU26" s="13"/>
      <c r="AV26" s="13"/>
    </row>
    <row r="27" spans="1:48" x14ac:dyDescent="0.3">
      <c r="B27" s="13"/>
      <c r="C27" s="13"/>
      <c r="D27" s="13"/>
      <c r="E27" s="13"/>
      <c r="F27" s="13"/>
      <c r="G27" s="13"/>
      <c r="H27" s="13"/>
      <c r="I27" s="13"/>
      <c r="J27" s="13"/>
      <c r="K27" s="13"/>
      <c r="L27" s="13"/>
      <c r="M27" s="13"/>
      <c r="N27" s="13"/>
      <c r="O27" s="13"/>
      <c r="P27" s="13"/>
      <c r="Q27" s="13"/>
      <c r="R27" s="13"/>
      <c r="S27" s="13"/>
      <c r="T27" s="13"/>
      <c r="U27" s="13"/>
      <c r="AH27" s="15"/>
      <c r="AI27" s="15"/>
      <c r="AJ27" s="15"/>
      <c r="AK27" s="15"/>
      <c r="AL27" s="15"/>
      <c r="AM27" s="15"/>
    </row>
    <row r="28" spans="1:48" x14ac:dyDescent="0.3">
      <c r="A28" t="s">
        <v>14</v>
      </c>
      <c r="B28" s="13">
        <f t="shared" ref="B28:X28" si="15">+B12/B$31</f>
        <v>13.336834110172488</v>
      </c>
      <c r="C28" s="13">
        <f t="shared" si="15"/>
        <v>12.754384016691557</v>
      </c>
      <c r="D28" s="13">
        <f t="shared" si="15"/>
        <v>13.58351465192686</v>
      </c>
      <c r="E28" s="13">
        <f t="shared" si="15"/>
        <v>13.729211726124237</v>
      </c>
      <c r="F28" s="13">
        <f t="shared" si="15"/>
        <v>14.328867956021604</v>
      </c>
      <c r="G28" s="13">
        <f t="shared" si="15"/>
        <v>14.977975237851236</v>
      </c>
      <c r="H28" s="13">
        <f t="shared" si="15"/>
        <v>15.814995995542127</v>
      </c>
      <c r="I28" s="13">
        <f t="shared" si="15"/>
        <v>16.68</v>
      </c>
      <c r="J28" s="13">
        <f t="shared" si="15"/>
        <v>17.236075982550716</v>
      </c>
      <c r="K28" s="13">
        <f t="shared" si="15"/>
        <v>18.716443060386339</v>
      </c>
      <c r="L28" s="13">
        <f t="shared" si="15"/>
        <v>19.63099783760282</v>
      </c>
      <c r="M28" s="13">
        <f t="shared" si="15"/>
        <v>20.590177113930899</v>
      </c>
      <c r="N28" s="13">
        <f t="shared" si="15"/>
        <v>21.596159376735546</v>
      </c>
      <c r="O28" s="13">
        <f t="shared" si="15"/>
        <v>22.651573874125312</v>
      </c>
      <c r="P28" s="13">
        <f t="shared" si="15"/>
        <v>23.760312301219042</v>
      </c>
      <c r="Q28" s="13">
        <f t="shared" si="15"/>
        <v>24.923647115775371</v>
      </c>
      <c r="R28" s="13">
        <f t="shared" si="15"/>
        <v>26.144135080179016</v>
      </c>
      <c r="S28" s="13">
        <f t="shared" si="15"/>
        <v>27.424441464647916</v>
      </c>
      <c r="T28" s="13">
        <f t="shared" si="15"/>
        <v>28.767416605521074</v>
      </c>
      <c r="U28" s="13">
        <f t="shared" si="15"/>
        <v>30.175866389440973</v>
      </c>
      <c r="V28" s="13">
        <f t="shared" si="15"/>
        <v>31.652908211035324</v>
      </c>
      <c r="W28" s="13">
        <f t="shared" si="15"/>
        <v>33.201888104780508</v>
      </c>
      <c r="X28" s="13">
        <f t="shared" si="15"/>
        <v>34.826436321651542</v>
      </c>
      <c r="Y28" s="13">
        <f>+Y12/Y$31</f>
        <v>36.530141416684287</v>
      </c>
      <c r="Z28" s="13">
        <f>+Z12/Z$31</f>
        <v>38.316908509538344</v>
      </c>
      <c r="AA28" s="13">
        <f>+AA12/AA$31</f>
        <v>40.190710149585549</v>
      </c>
      <c r="AB28" s="13">
        <f>+AB12/AB$31</f>
        <v>42.15581072675397</v>
      </c>
      <c r="AC28" s="13">
        <f>+AC12/AC$31</f>
        <v>44.216709110266272</v>
      </c>
      <c r="AD28" s="13">
        <f>+AD12/AD$31</f>
        <v>46.378321103395145</v>
      </c>
      <c r="AE28" s="13">
        <f>+AE12/AE$31</f>
        <v>48.645813263262582</v>
      </c>
      <c r="AF28" s="13">
        <f>+AF12/AF$31</f>
        <v>51.024091285028604</v>
      </c>
      <c r="AG28" s="13">
        <f>+AG12/AG$31</f>
        <v>53.518581444298164</v>
      </c>
      <c r="AH28" s="13">
        <f>+AH12/AH$31</f>
        <v>56.135149838312209</v>
      </c>
      <c r="AI28" s="13">
        <f>+AI12/AI$31</f>
        <v>58.879580650137662</v>
      </c>
      <c r="AJ28" s="13">
        <f>+AJ12/AJ$31</f>
        <v>61.758070275500387</v>
      </c>
      <c r="AK28" s="13">
        <f>+AK12/AK$31</f>
        <v>64.77715545353233</v>
      </c>
      <c r="AL28" s="13">
        <f>+AL12/AL$31</f>
        <v>67.943954953486383</v>
      </c>
      <c r="AM28" s="13">
        <f>+AM12/AM$31</f>
        <v>71.265822917621136</v>
      </c>
    </row>
    <row r="29" spans="1:48" x14ac:dyDescent="0.3">
      <c r="A29" t="s">
        <v>15</v>
      </c>
      <c r="B29" s="13">
        <f t="shared" ref="B29:X29" si="16">+B13/B$31</f>
        <v>43.334807529885481</v>
      </c>
      <c r="C29" s="13">
        <f t="shared" si="16"/>
        <v>43.739363087820095</v>
      </c>
      <c r="D29" s="13">
        <f t="shared" si="16"/>
        <v>45.923685214836738</v>
      </c>
      <c r="E29" s="13">
        <f t="shared" si="16"/>
        <v>48.191132740298578</v>
      </c>
      <c r="F29" s="13">
        <f t="shared" si="16"/>
        <v>50.550263280953452</v>
      </c>
      <c r="G29" s="13">
        <f t="shared" si="16"/>
        <v>53.017716271137033</v>
      </c>
      <c r="H29" s="13">
        <f t="shared" si="16"/>
        <v>55.621420112128362</v>
      </c>
      <c r="I29" s="13">
        <f t="shared" si="16"/>
        <v>58.368201023095217</v>
      </c>
      <c r="J29" s="13">
        <f t="shared" si="16"/>
        <v>63.260583786888567</v>
      </c>
      <c r="K29" s="13">
        <f t="shared" si="16"/>
        <v>66.34832185522643</v>
      </c>
      <c r="L29" s="13">
        <f t="shared" si="16"/>
        <v>69.590346769747839</v>
      </c>
      <c r="M29" s="13">
        <f t="shared" si="16"/>
        <v>72.990562031662307</v>
      </c>
      <c r="N29" s="13">
        <f t="shared" si="16"/>
        <v>76.55669020771937</v>
      </c>
      <c r="O29" s="13">
        <f t="shared" si="16"/>
        <v>80.298051776130691</v>
      </c>
      <c r="P29" s="13">
        <f t="shared" si="16"/>
        <v>84.228442490687428</v>
      </c>
      <c r="Q29" s="13">
        <f t="shared" si="16"/>
        <v>88.35237311428638</v>
      </c>
      <c r="R29" s="13">
        <f t="shared" si="16"/>
        <v>92.678907168936576</v>
      </c>
      <c r="S29" s="13">
        <f t="shared" si="16"/>
        <v>97.21749282840058</v>
      </c>
      <c r="T29" s="13">
        <f t="shared" si="16"/>
        <v>101.97823431131678</v>
      </c>
      <c r="U29" s="13">
        <f t="shared" si="16"/>
        <v>106.9710782656377</v>
      </c>
      <c r="V29" s="13">
        <f t="shared" si="16"/>
        <v>112.20707561067752</v>
      </c>
      <c r="W29" s="13">
        <f t="shared" si="16"/>
        <v>117.69808777607122</v>
      </c>
      <c r="X29" s="13">
        <f t="shared" si="16"/>
        <v>123.45698371663723</v>
      </c>
      <c r="Y29" s="13">
        <f>+Y13/Y$31</f>
        <v>129.49648457836179</v>
      </c>
      <c r="Z29" s="13">
        <f>+Z13/Z$31</f>
        <v>135.83043370397951</v>
      </c>
      <c r="AA29" s="13">
        <f>+AA13/AA$31</f>
        <v>142.47291346926335</v>
      </c>
      <c r="AB29" s="13">
        <f>+AB13/AB$31</f>
        <v>149.4390408018555</v>
      </c>
      <c r="AC29" s="13">
        <f>+AC13/AC$31</f>
        <v>156.74476384009645</v>
      </c>
      <c r="AD29" s="13">
        <f>+AD13/AD$31</f>
        <v>164.40750872081483</v>
      </c>
      <c r="AE29" s="13">
        <f>+AE13/AE$31</f>
        <v>172.44559048355666</v>
      </c>
      <c r="AF29" s="13">
        <f>+AF13/AF$31</f>
        <v>180.87639943268431</v>
      </c>
      <c r="AG29" s="13">
        <f>+AG13/AG$31</f>
        <v>189.71917128938426</v>
      </c>
      <c r="AH29" s="13">
        <f>+AH13/AH$31</f>
        <v>198.99470090802714</v>
      </c>
      <c r="AI29" s="13">
        <f>+AI13/AI$31</f>
        <v>208.72349276366498</v>
      </c>
      <c r="AJ29" s="13">
        <f>+AJ13/AJ$31</f>
        <v>218.92751259287681</v>
      </c>
      <c r="AK29" s="13">
        <f>+AK13/AK$31</f>
        <v>229.62993262290746</v>
      </c>
      <c r="AL29" s="13">
        <f>+AL13/AL$31</f>
        <v>240.85598833210503</v>
      </c>
      <c r="AM29" s="13">
        <f>+AM13/AM$31</f>
        <v>252.63174957765176</v>
      </c>
    </row>
    <row r="30" spans="1:48" x14ac:dyDescent="0.3">
      <c r="A30" t="str">
        <f>+A14</f>
        <v>Post 2020 Tier Price 1</v>
      </c>
      <c r="B30" s="13">
        <f>+B14/B$31</f>
        <v>0</v>
      </c>
      <c r="C30" s="13">
        <f>+C14/C$31</f>
        <v>0</v>
      </c>
      <c r="D30" s="13"/>
      <c r="E30" s="13"/>
      <c r="F30" s="13"/>
      <c r="G30" s="13"/>
      <c r="H30" s="13"/>
      <c r="I30" s="13"/>
      <c r="J30" s="13">
        <f t="shared" ref="J30:X30" si="17">+J14/J$31</f>
        <v>40.292125673495178</v>
      </c>
      <c r="K30" s="13">
        <f t="shared" si="17"/>
        <v>42.258777304713441</v>
      </c>
      <c r="L30" s="13">
        <f t="shared" si="17"/>
        <v>44.323697788731693</v>
      </c>
      <c r="M30" s="13">
        <f t="shared" si="17"/>
        <v>46.489373355551059</v>
      </c>
      <c r="N30" s="13">
        <f t="shared" si="17"/>
        <v>48.760722686147403</v>
      </c>
      <c r="O30" s="13">
        <f t="shared" si="17"/>
        <v>51.143682208181694</v>
      </c>
      <c r="P30" s="13">
        <f t="shared" si="17"/>
        <v>53.647038755607063</v>
      </c>
      <c r="Q30" s="13">
        <f t="shared" si="17"/>
        <v>56.27366533740701</v>
      </c>
      <c r="R30" s="13">
        <f t="shared" si="17"/>
        <v>59.029334719907304</v>
      </c>
      <c r="S30" s="13">
        <f t="shared" si="17"/>
        <v>61.920064663012063</v>
      </c>
      <c r="T30" s="13">
        <f t="shared" si="17"/>
        <v>64.952290776746381</v>
      </c>
      <c r="U30" s="13">
        <f t="shared" si="17"/>
        <v>68.132348310729242</v>
      </c>
      <c r="V30" s="13">
        <f t="shared" si="17"/>
        <v>71.467275850493067</v>
      </c>
      <c r="W30" s="13">
        <f t="shared" si="17"/>
        <v>74.964628214297662</v>
      </c>
      <c r="X30" s="13">
        <f t="shared" si="17"/>
        <v>78.632601936442782</v>
      </c>
      <c r="Y30" s="13">
        <f>+Y14/Y$31</f>
        <v>82.479299408371958</v>
      </c>
      <c r="Z30" s="13">
        <f>+Z14/Z$31</f>
        <v>86.51353777453464</v>
      </c>
      <c r="AA30" s="13">
        <f>+AA14/AA$31</f>
        <v>90.744286425038496</v>
      </c>
      <c r="AB30" s="13">
        <f>+AB14/AB$31</f>
        <v>95.181173679951044</v>
      </c>
      <c r="AC30" s="13">
        <f>+AC14/AC$31</f>
        <v>99.834357276615293</v>
      </c>
      <c r="AD30" s="13">
        <f>+AD14/AD$31</f>
        <v>104.71493632371899</v>
      </c>
      <c r="AE30" s="13">
        <f>+AE14/AE$31</f>
        <v>109.83457609260378</v>
      </c>
      <c r="AF30" s="13">
        <f>+AF14/AF$31</f>
        <v>115.20435286943278</v>
      </c>
      <c r="AG30" s="13">
        <f>+AG14/AG$31</f>
        <v>120.83651832893092</v>
      </c>
      <c r="AH30" s="13">
        <f>+AH14/AH$31</f>
        <v>126.74431719372808</v>
      </c>
      <c r="AI30" s="13">
        <f>+AI14/AI$31</f>
        <v>132.9408092371651</v>
      </c>
      <c r="AJ30" s="13">
        <f>+AJ14/AJ$31</f>
        <v>139.43998494377078</v>
      </c>
      <c r="AK30" s="13">
        <f>+AK14/AK$31</f>
        <v>146.25660323982106</v>
      </c>
      <c r="AL30" s="13">
        <f>+AL14/AL$31</f>
        <v>153.40673718383306</v>
      </c>
      <c r="AM30" s="13">
        <f>+AM14/AM$31</f>
        <v>160.90699126945819</v>
      </c>
    </row>
    <row r="31" spans="1:48" ht="18.75" customHeight="1" x14ac:dyDescent="0.3">
      <c r="A31" t="s">
        <v>84</v>
      </c>
      <c r="B31">
        <v>0.8999693831131933</v>
      </c>
      <c r="C31" s="7">
        <v>0.91450805810061331</v>
      </c>
      <c r="D31" s="7">
        <v>0.91561586785352445</v>
      </c>
      <c r="E31" s="7">
        <v>0.92722002209180621</v>
      </c>
      <c r="F31" s="7">
        <v>0.94703922470702262</v>
      </c>
      <c r="G31" s="7">
        <v>0.97009106833618297</v>
      </c>
      <c r="H31" s="7">
        <v>0.98767018369166248</v>
      </c>
      <c r="I31" s="7">
        <v>1</v>
      </c>
      <c r="J31" s="7">
        <v>1.0274960506050839</v>
      </c>
      <c r="K31" s="7">
        <v>1.052550419780101</v>
      </c>
      <c r="L31" s="7">
        <v>1.0770267943905201</v>
      </c>
      <c r="M31" s="7">
        <v>1.1021459279573051</v>
      </c>
      <c r="N31" s="7">
        <v>1.1279214704427449</v>
      </c>
      <c r="O31" s="7">
        <v>1.1539907733107313</v>
      </c>
      <c r="P31" s="7">
        <v>1.1788040629305836</v>
      </c>
      <c r="Q31" s="7">
        <v>1.2038130522148338</v>
      </c>
      <c r="R31" s="7">
        <v>1.2291563940750276</v>
      </c>
      <c r="S31" s="7">
        <v>1.254982057075881</v>
      </c>
      <c r="T31" s="15">
        <v>1.281378221978257</v>
      </c>
      <c r="U31">
        <v>1.3085997655627712</v>
      </c>
      <c r="V31" s="15">
        <v>1.3367303181792007</v>
      </c>
      <c r="W31" s="15">
        <v>1.3657828043827052</v>
      </c>
      <c r="X31" s="15">
        <v>1.39566703455216</v>
      </c>
      <c r="Y31" s="15">
        <v>1.4264824718424851</v>
      </c>
      <c r="Z31" s="15">
        <v>1.4582092605475299</v>
      </c>
      <c r="AA31" s="15">
        <v>1.4909281118665667</v>
      </c>
      <c r="AB31" s="15">
        <v>1.5246410360390019</v>
      </c>
      <c r="AC31" s="15">
        <v>1.559331587032581</v>
      </c>
      <c r="AD31" s="15">
        <v>1.5948401334151645</v>
      </c>
      <c r="AE31" s="15">
        <v>1.63100911935313</v>
      </c>
      <c r="AF31" s="15">
        <v>1.668050672053359</v>
      </c>
      <c r="AG31" s="15">
        <v>1.7059752559582437</v>
      </c>
      <c r="AH31" s="15">
        <v>1.7446777979668011</v>
      </c>
      <c r="AI31" s="15">
        <v>1.7842998480129248</v>
      </c>
      <c r="AJ31" s="15">
        <v>1.8248950053427218</v>
      </c>
      <c r="AK31" s="15">
        <v>1.8664924528368707</v>
      </c>
      <c r="AL31" s="15">
        <v>1.9089631625243899</v>
      </c>
      <c r="AM31" s="15">
        <v>1.9522525958704884</v>
      </c>
    </row>
    <row r="32" spans="1:48" ht="12.75" customHeight="1" x14ac:dyDescent="0.3">
      <c r="C32" s="101">
        <f>+C31/B31-1</f>
        <v>1.6154632879984865E-2</v>
      </c>
      <c r="D32" s="101">
        <f t="shared" ref="D32:X32" si="18">+D31/C31-1</f>
        <v>1.2113723253701636E-3</v>
      </c>
      <c r="E32" s="101">
        <f t="shared" si="18"/>
        <v>1.2673605433996427E-2</v>
      </c>
      <c r="F32" s="101">
        <f t="shared" si="18"/>
        <v>2.1374864803398452E-2</v>
      </c>
      <c r="G32" s="101">
        <f t="shared" si="18"/>
        <v>2.4340959727715328E-2</v>
      </c>
      <c r="H32" s="101">
        <f t="shared" si="18"/>
        <v>1.8121098038382799E-2</v>
      </c>
      <c r="I32" s="101">
        <f t="shared" si="18"/>
        <v>1.2483738511019693E-2</v>
      </c>
      <c r="J32" s="101">
        <f t="shared" si="18"/>
        <v>2.7496050605083866E-2</v>
      </c>
      <c r="K32" s="101">
        <f t="shared" si="18"/>
        <v>2.4383908006520238E-2</v>
      </c>
      <c r="L32" s="101">
        <f t="shared" si="18"/>
        <v>2.3254348818304349E-2</v>
      </c>
      <c r="M32" s="101">
        <f t="shared" si="18"/>
        <v>2.3322663556387901E-2</v>
      </c>
      <c r="N32" s="101">
        <f t="shared" si="18"/>
        <v>2.33866875806652E-2</v>
      </c>
      <c r="O32" s="101">
        <f t="shared" si="18"/>
        <v>2.3112693171585263E-2</v>
      </c>
      <c r="P32" s="101">
        <f t="shared" si="18"/>
        <v>2.150215599095695E-2</v>
      </c>
      <c r="Q32" s="101">
        <f t="shared" si="18"/>
        <v>2.1215560813453882E-2</v>
      </c>
      <c r="R32" s="101">
        <f t="shared" si="18"/>
        <v>2.1052556136989864E-2</v>
      </c>
      <c r="S32" s="101">
        <f t="shared" si="18"/>
        <v>2.1010884477632219E-2</v>
      </c>
      <c r="T32" s="101">
        <f t="shared" si="18"/>
        <v>2.1033101432445411E-2</v>
      </c>
      <c r="U32" s="101">
        <f t="shared" si="18"/>
        <v>2.1243956794027685E-2</v>
      </c>
      <c r="V32" s="101">
        <f t="shared" si="18"/>
        <v>2.1496681687339203E-2</v>
      </c>
      <c r="W32" s="101">
        <f t="shared" si="18"/>
        <v>2.1733992121221402E-2</v>
      </c>
      <c r="X32" s="101">
        <f t="shared" si="18"/>
        <v>2.1880660726989909E-2</v>
      </c>
      <c r="Y32" s="101">
        <f>+Y31/X31-1</f>
        <v>2.2079361715534818E-2</v>
      </c>
      <c r="Z32" s="101">
        <f>+Z31/Y31-1</f>
        <v>2.2241274836041658E-2</v>
      </c>
      <c r="AA32" s="101">
        <f>+AA31/Z31-1</f>
        <v>2.2437692726455127E-2</v>
      </c>
      <c r="AB32" s="101">
        <f>+AB31/AA31-1</f>
        <v>2.2612038705359438E-2</v>
      </c>
      <c r="AC32" s="101">
        <f>+AC31/AB31-1</f>
        <v>2.2753258093921369E-2</v>
      </c>
      <c r="AD32" s="101">
        <f>+AD31/AC31-1</f>
        <v>2.2771645670409679E-2</v>
      </c>
      <c r="AE32" s="101">
        <f>+AE31/AD31-1</f>
        <v>2.2678753299563592E-2</v>
      </c>
      <c r="AF32" s="101">
        <f>+AF31/AE31-1</f>
        <v>2.2710818879369654E-2</v>
      </c>
      <c r="AG32" s="101">
        <f>+AG31/AF31-1</f>
        <v>2.2735870402665892E-2</v>
      </c>
      <c r="AH32" s="101">
        <f>+AH31/AG31-1</f>
        <v>2.2686461525972312E-2</v>
      </c>
      <c r="AI32" s="101">
        <f>+AI31/AH31-1</f>
        <v>2.2710239158369561E-2</v>
      </c>
      <c r="AJ32" s="101">
        <f>+AJ31/AI31-1</f>
        <v>2.2751309077902793E-2</v>
      </c>
      <c r="AK32" s="101">
        <f>+AK31/AJ31-1</f>
        <v>2.2794433308417572E-2</v>
      </c>
      <c r="AL32" s="101">
        <f>+AL31/AK31-1</f>
        <v>2.2754289535416028E-2</v>
      </c>
      <c r="AM32" s="101">
        <f>+AM31/AL31-1</f>
        <v>2.2676934891112888E-2</v>
      </c>
    </row>
    <row r="33" spans="1:39" ht="9" customHeight="1" x14ac:dyDescent="0.3">
      <c r="H33" s="8"/>
      <c r="I33" s="8"/>
      <c r="J33" s="8"/>
      <c r="K33" s="8"/>
    </row>
    <row r="34" spans="1:39" ht="22.2" customHeight="1" x14ac:dyDescent="0.3">
      <c r="A34" s="117" t="s">
        <v>86</v>
      </c>
      <c r="B34" s="117"/>
      <c r="C34" s="117"/>
      <c r="D34" s="117"/>
      <c r="E34" s="117"/>
      <c r="F34" s="117"/>
      <c r="G34" s="117"/>
      <c r="H34" s="117"/>
      <c r="I34" s="117"/>
      <c r="J34" s="117"/>
      <c r="K34" s="117"/>
      <c r="L34" s="117"/>
      <c r="M34" s="117"/>
      <c r="N34" s="117"/>
      <c r="O34" s="117"/>
      <c r="P34" s="117"/>
      <c r="Q34" s="117"/>
      <c r="R34" s="117"/>
      <c r="S34" s="117"/>
    </row>
    <row r="35" spans="1:39" ht="21" customHeight="1" x14ac:dyDescent="0.3">
      <c r="A35" s="118" t="s">
        <v>88</v>
      </c>
      <c r="B35" s="118"/>
      <c r="C35" s="118"/>
      <c r="D35" s="118"/>
      <c r="E35" s="118"/>
      <c r="F35" s="118"/>
      <c r="G35" s="118"/>
      <c r="H35" s="118"/>
      <c r="I35" s="118"/>
      <c r="J35" s="118"/>
      <c r="K35" s="118"/>
      <c r="L35" s="118"/>
      <c r="M35" s="118"/>
      <c r="N35" s="118"/>
      <c r="O35" s="118"/>
      <c r="P35" s="118"/>
      <c r="Q35" s="118"/>
      <c r="R35" s="118"/>
      <c r="S35" s="118"/>
    </row>
    <row r="36" spans="1:39" ht="33" customHeight="1" x14ac:dyDescent="0.3">
      <c r="A36" s="118" t="s">
        <v>16</v>
      </c>
      <c r="B36" s="118"/>
      <c r="C36" s="118"/>
      <c r="D36" s="118"/>
      <c r="E36" s="118"/>
      <c r="F36" s="118"/>
      <c r="G36" s="118"/>
      <c r="H36" s="118"/>
      <c r="I36" s="118"/>
      <c r="J36" s="118"/>
      <c r="K36" s="118"/>
      <c r="L36" s="118"/>
      <c r="M36" s="118"/>
      <c r="N36" s="118"/>
      <c r="O36" s="118"/>
      <c r="P36" s="118"/>
      <c r="Q36" s="118"/>
      <c r="R36" s="118"/>
      <c r="S36" s="118"/>
    </row>
    <row r="37" spans="1:39" ht="22.5" customHeight="1" x14ac:dyDescent="0.3">
      <c r="A37" s="113" t="s">
        <v>17</v>
      </c>
      <c r="B37" s="114"/>
      <c r="C37" s="114"/>
      <c r="D37" s="114"/>
      <c r="E37" s="114"/>
      <c r="F37" s="114"/>
      <c r="G37" s="114"/>
      <c r="H37" s="114"/>
      <c r="I37" s="114"/>
      <c r="J37" s="114"/>
      <c r="K37" s="114"/>
      <c r="L37" s="114"/>
      <c r="M37" s="114"/>
    </row>
    <row r="38" spans="1:39" ht="17.399999999999999" x14ac:dyDescent="0.3">
      <c r="A38" s="25" t="s">
        <v>85</v>
      </c>
    </row>
    <row r="39" spans="1:39" ht="31.2" customHeight="1" x14ac:dyDescent="0.3"/>
    <row r="41" spans="1:39" ht="20.25" customHeight="1" x14ac:dyDescent="0.3"/>
    <row r="42" spans="1:39" x14ac:dyDescent="0.3">
      <c r="A42" s="26" t="s">
        <v>18</v>
      </c>
      <c r="B42" s="27"/>
      <c r="C42" s="27"/>
      <c r="D42" s="27"/>
      <c r="E42" s="27"/>
      <c r="F42" s="28"/>
    </row>
    <row r="43" spans="1:39" x14ac:dyDescent="0.3">
      <c r="A43" s="29"/>
      <c r="B43" s="3" t="s">
        <v>19</v>
      </c>
      <c r="D43" s="3" t="s">
        <v>20</v>
      </c>
      <c r="E43" s="3" t="s">
        <v>21</v>
      </c>
      <c r="F43" s="30"/>
    </row>
    <row r="44" spans="1:39" x14ac:dyDescent="0.3">
      <c r="A44" s="29"/>
      <c r="B44" t="s">
        <v>22</v>
      </c>
      <c r="C44" t="s">
        <v>23</v>
      </c>
      <c r="F44" s="30"/>
    </row>
    <row r="45" spans="1:39" x14ac:dyDescent="0.3">
      <c r="A45" s="31">
        <v>2021</v>
      </c>
      <c r="B45" s="32">
        <f>HLOOKUP(A45,B$5:Z$6,2,FALSE)</f>
        <v>22.235634395651466</v>
      </c>
      <c r="C45" s="33">
        <v>0</v>
      </c>
      <c r="D45" s="34">
        <f>LN(B45)</f>
        <v>3.1016961549544089</v>
      </c>
      <c r="E45" s="35">
        <f t="array" ref="E45:F47">LINEST(D45:D46,C45:C46,1,TRUE)</f>
        <v>0.11403305023918506</v>
      </c>
      <c r="F45" s="36">
        <v>3.1016961549544089</v>
      </c>
      <c r="H45">
        <f>S5</f>
        <v>2030</v>
      </c>
      <c r="I45">
        <f t="shared" ref="I45:M45" si="19">T5</f>
        <v>2031</v>
      </c>
      <c r="J45">
        <f t="shared" si="19"/>
        <v>2032</v>
      </c>
      <c r="K45">
        <f t="shared" si="19"/>
        <v>2033</v>
      </c>
      <c r="L45">
        <f t="shared" si="19"/>
        <v>2034</v>
      </c>
      <c r="M45">
        <f t="shared" si="19"/>
        <v>2035</v>
      </c>
      <c r="N45">
        <f>Y5</f>
        <v>2036</v>
      </c>
      <c r="O45">
        <f>Z5</f>
        <v>2037</v>
      </c>
      <c r="P45">
        <f>AA5</f>
        <v>2038</v>
      </c>
      <c r="Q45">
        <f>AB5</f>
        <v>2039</v>
      </c>
      <c r="R45">
        <f>AC5</f>
        <v>2040</v>
      </c>
      <c r="S45">
        <f>AD5</f>
        <v>2041</v>
      </c>
      <c r="T45">
        <f>AE5</f>
        <v>2042</v>
      </c>
      <c r="U45">
        <f>AF5</f>
        <v>2043</v>
      </c>
      <c r="V45">
        <f>AG5</f>
        <v>2044</v>
      </c>
      <c r="W45">
        <f>AH5</f>
        <v>2045</v>
      </c>
      <c r="X45">
        <f>AI5</f>
        <v>2046</v>
      </c>
      <c r="Y45">
        <f>AJ5</f>
        <v>2047</v>
      </c>
      <c r="Z45">
        <f>AK5</f>
        <v>2048</v>
      </c>
      <c r="AA45">
        <f>AL5</f>
        <v>2049</v>
      </c>
      <c r="AB45">
        <f>AM5</f>
        <v>2050</v>
      </c>
      <c r="AC45">
        <f>AN5</f>
        <v>0</v>
      </c>
      <c r="AD45">
        <f>AO5</f>
        <v>0</v>
      </c>
      <c r="AE45">
        <f>AP5</f>
        <v>0</v>
      </c>
      <c r="AF45">
        <f>AQ5</f>
        <v>0</v>
      </c>
      <c r="AG45">
        <f>AR5</f>
        <v>0</v>
      </c>
      <c r="AH45">
        <f>AS5</f>
        <v>0</v>
      </c>
      <c r="AI45">
        <f>AT5</f>
        <v>0</v>
      </c>
      <c r="AJ45">
        <f>AU5</f>
        <v>0</v>
      </c>
      <c r="AK45">
        <f>AV5</f>
        <v>0</v>
      </c>
      <c r="AL45">
        <f>AW5</f>
        <v>0</v>
      </c>
      <c r="AM45">
        <f>AX5</f>
        <v>0</v>
      </c>
    </row>
    <row r="46" spans="1:39" x14ac:dyDescent="0.3">
      <c r="A46" s="31">
        <v>2035</v>
      </c>
      <c r="B46" s="15">
        <f>HLOOKUP(A46,H$45:AC$47,2,FALSE)</f>
        <v>109.74493036375553</v>
      </c>
      <c r="C46" s="33">
        <f>+A46-A45</f>
        <v>14</v>
      </c>
      <c r="D46" s="34">
        <f>LN(B46)</f>
        <v>4.6981588583029996</v>
      </c>
      <c r="E46" s="34">
        <v>0</v>
      </c>
      <c r="F46" s="37">
        <v>0</v>
      </c>
      <c r="H46" s="9">
        <f t="shared" ref="H46:M47" si="20">+S14</f>
        <v>77.708570125058444</v>
      </c>
      <c r="I46" s="9">
        <f t="shared" si="20"/>
        <v>83.228450868922025</v>
      </c>
      <c r="J46" s="9">
        <f t="shared" si="20"/>
        <v>89.157975026661362</v>
      </c>
      <c r="K46" s="9">
        <f t="shared" si="20"/>
        <v>95.532474387030305</v>
      </c>
      <c r="L46" s="9">
        <f t="shared" si="20"/>
        <v>102.38540015203033</v>
      </c>
      <c r="M46" s="9">
        <f t="shared" si="20"/>
        <v>109.74493036375553</v>
      </c>
      <c r="N46" s="9">
        <f>+Y14</f>
        <v>117.65527489589086</v>
      </c>
      <c r="O46" s="9">
        <f>+Z14</f>
        <v>126.15484194555495</v>
      </c>
      <c r="P46" s="9">
        <f>+AA14</f>
        <v>135.29320762236156</v>
      </c>
      <c r="Q46" s="9">
        <f>+AB14</f>
        <v>145.11712325080873</v>
      </c>
      <c r="R46" s="9">
        <f>+AC14</f>
        <v>155.67486677252222</v>
      </c>
      <c r="S46" s="9">
        <f>+AD14</f>
        <v>167.00358301708044</v>
      </c>
      <c r="T46" s="9">
        <f>+AE14</f>
        <v>179.14119522732204</v>
      </c>
      <c r="U46" s="9">
        <f>+AF14</f>
        <v>192.16669822732968</v>
      </c>
      <c r="V46" s="9">
        <f>+AG14</f>
        <v>206.14411028530094</v>
      </c>
      <c r="W46" s="9">
        <f>+AH14</f>
        <v>221.12799622635927</v>
      </c>
      <c r="X46" s="9">
        <f>+AI14</f>
        <v>237.20626571658892</v>
      </c>
      <c r="Y46" s="9">
        <f>+AJ14</f>
        <v>254.46333206895162</v>
      </c>
      <c r="Z46" s="9">
        <f>+AK14</f>
        <v>272.98684612468264</v>
      </c>
      <c r="AA46" s="9">
        <f>+AL14</f>
        <v>292.84781016699787</v>
      </c>
      <c r="AB46" s="9">
        <f>+AM14</f>
        <v>314.13109139950978</v>
      </c>
      <c r="AC46" s="9">
        <f>+AN14</f>
        <v>0</v>
      </c>
      <c r="AD46" s="9">
        <f>+AO14</f>
        <v>0</v>
      </c>
      <c r="AE46" s="9">
        <f>+AP14</f>
        <v>0</v>
      </c>
      <c r="AF46" s="9">
        <f>+AQ14</f>
        <v>0</v>
      </c>
      <c r="AG46" s="9">
        <f>+AR14</f>
        <v>0</v>
      </c>
      <c r="AH46" s="9">
        <f>+AS14</f>
        <v>0</v>
      </c>
      <c r="AI46" s="9">
        <f>+AT14</f>
        <v>0</v>
      </c>
      <c r="AJ46" s="9">
        <f>+AU14</f>
        <v>0</v>
      </c>
      <c r="AK46" s="9">
        <f>+AV14</f>
        <v>0</v>
      </c>
      <c r="AL46" s="9">
        <f>+AW14</f>
        <v>0</v>
      </c>
      <c r="AM46" s="9">
        <f>+AX14</f>
        <v>0</v>
      </c>
    </row>
    <row r="47" spans="1:39" x14ac:dyDescent="0.3">
      <c r="A47" s="31">
        <v>2050</v>
      </c>
      <c r="B47" s="15">
        <v>120</v>
      </c>
      <c r="C47" s="33">
        <f>+A47-A46</f>
        <v>15</v>
      </c>
      <c r="D47" s="34">
        <f>LN(B47)</f>
        <v>4.7874917427820458</v>
      </c>
      <c r="E47" s="34">
        <v>1</v>
      </c>
      <c r="F47" s="37">
        <v>0</v>
      </c>
      <c r="H47" s="9">
        <f t="shared" si="20"/>
        <v>99.857389629302176</v>
      </c>
      <c r="I47" s="9">
        <f t="shared" si="20"/>
        <v>106.95056971561962</v>
      </c>
      <c r="J47" s="9">
        <f t="shared" si="20"/>
        <v>114.57015148353588</v>
      </c>
      <c r="K47" s="9">
        <f t="shared" si="20"/>
        <v>122.76153713502448</v>
      </c>
      <c r="L47" s="9">
        <f t="shared" si="20"/>
        <v>131.56771227265736</v>
      </c>
      <c r="M47" s="9">
        <f t="shared" si="20"/>
        <v>141.02488636115447</v>
      </c>
      <c r="N47" s="9">
        <f>+Y15</f>
        <v>151.18987015607232</v>
      </c>
      <c r="O47" s="9">
        <f>+Z15</f>
        <v>162.11201911844259</v>
      </c>
      <c r="P47" s="9">
        <f>+AA15</f>
        <v>173.85503974660955</v>
      </c>
      <c r="Q47" s="9">
        <f>+AB15</f>
        <v>186.47900862181217</v>
      </c>
      <c r="R47" s="9">
        <f>+AC15</f>
        <v>200.04596406517348</v>
      </c>
      <c r="S47" s="9">
        <f>+AD15</f>
        <v>214.60363807991979</v>
      </c>
      <c r="T47" s="9">
        <f>+AE15</f>
        <v>230.20076294911911</v>
      </c>
      <c r="U47" s="9">
        <f>+AF15</f>
        <v>246.93884892980523</v>
      </c>
      <c r="V47" s="9">
        <f>+AG15</f>
        <v>264.90016104294705</v>
      </c>
      <c r="W47" s="9">
        <f>+AH15</f>
        <v>284.15481640681912</v>
      </c>
      <c r="X47" s="9">
        <f>+AI15</f>
        <v>304.81578106576154</v>
      </c>
      <c r="Y47" s="9">
        <f>+AJ15</f>
        <v>326.99152816589913</v>
      </c>
      <c r="Z47" s="9">
        <f>+AK15</f>
        <v>350.79469115538922</v>
      </c>
      <c r="AA47" s="9">
        <f>+AL15</f>
        <v>376.31650968319525</v>
      </c>
      <c r="AB47" s="9">
        <f>+AM15</f>
        <v>403.66604015589172</v>
      </c>
      <c r="AC47" s="9">
        <f>+AN15</f>
        <v>0</v>
      </c>
      <c r="AD47" s="9">
        <f>+AO15</f>
        <v>0</v>
      </c>
      <c r="AE47" s="9">
        <f>+AP15</f>
        <v>0</v>
      </c>
      <c r="AF47" s="9">
        <f>+AQ15</f>
        <v>0</v>
      </c>
      <c r="AG47" s="9">
        <f>+AR15</f>
        <v>0</v>
      </c>
      <c r="AH47" s="9">
        <f>+AS15</f>
        <v>0</v>
      </c>
      <c r="AI47" s="9">
        <f>+AT15</f>
        <v>0</v>
      </c>
      <c r="AJ47" s="9">
        <f>+AU15</f>
        <v>0</v>
      </c>
      <c r="AK47" s="9">
        <f>+AV15</f>
        <v>0</v>
      </c>
      <c r="AL47" s="9">
        <f>+AW15</f>
        <v>0</v>
      </c>
      <c r="AM47" s="9">
        <f>+AX15</f>
        <v>0</v>
      </c>
    </row>
    <row r="48" spans="1:39" x14ac:dyDescent="0.3">
      <c r="A48" s="38">
        <f>+A46</f>
        <v>2035</v>
      </c>
      <c r="B48" s="38">
        <f>+B46</f>
        <v>109.74493036375553</v>
      </c>
      <c r="C48" s="38">
        <v>0</v>
      </c>
      <c r="D48" s="34">
        <f>LN(B48)</f>
        <v>4.6981588583029996</v>
      </c>
      <c r="E48" s="35">
        <f t="array" ref="E48:F50">LINEST(D48:D49,C48:C49,1,TRUE)</f>
        <v>5.0554451181346494E-2</v>
      </c>
      <c r="F48" s="36">
        <v>4.6981588583029996</v>
      </c>
    </row>
    <row r="49" spans="1:46" x14ac:dyDescent="0.3">
      <c r="A49" s="38">
        <f>+A47</f>
        <v>2050</v>
      </c>
      <c r="B49" s="39">
        <f>+B47*AM31</f>
        <v>234.27031150445862</v>
      </c>
      <c r="C49" s="38">
        <f>+C47</f>
        <v>15</v>
      </c>
      <c r="D49" s="34">
        <f>LN(B49)</f>
        <v>5.456475626023197</v>
      </c>
      <c r="E49" s="34">
        <v>0</v>
      </c>
      <c r="F49" s="37">
        <v>0</v>
      </c>
      <c r="G49" s="9"/>
    </row>
    <row r="50" spans="1:46" x14ac:dyDescent="0.3">
      <c r="A50" s="38"/>
      <c r="B50" s="32"/>
      <c r="D50" s="14"/>
      <c r="E50" s="34">
        <v>1</v>
      </c>
      <c r="F50" s="37">
        <v>0</v>
      </c>
      <c r="G50" s="9"/>
      <c r="I50" s="9"/>
    </row>
    <row r="51" spans="1:46" x14ac:dyDescent="0.3">
      <c r="A51" s="38"/>
      <c r="B51" s="32"/>
      <c r="D51" s="14"/>
      <c r="E51" s="14"/>
      <c r="F51" s="14"/>
      <c r="G51" s="9"/>
      <c r="I51" s="9"/>
    </row>
    <row r="52" spans="1:46" x14ac:dyDescent="0.3">
      <c r="A52" s="38"/>
      <c r="B52" s="32" t="s">
        <v>24</v>
      </c>
      <c r="C52" t="s">
        <v>23</v>
      </c>
      <c r="D52" s="40" t="s">
        <v>25</v>
      </c>
      <c r="E52" s="14" t="s">
        <v>21</v>
      </c>
      <c r="F52" s="41"/>
    </row>
    <row r="53" spans="1:46" x14ac:dyDescent="0.3">
      <c r="A53" s="31">
        <f>+A45</f>
        <v>2021</v>
      </c>
      <c r="B53" s="32">
        <f>HLOOKUP(A53,B$5:Z$6,2,FALSE)</f>
        <v>22.235634395651466</v>
      </c>
      <c r="C53" s="33">
        <v>0</v>
      </c>
      <c r="D53" s="34">
        <f>LN(B53)</f>
        <v>3.1016961549544089</v>
      </c>
      <c r="E53" s="34">
        <f t="array" ref="E53:F55">LINEST(D53:D54,C53:C54,1,TRUE)</f>
        <v>0.13194572991892298</v>
      </c>
      <c r="F53" s="37">
        <v>3.1016961549544089</v>
      </c>
    </row>
    <row r="54" spans="1:46" x14ac:dyDescent="0.3">
      <c r="A54" s="31">
        <v>2035</v>
      </c>
      <c r="B54" s="15">
        <f>HLOOKUP(A54,H$45:AC$57,3,FALSE)</f>
        <v>141.02488636115447</v>
      </c>
      <c r="C54" s="33">
        <f>+A54-A53</f>
        <v>14</v>
      </c>
      <c r="D54" s="34">
        <f>LN(B54)</f>
        <v>4.9489363738193299</v>
      </c>
      <c r="E54" s="34">
        <v>0</v>
      </c>
      <c r="F54" s="37">
        <v>0</v>
      </c>
    </row>
    <row r="55" spans="1:46" x14ac:dyDescent="0.3">
      <c r="A55" s="44"/>
      <c r="B55" s="45"/>
      <c r="C55" s="46"/>
      <c r="D55" s="42"/>
      <c r="E55" s="42">
        <v>1</v>
      </c>
      <c r="F55" s="43">
        <v>0</v>
      </c>
    </row>
    <row r="56" spans="1:46" x14ac:dyDescent="0.3">
      <c r="A56" s="38">
        <v>2035</v>
      </c>
      <c r="B56" s="15">
        <f>HLOOKUP(A56,H$45:AC$57,3,FALSE)</f>
        <v>141.02488636115447</v>
      </c>
      <c r="C56" s="38">
        <v>0</v>
      </c>
      <c r="D56" s="34">
        <f>LN(B56)</f>
        <v>4.9489363738193299</v>
      </c>
      <c r="E56" s="35">
        <f t="array" ref="E56:F58">LINEST(D56:D57,C56:C57,1,TRUE)</f>
        <v>4.8712186901205122E-2</v>
      </c>
      <c r="F56" s="36">
        <v>4.9489363738193299</v>
      </c>
    </row>
    <row r="57" spans="1:46" x14ac:dyDescent="0.3">
      <c r="A57" s="38">
        <v>2050</v>
      </c>
      <c r="B57" s="15">
        <f>150*AM31</f>
        <v>292.83788938057324</v>
      </c>
      <c r="C57" s="33">
        <f>+A57-A56</f>
        <v>15</v>
      </c>
      <c r="D57" s="34">
        <f>LN(B57)</f>
        <v>5.6796191773374067</v>
      </c>
      <c r="E57" s="34">
        <v>0</v>
      </c>
      <c r="F57" s="37">
        <v>0</v>
      </c>
    </row>
    <row r="58" spans="1:46" x14ac:dyDescent="0.3">
      <c r="A58" s="38"/>
      <c r="B58" s="32"/>
      <c r="D58" s="14"/>
      <c r="E58" s="34">
        <v>1</v>
      </c>
      <c r="F58" s="37">
        <v>0</v>
      </c>
    </row>
    <row r="61" spans="1:46" x14ac:dyDescent="0.3">
      <c r="B61" s="12"/>
      <c r="C61" s="11"/>
      <c r="D61" s="9"/>
      <c r="E61" s="9"/>
      <c r="F61" s="9"/>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row>
    <row r="62" spans="1:46" x14ac:dyDescent="0.3">
      <c r="B62" s="11"/>
      <c r="C62" s="11"/>
      <c r="D62" s="12"/>
      <c r="E62" s="12"/>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row>
    <row r="63" spans="1:46" x14ac:dyDescent="0.3">
      <c r="B63" s="11"/>
      <c r="C63" s="11"/>
      <c r="D63" s="12"/>
      <c r="E63" s="12"/>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row>
    <row r="64" spans="1:46" x14ac:dyDescent="0.3">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row>
    <row r="65" spans="7:46" s="47" customFormat="1" ht="32.4" customHeight="1" x14ac:dyDescent="0.3">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row>
    <row r="66" spans="7:46" x14ac:dyDescent="0.3">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row>
    <row r="67" spans="7:46" x14ac:dyDescent="0.3">
      <c r="S67" s="49"/>
      <c r="T67" s="49"/>
      <c r="U67" s="49"/>
      <c r="V67" s="49"/>
      <c r="W67" s="49"/>
      <c r="X67" s="49"/>
      <c r="Y67" s="49"/>
      <c r="Z67" s="49"/>
      <c r="AA67" s="49"/>
      <c r="AB67" s="49"/>
      <c r="AC67" s="49"/>
      <c r="AD67" s="49"/>
      <c r="AE67" s="49"/>
      <c r="AF67" s="49"/>
      <c r="AG67" s="49"/>
      <c r="AH67" s="49"/>
      <c r="AI67" s="49"/>
      <c r="AJ67" s="49"/>
      <c r="AK67" s="49"/>
      <c r="AL67" s="49"/>
      <c r="AM67" s="49"/>
    </row>
    <row r="68" spans="7:46" x14ac:dyDescent="0.3">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row>
    <row r="72" spans="7:46" x14ac:dyDescent="0.3">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row>
  </sheetData>
  <mergeCells count="6">
    <mergeCell ref="A37:M37"/>
    <mergeCell ref="A4:S4"/>
    <mergeCell ref="A21:S21"/>
    <mergeCell ref="A34:S34"/>
    <mergeCell ref="A35:S35"/>
    <mergeCell ref="A36:S36"/>
  </mergeCells>
  <pageMargins left="0" right="0" top="0.25" bottom="0.25"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1F190-4471-408F-B157-6748B8B82A3B}">
  <dimension ref="A1:J57"/>
  <sheetViews>
    <sheetView workbookViewId="0"/>
  </sheetViews>
  <sheetFormatPr defaultRowHeight="14.4" x14ac:dyDescent="0.3"/>
  <cols>
    <col min="1" max="1" width="8.109375" customWidth="1"/>
    <col min="2" max="2" width="41.44140625" customWidth="1"/>
    <col min="3" max="3" width="15.5546875" style="98" customWidth="1"/>
    <col min="4" max="4" width="16.109375" style="98" customWidth="1"/>
    <col min="5" max="5" width="14.88671875" style="98" customWidth="1"/>
    <col min="6" max="6" width="20.44140625" style="100" bestFit="1" customWidth="1"/>
    <col min="7" max="7" width="15.5546875" style="98" customWidth="1"/>
    <col min="8" max="8" width="15" style="98" customWidth="1"/>
    <col min="9" max="9" width="20.33203125" style="98" customWidth="1"/>
    <col min="10" max="10" width="10.88671875" customWidth="1"/>
  </cols>
  <sheetData>
    <row r="1" spans="1:10" ht="15.6" x14ac:dyDescent="0.3">
      <c r="A1" s="50"/>
      <c r="B1" s="51" t="s">
        <v>26</v>
      </c>
      <c r="C1" s="52"/>
      <c r="D1" s="53"/>
      <c r="E1" s="52"/>
      <c r="F1" s="54"/>
      <c r="G1" s="53"/>
      <c r="H1" s="53"/>
      <c r="I1" s="53"/>
      <c r="J1" s="50"/>
    </row>
    <row r="2" spans="1:10" ht="15.6" x14ac:dyDescent="0.3">
      <c r="A2" s="50"/>
      <c r="B2" s="51" t="s">
        <v>27</v>
      </c>
      <c r="C2" s="52"/>
      <c r="D2" s="53"/>
      <c r="E2" s="52"/>
      <c r="F2" s="54"/>
      <c r="G2" s="53"/>
      <c r="H2" s="53"/>
      <c r="I2" s="53"/>
      <c r="J2" s="50"/>
    </row>
    <row r="3" spans="1:10" x14ac:dyDescent="0.3">
      <c r="A3" s="50"/>
      <c r="B3" s="55"/>
      <c r="C3" s="52"/>
      <c r="D3" s="53"/>
      <c r="E3" s="52"/>
      <c r="F3" s="54"/>
      <c r="G3" s="53"/>
      <c r="H3" s="53"/>
      <c r="I3" s="53"/>
      <c r="J3" s="50"/>
    </row>
    <row r="4" spans="1:10" ht="63" thickBot="1" x14ac:dyDescent="0.35">
      <c r="A4" s="50"/>
      <c r="B4" s="56" t="s">
        <v>28</v>
      </c>
      <c r="C4" s="57" t="s">
        <v>29</v>
      </c>
      <c r="D4" s="57" t="s">
        <v>30</v>
      </c>
      <c r="E4" s="57" t="s">
        <v>31</v>
      </c>
      <c r="F4" s="57" t="s">
        <v>32</v>
      </c>
      <c r="G4" s="57" t="s">
        <v>33</v>
      </c>
      <c r="H4" s="57" t="s">
        <v>34</v>
      </c>
      <c r="I4" s="58" t="s">
        <v>35</v>
      </c>
    </row>
    <row r="5" spans="1:10" ht="16.8" thickBot="1" x14ac:dyDescent="0.35">
      <c r="A5" s="50">
        <v>2021</v>
      </c>
      <c r="B5" s="112" t="s">
        <v>87</v>
      </c>
      <c r="C5" s="109"/>
      <c r="D5" s="109">
        <v>68598217</v>
      </c>
      <c r="E5" s="110">
        <v>28.26</v>
      </c>
      <c r="F5" s="109"/>
      <c r="G5" s="109"/>
      <c r="H5" s="111"/>
      <c r="I5" s="63">
        <f>+D5*E5</f>
        <v>1938585612.4200001</v>
      </c>
      <c r="J5" s="107"/>
    </row>
    <row r="6" spans="1:10" ht="16.8" thickBot="1" x14ac:dyDescent="0.35">
      <c r="A6" s="50">
        <v>2021</v>
      </c>
      <c r="B6" s="108" t="s">
        <v>81</v>
      </c>
      <c r="C6" s="109">
        <v>71261536</v>
      </c>
      <c r="D6" s="109">
        <v>71261536</v>
      </c>
      <c r="E6" s="110">
        <v>23.3</v>
      </c>
      <c r="F6" s="109">
        <v>8306250</v>
      </c>
      <c r="G6" s="109">
        <v>8306250</v>
      </c>
      <c r="H6" s="111">
        <v>23.69</v>
      </c>
      <c r="I6" s="63">
        <f>+D6*E6</f>
        <v>1660393788.8</v>
      </c>
      <c r="J6" s="107"/>
    </row>
    <row r="7" spans="1:10" ht="15.6" x14ac:dyDescent="0.3">
      <c r="A7" s="50">
        <v>2021</v>
      </c>
      <c r="B7" s="102" t="s">
        <v>77</v>
      </c>
      <c r="C7" s="103">
        <v>71647138</v>
      </c>
      <c r="D7" s="103">
        <v>71647138</v>
      </c>
      <c r="E7" s="104">
        <v>18.8</v>
      </c>
      <c r="F7" s="103">
        <v>8306250</v>
      </c>
      <c r="G7" s="103">
        <v>8306250</v>
      </c>
      <c r="H7" s="105">
        <v>19.04</v>
      </c>
      <c r="I7" s="63">
        <f>+D7*E7</f>
        <v>1346966194.4000001</v>
      </c>
      <c r="J7" s="107"/>
    </row>
    <row r="8" spans="1:10" ht="15.6" x14ac:dyDescent="0.3">
      <c r="A8" s="50">
        <v>2021</v>
      </c>
      <c r="B8" s="68" t="s">
        <v>78</v>
      </c>
      <c r="C8" s="69">
        <v>54773607</v>
      </c>
      <c r="D8" s="69">
        <v>54773607</v>
      </c>
      <c r="E8" s="70">
        <v>17.8</v>
      </c>
      <c r="F8" s="69">
        <v>8306250</v>
      </c>
      <c r="G8" s="69">
        <v>8306250</v>
      </c>
      <c r="H8" s="71">
        <v>18.010000000000002</v>
      </c>
      <c r="I8" s="63">
        <f>+D8*E8</f>
        <v>974970204.60000002</v>
      </c>
      <c r="J8" s="107"/>
    </row>
    <row r="9" spans="1:10" ht="15.6" x14ac:dyDescent="0.3">
      <c r="A9" s="50">
        <v>2020</v>
      </c>
      <c r="B9" s="59" t="s">
        <v>36</v>
      </c>
      <c r="C9" s="60">
        <v>56366432</v>
      </c>
      <c r="D9" s="60">
        <v>56366432</v>
      </c>
      <c r="E9" s="61">
        <v>16.93</v>
      </c>
      <c r="F9" s="60">
        <v>8672250</v>
      </c>
      <c r="G9" s="60">
        <v>8672250</v>
      </c>
      <c r="H9" s="62">
        <v>17.350000000000001</v>
      </c>
      <c r="I9" s="63">
        <f>+D9*E9</f>
        <v>954283693.75999999</v>
      </c>
      <c r="J9" s="107"/>
    </row>
    <row r="10" spans="1:10" ht="15.6" x14ac:dyDescent="0.3">
      <c r="A10" s="50">
        <v>2020</v>
      </c>
      <c r="B10" s="64" t="s">
        <v>37</v>
      </c>
      <c r="C10" s="65">
        <v>59250484</v>
      </c>
      <c r="D10" s="65">
        <v>52627000</v>
      </c>
      <c r="E10" s="66">
        <v>16.68</v>
      </c>
      <c r="F10" s="65">
        <v>8672250</v>
      </c>
      <c r="G10" s="65">
        <v>8672250</v>
      </c>
      <c r="H10" s="67">
        <v>16.73</v>
      </c>
      <c r="I10" s="63">
        <f t="shared" ref="I10:I20" si="0">+D10*E10</f>
        <v>877818360</v>
      </c>
    </row>
    <row r="11" spans="1:10" ht="15.6" x14ac:dyDescent="0.3">
      <c r="A11" s="50">
        <v>2020</v>
      </c>
      <c r="B11" s="59" t="s">
        <v>38</v>
      </c>
      <c r="C11" s="60">
        <v>57540731</v>
      </c>
      <c r="D11" s="60">
        <v>21161000</v>
      </c>
      <c r="E11" s="61">
        <v>16.68</v>
      </c>
      <c r="F11" s="60">
        <v>8672250</v>
      </c>
      <c r="G11" s="60">
        <v>1763000</v>
      </c>
      <c r="H11" s="62">
        <v>16.68</v>
      </c>
      <c r="I11" s="63">
        <f t="shared" si="0"/>
        <v>352965480</v>
      </c>
    </row>
    <row r="12" spans="1:10" ht="15.6" x14ac:dyDescent="0.3">
      <c r="A12" s="50">
        <v>2020</v>
      </c>
      <c r="B12" s="68" t="s">
        <v>39</v>
      </c>
      <c r="C12" s="69">
        <v>57090077</v>
      </c>
      <c r="D12" s="69">
        <v>57090077</v>
      </c>
      <c r="E12" s="70">
        <v>17.87</v>
      </c>
      <c r="F12" s="69">
        <v>8672250</v>
      </c>
      <c r="G12" s="69">
        <v>8672250</v>
      </c>
      <c r="H12" s="71">
        <v>18</v>
      </c>
      <c r="I12" s="63">
        <f t="shared" si="0"/>
        <v>1020199675.99</v>
      </c>
    </row>
    <row r="13" spans="1:10" ht="15.6" x14ac:dyDescent="0.3">
      <c r="A13" s="50">
        <v>2019</v>
      </c>
      <c r="B13" s="72" t="s">
        <v>40</v>
      </c>
      <c r="C13" s="73">
        <v>67435661</v>
      </c>
      <c r="D13" s="73">
        <v>67435661</v>
      </c>
      <c r="E13" s="74">
        <v>17</v>
      </c>
      <c r="F13" s="73">
        <v>9038000</v>
      </c>
      <c r="G13" s="73">
        <v>9038000</v>
      </c>
      <c r="H13" s="75">
        <v>16.8</v>
      </c>
      <c r="I13" s="63">
        <f t="shared" si="0"/>
        <v>1146406237</v>
      </c>
    </row>
    <row r="14" spans="1:10" ht="15.6" x14ac:dyDescent="0.3">
      <c r="A14" s="50">
        <v>2019</v>
      </c>
      <c r="B14" s="64" t="s">
        <v>41</v>
      </c>
      <c r="C14" s="76">
        <v>66289515</v>
      </c>
      <c r="D14" s="76">
        <v>66289515</v>
      </c>
      <c r="E14" s="77">
        <v>17.16</v>
      </c>
      <c r="F14" s="76">
        <v>9038000</v>
      </c>
      <c r="G14" s="76">
        <v>9038000</v>
      </c>
      <c r="H14" s="78">
        <v>16.850000000000001</v>
      </c>
      <c r="I14" s="63">
        <f t="shared" si="0"/>
        <v>1137528077.4000001</v>
      </c>
    </row>
    <row r="15" spans="1:10" ht="15.6" x14ac:dyDescent="0.3">
      <c r="A15" s="50">
        <v>2019</v>
      </c>
      <c r="B15" s="59" t="s">
        <v>42</v>
      </c>
      <c r="C15" s="79">
        <v>66321122</v>
      </c>
      <c r="D15" s="79">
        <v>66321122</v>
      </c>
      <c r="E15" s="80">
        <v>17.45</v>
      </c>
      <c r="F15" s="79">
        <v>9038000</v>
      </c>
      <c r="G15" s="79">
        <v>9038000</v>
      </c>
      <c r="H15" s="81">
        <v>17.399999999999999</v>
      </c>
      <c r="I15" s="63">
        <f t="shared" si="0"/>
        <v>1157303578.8999999</v>
      </c>
    </row>
    <row r="16" spans="1:10" ht="15.6" x14ac:dyDescent="0.3">
      <c r="A16" s="50">
        <v>2019</v>
      </c>
      <c r="B16" s="64" t="s">
        <v>43</v>
      </c>
      <c r="C16" s="76">
        <v>80847404</v>
      </c>
      <c r="D16" s="76">
        <v>80847404</v>
      </c>
      <c r="E16" s="77">
        <v>15.73</v>
      </c>
      <c r="F16" s="76">
        <v>9038000</v>
      </c>
      <c r="G16" s="76">
        <v>5983000</v>
      </c>
      <c r="H16" s="78">
        <v>15.62</v>
      </c>
      <c r="I16" s="63">
        <f t="shared" si="0"/>
        <v>1271729664.9200001</v>
      </c>
    </row>
    <row r="17" spans="1:9" ht="15.6" x14ac:dyDescent="0.3">
      <c r="A17" s="50">
        <v>2018</v>
      </c>
      <c r="B17" s="82" t="s">
        <v>44</v>
      </c>
      <c r="C17" s="83">
        <v>78825717</v>
      </c>
      <c r="D17" s="83">
        <v>78825717</v>
      </c>
      <c r="E17" s="84">
        <v>15.31</v>
      </c>
      <c r="F17" s="83">
        <v>9401500</v>
      </c>
      <c r="G17" s="83">
        <v>9401500</v>
      </c>
      <c r="H17" s="84">
        <v>15.33</v>
      </c>
      <c r="I17" s="63">
        <f t="shared" si="0"/>
        <v>1206821727.27</v>
      </c>
    </row>
    <row r="18" spans="1:9" ht="15.6" x14ac:dyDescent="0.3">
      <c r="A18" s="50">
        <v>2018</v>
      </c>
      <c r="B18" s="85" t="s">
        <v>45</v>
      </c>
      <c r="C18" s="86">
        <v>79421265</v>
      </c>
      <c r="D18" s="86">
        <v>79421265</v>
      </c>
      <c r="E18" s="87">
        <v>15.05</v>
      </c>
      <c r="F18" s="86">
        <v>9401500</v>
      </c>
      <c r="G18" s="86">
        <v>9401500</v>
      </c>
      <c r="H18" s="87">
        <v>14.9</v>
      </c>
      <c r="I18" s="63">
        <f t="shared" si="0"/>
        <v>1195290038.25</v>
      </c>
    </row>
    <row r="19" spans="1:9" ht="15.6" x14ac:dyDescent="0.3">
      <c r="A19" s="50">
        <v>2018</v>
      </c>
      <c r="B19" s="82" t="s">
        <v>46</v>
      </c>
      <c r="C19" s="83">
        <v>90587738</v>
      </c>
      <c r="D19" s="83">
        <v>90587738</v>
      </c>
      <c r="E19" s="84">
        <v>14.65</v>
      </c>
      <c r="F19" s="83">
        <v>12427950</v>
      </c>
      <c r="G19" s="83">
        <v>6057000</v>
      </c>
      <c r="H19" s="84">
        <v>14.53</v>
      </c>
      <c r="I19" s="63">
        <f t="shared" si="0"/>
        <v>1327110361.7</v>
      </c>
    </row>
    <row r="20" spans="1:9" ht="15.6" x14ac:dyDescent="0.3">
      <c r="A20" s="50">
        <v>2018</v>
      </c>
      <c r="B20" s="85" t="s">
        <v>47</v>
      </c>
      <c r="C20" s="86">
        <v>98215920</v>
      </c>
      <c r="D20" s="86">
        <v>98215920</v>
      </c>
      <c r="E20" s="87">
        <v>14.61</v>
      </c>
      <c r="F20" s="86">
        <v>12428950</v>
      </c>
      <c r="G20" s="86">
        <v>8576000</v>
      </c>
      <c r="H20" s="87">
        <v>14.53</v>
      </c>
      <c r="I20" s="63">
        <f t="shared" si="0"/>
        <v>1434934591.2</v>
      </c>
    </row>
    <row r="21" spans="1:9" ht="15.6" x14ac:dyDescent="0.3">
      <c r="A21" s="50">
        <v>2017</v>
      </c>
      <c r="B21" s="88" t="s">
        <v>48</v>
      </c>
      <c r="C21" s="83">
        <v>79548286</v>
      </c>
      <c r="D21" s="83">
        <v>79548286</v>
      </c>
      <c r="E21" s="84">
        <v>15.06</v>
      </c>
      <c r="F21" s="83">
        <v>9723500</v>
      </c>
      <c r="G21" s="83">
        <v>9723500</v>
      </c>
      <c r="H21" s="84">
        <v>14.76</v>
      </c>
      <c r="I21" s="63">
        <f t="shared" ref="I21:I41" si="1">D21*E21</f>
        <v>1197997187.1600001</v>
      </c>
    </row>
    <row r="22" spans="1:9" ht="15.6" x14ac:dyDescent="0.3">
      <c r="A22" s="50">
        <f>+A21</f>
        <v>2017</v>
      </c>
      <c r="B22" s="89" t="s">
        <v>49</v>
      </c>
      <c r="C22" s="90">
        <v>63887833</v>
      </c>
      <c r="D22" s="86">
        <v>63887833</v>
      </c>
      <c r="E22" s="87">
        <v>14.75</v>
      </c>
      <c r="F22" s="90">
        <v>9723500</v>
      </c>
      <c r="G22" s="90">
        <v>9723500</v>
      </c>
      <c r="H22" s="87">
        <v>14.55</v>
      </c>
      <c r="I22" s="63">
        <f t="shared" si="1"/>
        <v>942345536.75</v>
      </c>
    </row>
    <row r="23" spans="1:9" ht="15.6" x14ac:dyDescent="0.3">
      <c r="A23" s="50">
        <f>+A22</f>
        <v>2017</v>
      </c>
      <c r="B23" s="88" t="s">
        <v>50</v>
      </c>
      <c r="C23" s="91">
        <v>75311960</v>
      </c>
      <c r="D23" s="83">
        <v>75311960</v>
      </c>
      <c r="E23" s="84">
        <v>13.8</v>
      </c>
      <c r="F23" s="91">
        <v>9723500</v>
      </c>
      <c r="G23" s="91">
        <v>2117000</v>
      </c>
      <c r="H23" s="84">
        <v>13.57</v>
      </c>
      <c r="I23" s="63">
        <f t="shared" si="1"/>
        <v>1039305048</v>
      </c>
    </row>
    <row r="24" spans="1:9" ht="15.6" x14ac:dyDescent="0.3">
      <c r="A24" s="50">
        <f>+A23</f>
        <v>2017</v>
      </c>
      <c r="B24" s="89" t="s">
        <v>51</v>
      </c>
      <c r="C24" s="90">
        <v>65104273</v>
      </c>
      <c r="D24" s="86">
        <v>11673000</v>
      </c>
      <c r="E24" s="87">
        <v>13.57</v>
      </c>
      <c r="F24" s="90">
        <v>9723500</v>
      </c>
      <c r="G24" s="90">
        <v>701000</v>
      </c>
      <c r="H24" s="87">
        <v>13.57</v>
      </c>
      <c r="I24" s="63">
        <f t="shared" si="1"/>
        <v>158402610</v>
      </c>
    </row>
    <row r="25" spans="1:9" ht="15.6" x14ac:dyDescent="0.3">
      <c r="A25" s="50">
        <f t="shared" ref="A25:A40" si="2">+A21-1</f>
        <v>2016</v>
      </c>
      <c r="B25" s="88" t="s">
        <v>52</v>
      </c>
      <c r="C25" s="91">
        <v>87069495</v>
      </c>
      <c r="D25" s="83">
        <v>76960000</v>
      </c>
      <c r="E25" s="84">
        <v>12.73</v>
      </c>
      <c r="F25" s="91">
        <v>10078750</v>
      </c>
      <c r="G25" s="91">
        <v>1020000</v>
      </c>
      <c r="H25" s="84">
        <v>12.73</v>
      </c>
      <c r="I25" s="63">
        <f t="shared" si="1"/>
        <v>979700800</v>
      </c>
    </row>
    <row r="26" spans="1:9" ht="15.6" x14ac:dyDescent="0.3">
      <c r="A26" s="50">
        <f t="shared" si="2"/>
        <v>2016</v>
      </c>
      <c r="B26" s="89" t="s">
        <v>53</v>
      </c>
      <c r="C26" s="90">
        <v>86278410</v>
      </c>
      <c r="D26" s="86">
        <v>30021000</v>
      </c>
      <c r="E26" s="87">
        <v>12.73</v>
      </c>
      <c r="F26" s="90">
        <v>10078750</v>
      </c>
      <c r="G26" s="90">
        <v>769000</v>
      </c>
      <c r="H26" s="87">
        <v>12.73</v>
      </c>
      <c r="I26" s="63">
        <f t="shared" si="1"/>
        <v>382167330</v>
      </c>
    </row>
    <row r="27" spans="1:9" ht="15.6" x14ac:dyDescent="0.3">
      <c r="A27" s="50">
        <f t="shared" si="2"/>
        <v>2016</v>
      </c>
      <c r="B27" s="88" t="s">
        <v>54</v>
      </c>
      <c r="C27" s="91">
        <v>67675951</v>
      </c>
      <c r="D27" s="83">
        <v>7260000</v>
      </c>
      <c r="E27" s="84">
        <v>12.73</v>
      </c>
      <c r="F27" s="91">
        <v>10078750</v>
      </c>
      <c r="G27" s="91">
        <v>914000</v>
      </c>
      <c r="H27" s="84">
        <v>12.73</v>
      </c>
      <c r="I27" s="63">
        <f t="shared" si="1"/>
        <v>92419800</v>
      </c>
    </row>
    <row r="28" spans="1:9" ht="15.6" x14ac:dyDescent="0.3">
      <c r="A28" s="50">
        <f t="shared" si="2"/>
        <v>2016</v>
      </c>
      <c r="B28" s="89" t="s">
        <v>55</v>
      </c>
      <c r="C28" s="90">
        <v>71555827</v>
      </c>
      <c r="D28" s="86">
        <v>68026000</v>
      </c>
      <c r="E28" s="87">
        <v>12.73</v>
      </c>
      <c r="F28" s="90">
        <v>10078750</v>
      </c>
      <c r="G28" s="90">
        <v>9361000</v>
      </c>
      <c r="H28" s="87">
        <v>12.73</v>
      </c>
      <c r="I28" s="63">
        <f t="shared" si="1"/>
        <v>865970980</v>
      </c>
    </row>
    <row r="29" spans="1:9" ht="15.6" x14ac:dyDescent="0.3">
      <c r="A29" s="50">
        <f t="shared" si="2"/>
        <v>2015</v>
      </c>
      <c r="B29" s="88" t="s">
        <v>56</v>
      </c>
      <c r="C29" s="91">
        <v>75113008</v>
      </c>
      <c r="D29" s="83">
        <v>75113008</v>
      </c>
      <c r="E29" s="84">
        <v>12.73</v>
      </c>
      <c r="F29" s="91">
        <v>10431500</v>
      </c>
      <c r="G29" s="91">
        <v>10431500</v>
      </c>
      <c r="H29" s="84">
        <v>12.65</v>
      </c>
      <c r="I29" s="63">
        <f t="shared" si="1"/>
        <v>956188591.84000003</v>
      </c>
    </row>
    <row r="30" spans="1:9" ht="15.6" x14ac:dyDescent="0.3">
      <c r="A30" s="50">
        <f t="shared" si="2"/>
        <v>2015</v>
      </c>
      <c r="B30" s="89" t="s">
        <v>57</v>
      </c>
      <c r="C30" s="90">
        <v>73429360</v>
      </c>
      <c r="D30" s="86">
        <v>73429360</v>
      </c>
      <c r="E30" s="87">
        <v>12.52</v>
      </c>
      <c r="F30" s="90">
        <v>10431500</v>
      </c>
      <c r="G30" s="90">
        <v>10431500</v>
      </c>
      <c r="H30" s="87">
        <v>12.3</v>
      </c>
      <c r="I30" s="63">
        <f t="shared" si="1"/>
        <v>919335587.19999993</v>
      </c>
    </row>
    <row r="31" spans="1:9" ht="15.6" x14ac:dyDescent="0.3">
      <c r="A31" s="50">
        <f t="shared" si="2"/>
        <v>2015</v>
      </c>
      <c r="B31" s="88" t="s">
        <v>58</v>
      </c>
      <c r="C31" s="91">
        <v>76931627</v>
      </c>
      <c r="D31" s="83">
        <v>76931627</v>
      </c>
      <c r="E31" s="84">
        <v>12.29</v>
      </c>
      <c r="F31" s="91">
        <v>10431500</v>
      </c>
      <c r="G31" s="91">
        <v>9812000</v>
      </c>
      <c r="H31" s="84">
        <v>12.1</v>
      </c>
      <c r="I31" s="63">
        <f t="shared" si="1"/>
        <v>945489695.82999992</v>
      </c>
    </row>
    <row r="32" spans="1:9" ht="15.6" x14ac:dyDescent="0.3">
      <c r="A32" s="50">
        <f t="shared" si="2"/>
        <v>2015</v>
      </c>
      <c r="B32" s="89" t="s">
        <v>59</v>
      </c>
      <c r="C32" s="90">
        <v>73610528</v>
      </c>
      <c r="D32" s="86">
        <v>73610528</v>
      </c>
      <c r="E32" s="87">
        <v>12.21</v>
      </c>
      <c r="F32" s="90">
        <v>10431500</v>
      </c>
      <c r="G32" s="90">
        <v>10431500</v>
      </c>
      <c r="H32" s="87">
        <v>12.1</v>
      </c>
      <c r="I32" s="63">
        <f t="shared" si="1"/>
        <v>898784546.88000011</v>
      </c>
    </row>
    <row r="33" spans="1:10" ht="15.6" x14ac:dyDescent="0.3">
      <c r="A33" s="50">
        <f t="shared" si="2"/>
        <v>2014</v>
      </c>
      <c r="B33" s="88" t="s">
        <v>60</v>
      </c>
      <c r="C33" s="91">
        <v>23070987</v>
      </c>
      <c r="D33" s="83">
        <v>23070987</v>
      </c>
      <c r="E33" s="84">
        <v>12.1</v>
      </c>
      <c r="F33" s="91">
        <v>10787000</v>
      </c>
      <c r="G33" s="91">
        <v>10787000</v>
      </c>
      <c r="H33" s="84">
        <v>11.86</v>
      </c>
      <c r="I33" s="63">
        <f t="shared" si="1"/>
        <v>279158942.69999999</v>
      </c>
    </row>
    <row r="34" spans="1:10" ht="15.6" x14ac:dyDescent="0.3">
      <c r="A34" s="50">
        <f t="shared" si="2"/>
        <v>2014</v>
      </c>
      <c r="B34" s="92" t="s">
        <v>61</v>
      </c>
      <c r="C34" s="90">
        <v>22473043</v>
      </c>
      <c r="D34" s="86">
        <v>22473043</v>
      </c>
      <c r="E34" s="87">
        <v>11.5</v>
      </c>
      <c r="F34" s="90">
        <v>9260000</v>
      </c>
      <c r="G34" s="90">
        <v>6470000</v>
      </c>
      <c r="H34" s="87">
        <v>11.34</v>
      </c>
      <c r="I34" s="63">
        <f t="shared" si="1"/>
        <v>258439994.5</v>
      </c>
    </row>
    <row r="35" spans="1:10" ht="15.6" x14ac:dyDescent="0.3">
      <c r="A35" s="50">
        <f t="shared" si="2"/>
        <v>2014</v>
      </c>
      <c r="B35" s="93" t="s">
        <v>62</v>
      </c>
      <c r="C35" s="91">
        <v>16947080</v>
      </c>
      <c r="D35" s="83">
        <v>16947080</v>
      </c>
      <c r="E35" s="84">
        <v>11.5</v>
      </c>
      <c r="F35" s="91">
        <v>9260000</v>
      </c>
      <c r="G35" s="91">
        <v>4036000</v>
      </c>
      <c r="H35" s="84">
        <v>11.34</v>
      </c>
      <c r="I35" s="63">
        <f t="shared" si="1"/>
        <v>194891420</v>
      </c>
    </row>
    <row r="36" spans="1:10" ht="15.6" x14ac:dyDescent="0.3">
      <c r="A36" s="50">
        <f t="shared" si="2"/>
        <v>2014</v>
      </c>
      <c r="B36" s="92" t="s">
        <v>63</v>
      </c>
      <c r="C36" s="90">
        <v>19538695</v>
      </c>
      <c r="D36" s="86">
        <v>19538695</v>
      </c>
      <c r="E36" s="87">
        <v>11.48</v>
      </c>
      <c r="F36" s="90">
        <v>9260000</v>
      </c>
      <c r="G36" s="90">
        <v>9260000</v>
      </c>
      <c r="H36" s="87">
        <v>11.38</v>
      </c>
      <c r="I36" s="63">
        <f t="shared" si="1"/>
        <v>224304218.59999999</v>
      </c>
    </row>
    <row r="37" spans="1:10" ht="15.6" x14ac:dyDescent="0.3">
      <c r="A37" s="50">
        <f t="shared" si="2"/>
        <v>2013</v>
      </c>
      <c r="B37" s="93" t="s">
        <v>64</v>
      </c>
      <c r="C37" s="91">
        <v>16614526</v>
      </c>
      <c r="D37" s="83">
        <v>16614526</v>
      </c>
      <c r="E37" s="84">
        <v>11.48</v>
      </c>
      <c r="F37" s="91">
        <v>9560000</v>
      </c>
      <c r="G37" s="91">
        <v>9560000</v>
      </c>
      <c r="H37" s="84">
        <v>11.1</v>
      </c>
      <c r="I37" s="63">
        <f t="shared" si="1"/>
        <v>190734758.48000002</v>
      </c>
    </row>
    <row r="38" spans="1:10" ht="15.6" x14ac:dyDescent="0.3">
      <c r="A38" s="50">
        <f t="shared" si="2"/>
        <v>2013</v>
      </c>
      <c r="B38" s="92" t="s">
        <v>65</v>
      </c>
      <c r="C38" s="90">
        <v>13865422</v>
      </c>
      <c r="D38" s="86">
        <v>13865422</v>
      </c>
      <c r="E38" s="87">
        <v>12.22</v>
      </c>
      <c r="F38" s="90">
        <v>9560000</v>
      </c>
      <c r="G38" s="90">
        <v>9560000</v>
      </c>
      <c r="H38" s="87">
        <v>11.1</v>
      </c>
      <c r="I38" s="63">
        <f t="shared" si="1"/>
        <v>169435456.84</v>
      </c>
    </row>
    <row r="39" spans="1:10" ht="15.6" x14ac:dyDescent="0.3">
      <c r="A39" s="50">
        <f t="shared" si="2"/>
        <v>2013</v>
      </c>
      <c r="B39" s="93" t="s">
        <v>66</v>
      </c>
      <c r="C39" s="91">
        <v>14522048</v>
      </c>
      <c r="D39" s="83">
        <v>14522048</v>
      </c>
      <c r="E39" s="84">
        <v>14</v>
      </c>
      <c r="F39" s="91">
        <v>9560000</v>
      </c>
      <c r="G39" s="91">
        <v>7515000</v>
      </c>
      <c r="H39" s="84">
        <v>10.71</v>
      </c>
      <c r="I39" s="63">
        <f t="shared" si="1"/>
        <v>203308672</v>
      </c>
    </row>
    <row r="40" spans="1:10" ht="15.6" x14ac:dyDescent="0.3">
      <c r="A40" s="50">
        <f t="shared" si="2"/>
        <v>2013</v>
      </c>
      <c r="B40" s="92" t="s">
        <v>67</v>
      </c>
      <c r="C40" s="90">
        <v>12924822</v>
      </c>
      <c r="D40" s="86">
        <v>12924822</v>
      </c>
      <c r="E40" s="87">
        <v>13.62</v>
      </c>
      <c r="F40" s="90">
        <v>9560000</v>
      </c>
      <c r="G40" s="90">
        <v>4440000</v>
      </c>
      <c r="H40" s="87">
        <v>10.71</v>
      </c>
      <c r="I40" s="63">
        <f t="shared" si="1"/>
        <v>176036075.63999999</v>
      </c>
    </row>
    <row r="41" spans="1:10" ht="15.6" x14ac:dyDescent="0.3">
      <c r="A41" s="94">
        <v>2012</v>
      </c>
      <c r="B41" s="93" t="s">
        <v>68</v>
      </c>
      <c r="C41" s="91">
        <v>23126110</v>
      </c>
      <c r="D41" s="83">
        <v>23126110</v>
      </c>
      <c r="E41" s="84">
        <v>10.09</v>
      </c>
      <c r="F41" s="91">
        <v>39450000</v>
      </c>
      <c r="G41" s="91">
        <v>5576000</v>
      </c>
      <c r="H41" s="84">
        <v>10</v>
      </c>
      <c r="I41" s="63">
        <f t="shared" si="1"/>
        <v>233342449.90000001</v>
      </c>
    </row>
    <row r="42" spans="1:10" x14ac:dyDescent="0.3">
      <c r="A42" s="50"/>
      <c r="B42" s="50"/>
      <c r="C42" s="52"/>
      <c r="D42" s="53"/>
      <c r="E42" s="52"/>
      <c r="F42" s="54"/>
      <c r="G42" s="53"/>
      <c r="H42" s="53"/>
      <c r="I42" s="53"/>
      <c r="J42" s="50"/>
    </row>
    <row r="43" spans="1:10" x14ac:dyDescent="0.3">
      <c r="A43" s="50" t="s">
        <v>69</v>
      </c>
      <c r="B43" s="50"/>
      <c r="C43" s="52"/>
      <c r="D43" s="53"/>
      <c r="E43" s="52"/>
      <c r="F43" s="54"/>
      <c r="G43" s="53"/>
      <c r="H43" s="53" t="s">
        <v>70</v>
      </c>
      <c r="I43" s="53"/>
      <c r="J43" s="50"/>
    </row>
    <row r="44" spans="1:10" x14ac:dyDescent="0.3">
      <c r="A44" s="50"/>
      <c r="B44" s="50"/>
      <c r="C44" s="52"/>
      <c r="D44" s="53"/>
      <c r="E44" s="52">
        <v>2012</v>
      </c>
      <c r="F44" s="54" t="s">
        <v>71</v>
      </c>
      <c r="G44" s="53" t="s">
        <v>72</v>
      </c>
      <c r="H44" s="53" t="s">
        <v>73</v>
      </c>
      <c r="I44" s="53"/>
      <c r="J44" s="50"/>
    </row>
    <row r="45" spans="1:10" x14ac:dyDescent="0.3">
      <c r="A45" s="50"/>
      <c r="B45" s="50"/>
      <c r="C45" s="52"/>
      <c r="D45" s="53"/>
      <c r="E45" s="52">
        <v>2013</v>
      </c>
      <c r="F45" s="54">
        <f>SUMIF($A$13:$A$41,$E45,D$13:D$41)</f>
        <v>57926818</v>
      </c>
      <c r="G45" s="53">
        <f t="shared" ref="G45:G53" si="3">SUMIF($A$5:$A$41,$E45,I$5:I$41)</f>
        <v>739514962.96000004</v>
      </c>
      <c r="H45" s="95">
        <f t="shared" ref="H45:H50" si="4">+G45/F45</f>
        <v>12.766366054493103</v>
      </c>
      <c r="I45" s="53"/>
      <c r="J45" s="50"/>
    </row>
    <row r="46" spans="1:10" x14ac:dyDescent="0.3">
      <c r="A46" s="50"/>
      <c r="B46" s="50"/>
      <c r="C46" s="52"/>
      <c r="D46" s="53"/>
      <c r="E46" s="52">
        <f t="shared" ref="E46:E53" si="5">+E45+1</f>
        <v>2014</v>
      </c>
      <c r="F46" s="54">
        <f t="shared" ref="F46:F51" si="6">SUMIF($A$13:$A$41,$E46,D$13:D$41)</f>
        <v>82029805</v>
      </c>
      <c r="G46" s="53">
        <f t="shared" si="3"/>
        <v>956794575.80000007</v>
      </c>
      <c r="H46" s="95">
        <f t="shared" si="4"/>
        <v>11.663986959374096</v>
      </c>
      <c r="I46" s="53"/>
      <c r="J46" s="50"/>
    </row>
    <row r="47" spans="1:10" x14ac:dyDescent="0.3">
      <c r="A47" s="50"/>
      <c r="B47" s="50"/>
      <c r="C47" s="52"/>
      <c r="D47" s="53"/>
      <c r="E47" s="52">
        <f t="shared" si="5"/>
        <v>2015</v>
      </c>
      <c r="F47" s="54">
        <f t="shared" si="6"/>
        <v>299084523</v>
      </c>
      <c r="G47" s="53">
        <f t="shared" si="3"/>
        <v>3719798421.75</v>
      </c>
      <c r="H47" s="95">
        <f t="shared" si="4"/>
        <v>12.437281556525077</v>
      </c>
      <c r="I47" s="53"/>
      <c r="J47" s="50"/>
    </row>
    <row r="48" spans="1:10" x14ac:dyDescent="0.3">
      <c r="A48" s="50"/>
      <c r="B48" s="50"/>
      <c r="C48" s="52"/>
      <c r="D48" s="53"/>
      <c r="E48" s="52">
        <f t="shared" si="5"/>
        <v>2016</v>
      </c>
      <c r="F48" s="54">
        <f t="shared" si="6"/>
        <v>182267000</v>
      </c>
      <c r="G48" s="53">
        <f t="shared" si="3"/>
        <v>2320258910</v>
      </c>
      <c r="H48" s="95">
        <f t="shared" si="4"/>
        <v>12.73</v>
      </c>
      <c r="I48" s="53"/>
      <c r="J48" s="50"/>
    </row>
    <row r="49" spans="1:10" x14ac:dyDescent="0.3">
      <c r="A49" s="50"/>
      <c r="B49" s="50"/>
      <c r="C49" s="52"/>
      <c r="D49" s="53"/>
      <c r="E49" s="52">
        <f t="shared" si="5"/>
        <v>2017</v>
      </c>
      <c r="F49" s="54">
        <f t="shared" si="6"/>
        <v>230421079</v>
      </c>
      <c r="G49" s="53">
        <f t="shared" si="3"/>
        <v>3338050381.9099998</v>
      </c>
      <c r="H49" s="95">
        <f t="shared" si="4"/>
        <v>14.486740520427819</v>
      </c>
      <c r="I49" s="53"/>
      <c r="J49" s="50"/>
    </row>
    <row r="50" spans="1:10" x14ac:dyDescent="0.3">
      <c r="A50" s="50"/>
      <c r="B50" s="50"/>
      <c r="C50" s="52"/>
      <c r="D50" s="53"/>
      <c r="E50" s="52">
        <f t="shared" si="5"/>
        <v>2018</v>
      </c>
      <c r="F50" s="54">
        <f t="shared" si="6"/>
        <v>347050640</v>
      </c>
      <c r="G50" s="53">
        <f t="shared" si="3"/>
        <v>5164156718.4200001</v>
      </c>
      <c r="H50" s="95">
        <f t="shared" si="4"/>
        <v>14.880124463738202</v>
      </c>
      <c r="I50" s="53"/>
      <c r="J50" s="50"/>
    </row>
    <row r="51" spans="1:10" x14ac:dyDescent="0.3">
      <c r="A51" s="50"/>
      <c r="B51" s="50"/>
      <c r="C51" s="52"/>
      <c r="D51" s="53"/>
      <c r="E51" s="52">
        <f t="shared" si="5"/>
        <v>2019</v>
      </c>
      <c r="F51" s="54">
        <f t="shared" si="6"/>
        <v>280893702</v>
      </c>
      <c r="G51" s="53">
        <f t="shared" si="3"/>
        <v>4712967558.2200003</v>
      </c>
      <c r="H51" s="95">
        <f>+G51/F51</f>
        <v>16.77847358151163</v>
      </c>
      <c r="I51" s="53"/>
      <c r="J51" s="50"/>
    </row>
    <row r="52" spans="1:10" x14ac:dyDescent="0.3">
      <c r="A52" s="50"/>
      <c r="B52" s="50"/>
      <c r="C52" s="52"/>
      <c r="D52" s="53"/>
      <c r="E52" s="52">
        <f t="shared" si="5"/>
        <v>2020</v>
      </c>
      <c r="F52" s="54">
        <f>SUMIF($A$5:$A$41,$E52,D$5:D$41)</f>
        <v>187244509</v>
      </c>
      <c r="G52" s="53">
        <f t="shared" si="3"/>
        <v>3205267209.75</v>
      </c>
      <c r="H52" s="95">
        <f>+G52/F52</f>
        <v>17.1180838726224</v>
      </c>
      <c r="I52" s="96"/>
      <c r="J52" s="50"/>
    </row>
    <row r="53" spans="1:10" x14ac:dyDescent="0.3">
      <c r="B53" s="97" t="s">
        <v>74</v>
      </c>
      <c r="E53" s="52">
        <f t="shared" si="5"/>
        <v>2021</v>
      </c>
      <c r="F53" s="54">
        <f>SUMIF($A$5:$A$41,$E53,D$5:D$41)</f>
        <v>266280498</v>
      </c>
      <c r="G53" s="53">
        <f t="shared" si="3"/>
        <v>5920915800.2200012</v>
      </c>
      <c r="H53" s="95">
        <f>+G53/F53</f>
        <v>22.235634395651466</v>
      </c>
      <c r="I53" s="106"/>
    </row>
    <row r="54" spans="1:10" x14ac:dyDescent="0.3">
      <c r="B54" s="99" t="s">
        <v>75</v>
      </c>
      <c r="E54" s="98">
        <v>2022</v>
      </c>
      <c r="F54" s="54">
        <f t="shared" ref="F54:F57" si="7">SUMIF($A$5:$A$41,$E54,D$5:D$41)</f>
        <v>0</v>
      </c>
      <c r="G54" s="53">
        <f t="shared" ref="G54:G57" si="8">SUMIF($A$5:$A$41,$E54,I$5:I$41)</f>
        <v>0</v>
      </c>
      <c r="H54" s="95" t="e">
        <f t="shared" ref="H54:H57" si="9">+G54/F54</f>
        <v>#DIV/0!</v>
      </c>
    </row>
    <row r="55" spans="1:10" x14ac:dyDescent="0.3">
      <c r="B55" t="s">
        <v>76</v>
      </c>
      <c r="E55" s="98">
        <v>2023</v>
      </c>
      <c r="F55" s="54">
        <f t="shared" si="7"/>
        <v>0</v>
      </c>
      <c r="G55" s="53">
        <f t="shared" si="8"/>
        <v>0</v>
      </c>
      <c r="H55" s="95" t="e">
        <f t="shared" si="9"/>
        <v>#DIV/0!</v>
      </c>
    </row>
    <row r="56" spans="1:10" x14ac:dyDescent="0.3">
      <c r="E56" s="98">
        <v>2024</v>
      </c>
      <c r="F56" s="54">
        <f t="shared" si="7"/>
        <v>0</v>
      </c>
      <c r="G56" s="53">
        <f t="shared" si="8"/>
        <v>0</v>
      </c>
      <c r="H56" s="95" t="e">
        <f t="shared" si="9"/>
        <v>#DIV/0!</v>
      </c>
    </row>
    <row r="57" spans="1:10" x14ac:dyDescent="0.3">
      <c r="E57" s="98">
        <v>2025</v>
      </c>
      <c r="F57" s="54">
        <f t="shared" si="7"/>
        <v>0</v>
      </c>
      <c r="G57" s="53">
        <f t="shared" si="8"/>
        <v>0</v>
      </c>
      <c r="H57" s="95" t="e">
        <f t="shared" si="9"/>
        <v>#DIV/0!</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GHG Price Calculations</vt:lpstr>
      <vt:lpstr>Auction Data</vt:lpstr>
      <vt:lpstr>'Auction Data'!Print_Area</vt:lpstr>
      <vt:lpstr>'GHG Price Calculations'!Print_Area</vt:lpstr>
      <vt:lpstr>'GHG Price Calculations'!Print_Titles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2021-12-17T23:24:38Z</cp:lastPrinted>
  <dcterms:created xsi:type="dcterms:W3CDTF">2021-04-12T19:31:58Z</dcterms:created>
  <dcterms:modified xsi:type="dcterms:W3CDTF">2021-12-17T23:24:47Z</dcterms:modified>
</cp:coreProperties>
</file>